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hris\Descargas\"/>
    </mc:Choice>
  </mc:AlternateContent>
  <xr:revisionPtr revIDLastSave="0" documentId="13_ncr:1_{EADB4401-DD5B-4378-85A9-2F3749895B87}" xr6:coauthVersionLast="47" xr6:coauthVersionMax="47" xr10:uidLastSave="{00000000-0000-0000-0000-000000000000}"/>
  <bookViews>
    <workbookView xWindow="-120" yWindow="-120" windowWidth="29040" windowHeight="15840" firstSheet="3" activeTab="7" xr2:uid="{19850C24-0C1F-4471-945A-E5C95F9C0566}"/>
  </bookViews>
  <sheets>
    <sheet name="raiz" sheetId="1" r:id="rId1"/>
    <sheet name="tear production(reduced)" sheetId="2" r:id="rId2"/>
    <sheet name="tear production(normal)" sheetId="4" r:id="rId3"/>
    <sheet name="Astigmatism(normal-no)" sheetId="3" r:id="rId4"/>
    <sheet name="Astigmatism(normal-yes)" sheetId="5" r:id="rId5"/>
    <sheet name="Age(normal-no-young_pre_presby)" sheetId="6" r:id="rId6"/>
    <sheet name="Spect(normal-yes-miope_hyper)" sheetId="7" r:id="rId7"/>
    <sheet name="fina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  <c r="I8" i="7"/>
  <c r="I7" i="7"/>
  <c r="I9" i="7" s="1"/>
  <c r="I6" i="7"/>
  <c r="D9" i="7"/>
  <c r="D8" i="7"/>
  <c r="D7" i="7"/>
  <c r="D6" i="7"/>
  <c r="D2" i="7"/>
  <c r="D2" i="6"/>
  <c r="N2" i="6"/>
  <c r="I2" i="6"/>
  <c r="N6" i="6"/>
  <c r="N5" i="6"/>
  <c r="N7" i="6" s="1"/>
  <c r="I6" i="6"/>
  <c r="I5" i="6"/>
  <c r="I7" i="6" s="1"/>
  <c r="D6" i="6"/>
  <c r="D5" i="6"/>
  <c r="D7" i="6" s="1"/>
  <c r="N8" i="4"/>
  <c r="N6" i="4"/>
  <c r="N7" i="4"/>
  <c r="N10" i="4"/>
  <c r="I8" i="5"/>
  <c r="I7" i="5"/>
  <c r="I6" i="5"/>
  <c r="D6" i="5"/>
  <c r="D9" i="5" s="1"/>
  <c r="D7" i="5"/>
  <c r="D8" i="5"/>
  <c r="F2" i="5"/>
  <c r="I8" i="3"/>
  <c r="I7" i="3"/>
  <c r="I6" i="3"/>
  <c r="D9" i="3"/>
  <c r="D8" i="3"/>
  <c r="D7" i="3"/>
  <c r="D6" i="3"/>
  <c r="F2" i="3"/>
  <c r="I10" i="3"/>
  <c r="I8" i="4"/>
  <c r="I7" i="4"/>
  <c r="I6" i="4"/>
  <c r="J2" i="4"/>
  <c r="D9" i="4"/>
  <c r="D8" i="4"/>
  <c r="D7" i="4"/>
  <c r="D6" i="4"/>
  <c r="N7" i="2"/>
  <c r="N6" i="2"/>
  <c r="N8" i="2" s="1"/>
  <c r="I2" i="2"/>
  <c r="I8" i="2"/>
  <c r="I7" i="2"/>
  <c r="I6" i="2"/>
  <c r="D9" i="2"/>
  <c r="D8" i="2"/>
  <c r="D7" i="2"/>
  <c r="D6" i="2"/>
  <c r="D10" i="2"/>
  <c r="I10" i="7" l="1"/>
  <c r="D10" i="7"/>
  <c r="N9" i="6"/>
  <c r="I9" i="6"/>
  <c r="D9" i="6"/>
  <c r="I10" i="5"/>
  <c r="D10" i="5"/>
  <c r="D10" i="3"/>
  <c r="I10" i="4"/>
  <c r="D10" i="4"/>
  <c r="N10" i="2"/>
  <c r="I10" i="2"/>
  <c r="S7" i="1"/>
  <c r="S6" i="1"/>
  <c r="S8" i="1" s="1"/>
  <c r="N7" i="1" l="1"/>
  <c r="N6" i="1"/>
  <c r="I7" i="1"/>
  <c r="I6" i="1"/>
  <c r="D8" i="1"/>
  <c r="D7" i="1"/>
  <c r="D6" i="1"/>
  <c r="D9" i="1" s="1"/>
  <c r="N8" i="1" l="1"/>
  <c r="I8" i="1"/>
  <c r="K2" i="1"/>
  <c r="S10" i="1" l="1"/>
  <c r="N10" i="1"/>
  <c r="I10" i="1"/>
  <c r="D10" i="1"/>
</calcChain>
</file>

<file path=xl/sharedStrings.xml><?xml version="1.0" encoding="utf-8"?>
<sst xmlns="http://schemas.openxmlformats.org/spreadsheetml/2006/main" count="156" uniqueCount="99">
  <si>
    <t>info[4,2,2]</t>
  </si>
  <si>
    <t>info[15,5,4]</t>
  </si>
  <si>
    <t>young</t>
  </si>
  <si>
    <t>pre-presbyopic</t>
  </si>
  <si>
    <t>presbyopic</t>
  </si>
  <si>
    <t>info[5,2,1]</t>
  </si>
  <si>
    <t>info[6,1,1]</t>
  </si>
  <si>
    <t>info[4,2,2][5,2,1][6,1,1]</t>
  </si>
  <si>
    <t>gain()</t>
  </si>
  <si>
    <t>myope</t>
  </si>
  <si>
    <t>hypermetrope</t>
  </si>
  <si>
    <t>info[7,2,3]</t>
  </si>
  <si>
    <t>info[8,3,1]</t>
  </si>
  <si>
    <t>info[7,2,3][8,3,1]</t>
  </si>
  <si>
    <t>no</t>
  </si>
  <si>
    <t>yes</t>
  </si>
  <si>
    <t>info[7,5,0]</t>
  </si>
  <si>
    <t>info[8,0,4]</t>
  </si>
  <si>
    <t>info[7,5,0][8,0,4]</t>
  </si>
  <si>
    <t>reduced</t>
  </si>
  <si>
    <t>normal</t>
  </si>
  <si>
    <t>info[12,0,0]</t>
  </si>
  <si>
    <t>info[3,5,4]</t>
  </si>
  <si>
    <t>info[12,0,0][3,5,4]</t>
  </si>
  <si>
    <t>Age</t>
  </si>
  <si>
    <t>Spectacle prescription</t>
  </si>
  <si>
    <t>Astigmatism</t>
  </si>
  <si>
    <t>Tear production rate</t>
  </si>
  <si>
    <t>reduced- presbyopic</t>
  </si>
  <si>
    <t>reduced- pre-presbyopic</t>
  </si>
  <si>
    <t>reduced- young</t>
  </si>
  <si>
    <t>reduced- myope</t>
  </si>
  <si>
    <t>reduced- hypermetrope</t>
  </si>
  <si>
    <t>reduced- no</t>
  </si>
  <si>
    <t>reduced- yes</t>
  </si>
  <si>
    <t>info[0,3,0]</t>
  </si>
  <si>
    <t>info[6,0,0]</t>
  </si>
  <si>
    <t>info[6,0,0][6,0,0]</t>
  </si>
  <si>
    <t>info[4,0,0]</t>
  </si>
  <si>
    <t>info[4,0,0][4,0,0][4,0,0]</t>
  </si>
  <si>
    <t>normal- young</t>
  </si>
  <si>
    <t>normal- pre-presbyopic</t>
  </si>
  <si>
    <t>normal- presbyopic</t>
  </si>
  <si>
    <t>normal- myope</t>
  </si>
  <si>
    <t>normal- hypermetrope</t>
  </si>
  <si>
    <t>normal- no</t>
  </si>
  <si>
    <t>normal- yes</t>
  </si>
  <si>
    <t>info[0,2,2]</t>
  </si>
  <si>
    <t>info[1,2,1]</t>
  </si>
  <si>
    <t>info[2,1,1]</t>
  </si>
  <si>
    <t>info[0,2,2][1,2,1][2,1,1]</t>
  </si>
  <si>
    <t>info[1,2,3]</t>
  </si>
  <si>
    <t>info[2,3,1]</t>
  </si>
  <si>
    <t>info[1,2,3][2,3,1]</t>
  </si>
  <si>
    <t>info[2,0,4]</t>
  </si>
  <si>
    <t>info[1,5,0]</t>
  </si>
  <si>
    <t>normal-no- young</t>
  </si>
  <si>
    <t>normal-no- pre-presbyopic</t>
  </si>
  <si>
    <t>normal-no- presbyopic</t>
  </si>
  <si>
    <t>normal-no- myope</t>
  </si>
  <si>
    <t>normal-no- hypermetrope</t>
  </si>
  <si>
    <t>info[0,2,0]</t>
  </si>
  <si>
    <t>info[1,1,0]</t>
  </si>
  <si>
    <t>info[1,2,0]</t>
  </si>
  <si>
    <t>info[0,2,0][0,2,0][1,1,0]</t>
  </si>
  <si>
    <t>info[1,2,0][0,3,0]</t>
  </si>
  <si>
    <t>normal-yes- young</t>
  </si>
  <si>
    <t>normal-yes- pre-presbyopic</t>
  </si>
  <si>
    <t>normal-yes- presbyopic</t>
  </si>
  <si>
    <t>normal-yes- myope</t>
  </si>
  <si>
    <t>normal-yes- hypermetrope</t>
  </si>
  <si>
    <t>info[0,0,2]</t>
  </si>
  <si>
    <t>info[1,0,1]</t>
  </si>
  <si>
    <t>info[0,0,2][1,0,1][1,0,1]</t>
  </si>
  <si>
    <t>info[0,0,3]</t>
  </si>
  <si>
    <t>info[2,0,1]</t>
  </si>
  <si>
    <t>info[0,0,3][2,0,1]</t>
  </si>
  <si>
    <t>normal-no-young myope</t>
  </si>
  <si>
    <t>normal-no-young hypermetrope</t>
  </si>
  <si>
    <t>info[2,0]</t>
  </si>
  <si>
    <t>info[0,1,0]</t>
  </si>
  <si>
    <t>info[0,1,0][0,1,0]</t>
  </si>
  <si>
    <t>normal-no-prePresbyopic myope</t>
  </si>
  <si>
    <t>normal-no-prePresbyopic hypermetrope</t>
  </si>
  <si>
    <t>normal-no-presbyopic myope</t>
  </si>
  <si>
    <t>normal-no-presbyopic hypermetrope</t>
  </si>
  <si>
    <t>info[1,1]</t>
  </si>
  <si>
    <t>info[1,0,0]</t>
  </si>
  <si>
    <t>info[1,0,0][0,1,0]</t>
  </si>
  <si>
    <t>normal-yes-myope young</t>
  </si>
  <si>
    <t>normal-yes-myope pre-presbyopic</t>
  </si>
  <si>
    <t>normal-yes-myope presbyopic</t>
  </si>
  <si>
    <t>info[0,0,1]</t>
  </si>
  <si>
    <t>info[0,0,1][0,0,1][0,0,1]</t>
  </si>
  <si>
    <t>normal-yes-hypermetrope young</t>
  </si>
  <si>
    <t>normal-yes-hypermetrope pre-presbyopic</t>
  </si>
  <si>
    <t>normal-yes-hypermetrope presbyopic</t>
  </si>
  <si>
    <t>info[0,0,1][1,0,0][1,0,0]</t>
  </si>
  <si>
    <t>info[1,0,2]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</si>
</sst>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6" borderId="1" xfId="0" applyFill="1" applyBorder="1"/>
    <xf numFmtId="0" fontId="1" fillId="5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10</xdr:row>
      <xdr:rowOff>142875</xdr:rowOff>
    </xdr:from>
    <xdr:to>
      <xdr:col>4</xdr:col>
      <xdr:colOff>324354</xdr:colOff>
      <xdr:row>30</xdr:row>
      <xdr:rowOff>513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D6CD6E-1DF4-50F9-D4B3-55187ED41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047875"/>
          <a:ext cx="3610479" cy="367716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10</xdr:row>
      <xdr:rowOff>161925</xdr:rowOff>
    </xdr:from>
    <xdr:to>
      <xdr:col>8</xdr:col>
      <xdr:colOff>590876</xdr:colOff>
      <xdr:row>33</xdr:row>
      <xdr:rowOff>590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E9E54F-17E6-17C3-3109-A547199FE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2600" y="2066925"/>
          <a:ext cx="2333951" cy="422969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10</xdr:row>
      <xdr:rowOff>142875</xdr:rowOff>
    </xdr:from>
    <xdr:to>
      <xdr:col>13</xdr:col>
      <xdr:colOff>257410</xdr:colOff>
      <xdr:row>32</xdr:row>
      <xdr:rowOff>95830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E09B193-4169-954D-D41C-EE3655533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58400" y="2047875"/>
          <a:ext cx="1686160" cy="4153480"/>
        </a:xfrm>
        <a:prstGeom prst="rect">
          <a:avLst/>
        </a:prstGeom>
      </xdr:spPr>
    </xdr:pic>
    <xdr:clientData/>
  </xdr:twoCellAnchor>
  <xdr:twoCellAnchor editAs="oneCell">
    <xdr:from>
      <xdr:col>16</xdr:col>
      <xdr:colOff>314325</xdr:colOff>
      <xdr:row>10</xdr:row>
      <xdr:rowOff>171450</xdr:rowOff>
    </xdr:from>
    <xdr:to>
      <xdr:col>18</xdr:col>
      <xdr:colOff>590852</xdr:colOff>
      <xdr:row>33</xdr:row>
      <xdr:rowOff>57747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87D1A86-B8DF-AA18-7C6D-FFAFF29CE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87475" y="2076450"/>
          <a:ext cx="2162477" cy="42773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10</xdr:row>
      <xdr:rowOff>104775</xdr:rowOff>
    </xdr:from>
    <xdr:to>
      <xdr:col>3</xdr:col>
      <xdr:colOff>733926</xdr:colOff>
      <xdr:row>34</xdr:row>
      <xdr:rowOff>162571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B27C67-6B5E-1D53-A392-03C15DD22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2009775"/>
          <a:ext cx="3591426" cy="4629796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285750</xdr:colOff>
      <xdr:row>10</xdr:row>
      <xdr:rowOff>76200</xdr:rowOff>
    </xdr:from>
    <xdr:to>
      <xdr:col>8</xdr:col>
      <xdr:colOff>543317</xdr:colOff>
      <xdr:row>35</xdr:row>
      <xdr:rowOff>114970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E018B7-C98D-8D01-FA6B-AEBF8081A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15075" y="1981200"/>
          <a:ext cx="2810267" cy="4801270"/>
        </a:xfrm>
        <a:prstGeom prst="rect">
          <a:avLst/>
        </a:prstGeom>
      </xdr:spPr>
    </xdr:pic>
    <xdr:clientData/>
  </xdr:twoCellAnchor>
  <xdr:twoCellAnchor editAs="oneCell">
    <xdr:from>
      <xdr:col>11</xdr:col>
      <xdr:colOff>314325</xdr:colOff>
      <xdr:row>10</xdr:row>
      <xdr:rowOff>142875</xdr:rowOff>
    </xdr:from>
    <xdr:to>
      <xdr:col>13</xdr:col>
      <xdr:colOff>676642</xdr:colOff>
      <xdr:row>35</xdr:row>
      <xdr:rowOff>143540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234388D-26B8-CEE6-40D2-720734173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82350" y="2047875"/>
          <a:ext cx="2629267" cy="4763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10</xdr:row>
      <xdr:rowOff>142875</xdr:rowOff>
    </xdr:from>
    <xdr:to>
      <xdr:col>4</xdr:col>
      <xdr:colOff>10024</xdr:colOff>
      <xdr:row>34</xdr:row>
      <xdr:rowOff>57777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19037B-F69E-0F6F-F3B3-8C249E4F5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2171700"/>
          <a:ext cx="3572374" cy="4496427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10</xdr:row>
      <xdr:rowOff>161925</xdr:rowOff>
    </xdr:from>
    <xdr:to>
      <xdr:col>8</xdr:col>
      <xdr:colOff>648094</xdr:colOff>
      <xdr:row>36</xdr:row>
      <xdr:rowOff>57828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85A7516-1C40-9517-1FF0-A98F931CD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6975" y="2190750"/>
          <a:ext cx="2819794" cy="4858428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10</xdr:row>
      <xdr:rowOff>152400</xdr:rowOff>
    </xdr:from>
    <xdr:to>
      <xdr:col>13</xdr:col>
      <xdr:colOff>667133</xdr:colOff>
      <xdr:row>35</xdr:row>
      <xdr:rowOff>134013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9A5C17D-4993-914B-BF87-2C9F20030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25175" y="2181225"/>
          <a:ext cx="2743583" cy="47536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10</xdr:row>
      <xdr:rowOff>190500</xdr:rowOff>
    </xdr:from>
    <xdr:to>
      <xdr:col>3</xdr:col>
      <xdr:colOff>591030</xdr:colOff>
      <xdr:row>40</xdr:row>
      <xdr:rowOff>38878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91C103-6CA7-0136-ADC6-1A08E8BB6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2219325"/>
          <a:ext cx="3439005" cy="5572903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10</xdr:row>
      <xdr:rowOff>171450</xdr:rowOff>
    </xdr:from>
    <xdr:to>
      <xdr:col>8</xdr:col>
      <xdr:colOff>448046</xdr:colOff>
      <xdr:row>42</xdr:row>
      <xdr:rowOff>19881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C67785-62C1-A4C6-CF11-50F5D0DA3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200275"/>
          <a:ext cx="2657846" cy="59539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4</xdr:col>
      <xdr:colOff>76758</xdr:colOff>
      <xdr:row>40</xdr:row>
      <xdr:rowOff>181771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209D02-3241-EBCB-3336-0FCD62CBB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228850"/>
          <a:ext cx="4001058" cy="5706271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10</xdr:row>
      <xdr:rowOff>161925</xdr:rowOff>
    </xdr:from>
    <xdr:to>
      <xdr:col>8</xdr:col>
      <xdr:colOff>714807</xdr:colOff>
      <xdr:row>41</xdr:row>
      <xdr:rowOff>96066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4C7348-9217-D9D2-5F24-BFB53A2A0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2725" y="2190750"/>
          <a:ext cx="3096057" cy="58491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9</xdr:row>
      <xdr:rowOff>104775</xdr:rowOff>
    </xdr:from>
    <xdr:to>
      <xdr:col>4</xdr:col>
      <xdr:colOff>29116</xdr:colOff>
      <xdr:row>47</xdr:row>
      <xdr:rowOff>162943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1B1CE4-96B6-6D22-62CB-C52BA1316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819275"/>
          <a:ext cx="3877216" cy="7297168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9</xdr:row>
      <xdr:rowOff>152400</xdr:rowOff>
    </xdr:from>
    <xdr:to>
      <xdr:col>8</xdr:col>
      <xdr:colOff>248059</xdr:colOff>
      <xdr:row>47</xdr:row>
      <xdr:rowOff>162937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B59887-C54A-6C1F-E3AE-A3126518C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3700" y="1866900"/>
          <a:ext cx="2934109" cy="7249537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9</xdr:row>
      <xdr:rowOff>95250</xdr:rowOff>
    </xdr:from>
    <xdr:to>
      <xdr:col>14</xdr:col>
      <xdr:colOff>560</xdr:colOff>
      <xdr:row>47</xdr:row>
      <xdr:rowOff>172471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07A794-0E92-5908-54BF-B3F5302E4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0525" y="1809750"/>
          <a:ext cx="4010585" cy="731622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10</xdr:row>
      <xdr:rowOff>76200</xdr:rowOff>
    </xdr:from>
    <xdr:to>
      <xdr:col>3</xdr:col>
      <xdr:colOff>457711</xdr:colOff>
      <xdr:row>49</xdr:row>
      <xdr:rowOff>105816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B23336-1086-2672-3B97-03C4A83BB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525" y="1981200"/>
          <a:ext cx="3658111" cy="7459116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10</xdr:row>
      <xdr:rowOff>123825</xdr:rowOff>
    </xdr:from>
    <xdr:to>
      <xdr:col>8</xdr:col>
      <xdr:colOff>686433</xdr:colOff>
      <xdr:row>49</xdr:row>
      <xdr:rowOff>67704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8C4DFC3-AC35-0899-7A3D-30FA06FE1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028825"/>
          <a:ext cx="4534533" cy="737337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171450</xdr:rowOff>
    </xdr:from>
    <xdr:to>
      <xdr:col>7</xdr:col>
      <xdr:colOff>10240</xdr:colOff>
      <xdr:row>31</xdr:row>
      <xdr:rowOff>67485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4D8EA1-9044-C9C4-D4F0-256370AE2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71450"/>
          <a:ext cx="5125165" cy="5801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B02C-33BC-44DA-9FC2-699BADB2690D}">
  <dimension ref="B2:S11"/>
  <sheetViews>
    <sheetView workbookViewId="0"/>
  </sheetViews>
  <sheetFormatPr baseColWidth="10" defaultRowHeight="15" x14ac:dyDescent="0.25"/>
  <cols>
    <col min="2" max="2" width="14.42578125" bestFit="1" customWidth="1"/>
    <col min="3" max="3" width="19.85546875" bestFit="1" customWidth="1"/>
    <col min="7" max="7" width="13.85546875" bestFit="1" customWidth="1"/>
    <col min="8" max="8" width="15.7109375" bestFit="1" customWidth="1"/>
    <col min="10" max="10" width="12.140625" customWidth="1"/>
    <col min="11" max="11" width="12" bestFit="1" customWidth="1"/>
    <col min="13" max="13" width="15.7109375" bestFit="1" customWidth="1"/>
    <col min="18" max="18" width="16.85546875" bestFit="1" customWidth="1"/>
  </cols>
  <sheetData>
    <row r="2" spans="2:19" x14ac:dyDescent="0.25">
      <c r="J2" s="6" t="s">
        <v>1</v>
      </c>
      <c r="K2" s="6">
        <f>-15/24*LOG(15/24,2)-5/24*LOG(5/24,2)-4/24*LOG(4/24,2)</f>
        <v>1.3260875253642983</v>
      </c>
    </row>
    <row r="4" spans="2:19" ht="15.75" thickBot="1" x14ac:dyDescent="0.3"/>
    <row r="5" spans="2:19" ht="16.5" thickTop="1" thickBot="1" x14ac:dyDescent="0.3">
      <c r="B5" s="5" t="s">
        <v>24</v>
      </c>
      <c r="C5" s="5"/>
      <c r="D5" s="5"/>
      <c r="G5" s="4" t="s">
        <v>25</v>
      </c>
      <c r="H5" s="4"/>
      <c r="I5" s="4"/>
      <c r="L5" s="3" t="s">
        <v>26</v>
      </c>
      <c r="M5" s="3"/>
      <c r="N5" s="3"/>
      <c r="Q5" s="7" t="s">
        <v>27</v>
      </c>
      <c r="R5" s="7"/>
      <c r="S5" s="7"/>
    </row>
    <row r="6" spans="2:19" ht="16.5" thickTop="1" thickBot="1" x14ac:dyDescent="0.3">
      <c r="B6" s="2" t="s">
        <v>2</v>
      </c>
      <c r="C6" s="2" t="s">
        <v>0</v>
      </c>
      <c r="D6" s="2">
        <f>-4/8*LOG(4/8,2)-2/8*LOG(2/8,2)-2/8*LOG(2/8,2)</f>
        <v>1.5</v>
      </c>
      <c r="G6" s="2" t="s">
        <v>9</v>
      </c>
      <c r="H6" s="2" t="s">
        <v>11</v>
      </c>
      <c r="I6" s="2">
        <f>-7/12*LOG(7/12,2)-2/12*LOG(2/12,2)-3/12*LOG(3/12,2)</f>
        <v>1.3844315043405979</v>
      </c>
      <c r="L6" s="2" t="s">
        <v>14</v>
      </c>
      <c r="M6" s="2" t="s">
        <v>16</v>
      </c>
      <c r="N6" s="2">
        <f>-7/12*LOG(7/12,2)-5/12*LOG(5/12,2)-0</f>
        <v>0.97986875665115269</v>
      </c>
      <c r="Q6" s="8" t="s">
        <v>19</v>
      </c>
      <c r="R6" s="8" t="s">
        <v>21</v>
      </c>
      <c r="S6" s="8">
        <f>-12/12*LOG(12/12,2)-0-0</f>
        <v>0</v>
      </c>
    </row>
    <row r="7" spans="2:19" ht="16.5" thickTop="1" thickBot="1" x14ac:dyDescent="0.3">
      <c r="B7" s="2" t="s">
        <v>3</v>
      </c>
      <c r="C7" s="2" t="s">
        <v>5</v>
      </c>
      <c r="D7" s="2">
        <f>-5/8*LOG(5/8,2)-2/8*LOG(2/8,2)-1/8*LOG(1/8,2)</f>
        <v>1.2987949406953985</v>
      </c>
      <c r="G7" s="2" t="s">
        <v>10</v>
      </c>
      <c r="H7" s="2" t="s">
        <v>12</v>
      </c>
      <c r="I7" s="2">
        <f>-8/12*LOG(8/12,2)-3/12*LOG(3/12,2)-1/12*LOG(1/12,2)</f>
        <v>1.1887218755408671</v>
      </c>
      <c r="L7" s="2" t="s">
        <v>15</v>
      </c>
      <c r="M7" s="2" t="s">
        <v>17</v>
      </c>
      <c r="N7" s="2">
        <f>-8/12*LOG(8/12,2)-0-4/12*LOG(4/12,2)</f>
        <v>0.91829583405448956</v>
      </c>
      <c r="Q7" s="8" t="s">
        <v>20</v>
      </c>
      <c r="R7" s="8" t="s">
        <v>22</v>
      </c>
      <c r="S7" s="8">
        <f>-3/12*LOG(3/12,2)-5/12*LOG(5/12,2)-4/12*LOG(4/12,2)</f>
        <v>1.5545851693377997</v>
      </c>
    </row>
    <row r="8" spans="2:19" ht="16.5" thickTop="1" thickBot="1" x14ac:dyDescent="0.3">
      <c r="B8" s="2" t="s">
        <v>4</v>
      </c>
      <c r="C8" s="2" t="s">
        <v>6</v>
      </c>
      <c r="D8" s="2">
        <f>-6/8*LOG(6/8,2)-1/8*LOG(1/8,2)-1/8*LOG(1/8,2)</f>
        <v>1.0612781244591329</v>
      </c>
      <c r="G8" s="1"/>
      <c r="H8" s="2" t="s">
        <v>13</v>
      </c>
      <c r="I8" s="2">
        <f>12/24*I6+12/24*I7</f>
        <v>1.2865766899407325</v>
      </c>
      <c r="L8" s="1"/>
      <c r="M8" s="2" t="s">
        <v>18</v>
      </c>
      <c r="N8" s="2">
        <f>12/24*N6+12/24*N7</f>
        <v>0.94908229535282107</v>
      </c>
      <c r="Q8" s="9"/>
      <c r="R8" s="8" t="s">
        <v>23</v>
      </c>
      <c r="S8" s="8">
        <f>12/24*S6+12/24*S7</f>
        <v>0.77729258466889983</v>
      </c>
    </row>
    <row r="9" spans="2:19" ht="16.5" thickTop="1" thickBot="1" x14ac:dyDescent="0.3">
      <c r="B9" s="1"/>
      <c r="C9" s="2" t="s">
        <v>7</v>
      </c>
      <c r="D9" s="2">
        <f>8/24*D6+8/24*D7+8/24*D8</f>
        <v>1.2866910217181771</v>
      </c>
      <c r="G9" s="1"/>
      <c r="H9" s="2"/>
      <c r="I9" s="2"/>
      <c r="L9" s="1"/>
      <c r="M9" s="2"/>
      <c r="N9" s="2"/>
      <c r="Q9" s="9"/>
      <c r="R9" s="8"/>
      <c r="S9" s="8"/>
    </row>
    <row r="10" spans="2:19" ht="16.5" thickTop="1" thickBot="1" x14ac:dyDescent="0.3">
      <c r="B10" s="1"/>
      <c r="C10" s="2" t="s">
        <v>8</v>
      </c>
      <c r="D10" s="2">
        <f>K2-D9</f>
        <v>3.9396503646121239E-2</v>
      </c>
      <c r="G10" s="1"/>
      <c r="H10" s="2" t="s">
        <v>8</v>
      </c>
      <c r="I10" s="2">
        <f>K2-I8</f>
        <v>3.9510835423565815E-2</v>
      </c>
      <c r="L10" s="1"/>
      <c r="M10" s="2" t="s">
        <v>8</v>
      </c>
      <c r="N10" s="2">
        <f>K2-N8</f>
        <v>0.37700523001147723</v>
      </c>
      <c r="Q10" s="9"/>
      <c r="R10" s="8" t="s">
        <v>8</v>
      </c>
      <c r="S10" s="8">
        <f>K2-S8</f>
        <v>0.54879494069539847</v>
      </c>
    </row>
    <row r="11" spans="2:19" ht="15.75" thickTop="1" x14ac:dyDescent="0.25"/>
  </sheetData>
  <mergeCells count="8">
    <mergeCell ref="B5:D5"/>
    <mergeCell ref="G5:I5"/>
    <mergeCell ref="L5:N5"/>
    <mergeCell ref="Q5:S5"/>
    <mergeCell ref="B9:B10"/>
    <mergeCell ref="Q8:Q10"/>
    <mergeCell ref="L8:L10"/>
    <mergeCell ref="G8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3C9B-168D-4664-B097-5F99F147C366}">
  <dimension ref="B2:N10"/>
  <sheetViews>
    <sheetView workbookViewId="0"/>
  </sheetViews>
  <sheetFormatPr baseColWidth="10" defaultRowHeight="15" x14ac:dyDescent="0.25"/>
  <cols>
    <col min="2" max="2" width="23.140625" bestFit="1" customWidth="1"/>
    <col min="3" max="3" width="21.5703125" bestFit="1" customWidth="1"/>
    <col min="7" max="7" width="22.5703125" bestFit="1" customWidth="1"/>
    <col min="8" max="8" width="15.7109375" bestFit="1" customWidth="1"/>
    <col min="12" max="12" width="12.42578125" bestFit="1" customWidth="1"/>
    <col min="13" max="13" width="21.5703125" bestFit="1" customWidth="1"/>
  </cols>
  <sheetData>
    <row r="2" spans="2:14" x14ac:dyDescent="0.25">
      <c r="H2" s="6" t="s">
        <v>21</v>
      </c>
      <c r="I2" s="6">
        <f>-12/12*LOG(12/12,2)-0-0</f>
        <v>0</v>
      </c>
    </row>
    <row r="5" spans="2:14" x14ac:dyDescent="0.25">
      <c r="B5" s="5" t="s">
        <v>24</v>
      </c>
      <c r="C5" s="5"/>
      <c r="D5" s="5"/>
      <c r="G5" s="4" t="s">
        <v>25</v>
      </c>
      <c r="H5" s="4"/>
      <c r="I5" s="4"/>
      <c r="L5" s="3" t="s">
        <v>26</v>
      </c>
      <c r="M5" s="3"/>
      <c r="N5" s="3"/>
    </row>
    <row r="6" spans="2:14" x14ac:dyDescent="0.25">
      <c r="B6" s="2" t="s">
        <v>30</v>
      </c>
      <c r="C6" s="2" t="s">
        <v>38</v>
      </c>
      <c r="D6" s="2">
        <f>-4/4*LOG(4/4,2)-0-0</f>
        <v>0</v>
      </c>
      <c r="G6" s="2" t="s">
        <v>31</v>
      </c>
      <c r="H6" s="2" t="s">
        <v>36</v>
      </c>
      <c r="I6" s="2">
        <f>-6/6*LOG(6/6,2)-0-0</f>
        <v>0</v>
      </c>
      <c r="L6" s="2" t="s">
        <v>33</v>
      </c>
      <c r="M6" s="2" t="s">
        <v>36</v>
      </c>
      <c r="N6" s="2">
        <f>-6/6*LOG(6/6,2)-0-0</f>
        <v>0</v>
      </c>
    </row>
    <row r="7" spans="2:14" x14ac:dyDescent="0.25">
      <c r="B7" s="2" t="s">
        <v>29</v>
      </c>
      <c r="C7" s="2" t="s">
        <v>38</v>
      </c>
      <c r="D7" s="2">
        <f>-4/4*LOG(4/4,2)-0-0</f>
        <v>0</v>
      </c>
      <c r="G7" s="2" t="s">
        <v>32</v>
      </c>
      <c r="H7" s="2" t="s">
        <v>36</v>
      </c>
      <c r="I7" s="2">
        <f>-6/6*LOG(6/6,2)-0-0</f>
        <v>0</v>
      </c>
      <c r="L7" s="2" t="s">
        <v>34</v>
      </c>
      <c r="M7" s="2" t="s">
        <v>36</v>
      </c>
      <c r="N7" s="2">
        <f>-6/6*LOG(6/6,2)-0-0</f>
        <v>0</v>
      </c>
    </row>
    <row r="8" spans="2:14" x14ac:dyDescent="0.25">
      <c r="B8" s="2" t="s">
        <v>28</v>
      </c>
      <c r="C8" s="2" t="s">
        <v>38</v>
      </c>
      <c r="D8" s="2">
        <f>-4/4*LOG(4/4,2)-0-0</f>
        <v>0</v>
      </c>
      <c r="G8" s="1"/>
      <c r="H8" s="2" t="s">
        <v>37</v>
      </c>
      <c r="I8" s="2">
        <f>6/12*I6+6/12*I7</f>
        <v>0</v>
      </c>
      <c r="L8" s="1"/>
      <c r="M8" s="2" t="s">
        <v>37</v>
      </c>
      <c r="N8" s="2">
        <f>6/12*N6+6/12*N7</f>
        <v>0</v>
      </c>
    </row>
    <row r="9" spans="2:14" x14ac:dyDescent="0.25">
      <c r="B9" s="1"/>
      <c r="C9" s="2" t="s">
        <v>39</v>
      </c>
      <c r="D9" s="2">
        <f>4/4*D6+4/4*D7+4/4*D8</f>
        <v>0</v>
      </c>
      <c r="G9" s="1"/>
      <c r="H9" s="2"/>
      <c r="I9" s="2"/>
      <c r="L9" s="1"/>
      <c r="M9" s="2"/>
      <c r="N9" s="2"/>
    </row>
    <row r="10" spans="2:14" x14ac:dyDescent="0.25">
      <c r="B10" s="1"/>
      <c r="C10" s="2" t="s">
        <v>8</v>
      </c>
      <c r="D10" s="2">
        <f>I2-D9</f>
        <v>0</v>
      </c>
      <c r="G10" s="1"/>
      <c r="H10" s="2" t="s">
        <v>8</v>
      </c>
      <c r="I10" s="2">
        <f>I2-I8</f>
        <v>0</v>
      </c>
      <c r="L10" s="1"/>
      <c r="M10" s="2" t="s">
        <v>8</v>
      </c>
      <c r="N10" s="2">
        <f>I2-N8</f>
        <v>0</v>
      </c>
    </row>
  </sheetData>
  <mergeCells count="6">
    <mergeCell ref="B5:D5"/>
    <mergeCell ref="G5:I5"/>
    <mergeCell ref="L5:N5"/>
    <mergeCell ref="G8:G10"/>
    <mergeCell ref="L8:L10"/>
    <mergeCell ref="B9:B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E3D8-C2C6-41F8-988E-499CC4DC9594}">
  <dimension ref="B2:N11"/>
  <sheetViews>
    <sheetView workbookViewId="0"/>
  </sheetViews>
  <sheetFormatPr baseColWidth="10" defaultRowHeight="15" x14ac:dyDescent="0.25"/>
  <cols>
    <col min="2" max="2" width="22.140625" bestFit="1" customWidth="1"/>
    <col min="3" max="3" width="21.5703125" bestFit="1" customWidth="1"/>
    <col min="7" max="7" width="21.5703125" bestFit="1" customWidth="1"/>
    <col min="8" max="8" width="15.7109375" bestFit="1" customWidth="1"/>
    <col min="12" max="12" width="12.42578125" customWidth="1"/>
    <col min="13" max="13" width="21.5703125" bestFit="1" customWidth="1"/>
  </cols>
  <sheetData>
    <row r="2" spans="2:14" x14ac:dyDescent="0.25">
      <c r="I2" s="6" t="s">
        <v>22</v>
      </c>
      <c r="J2" s="6">
        <f>-3/12*LOG(3/12,2)-5/12*LOG(5/12,2)-4/12*LOG(4/12,2)</f>
        <v>1.5545851693377997</v>
      </c>
    </row>
    <row r="4" spans="2:14" ht="15.75" thickBot="1" x14ac:dyDescent="0.3"/>
    <row r="5" spans="2:14" ht="16.5" thickTop="1" thickBot="1" x14ac:dyDescent="0.3">
      <c r="B5" s="5" t="s">
        <v>24</v>
      </c>
      <c r="C5" s="5"/>
      <c r="D5" s="5"/>
      <c r="G5" s="4" t="s">
        <v>25</v>
      </c>
      <c r="H5" s="4"/>
      <c r="I5" s="4"/>
      <c r="L5" s="10" t="s">
        <v>26</v>
      </c>
      <c r="M5" s="10"/>
      <c r="N5" s="10"/>
    </row>
    <row r="6" spans="2:14" ht="16.5" thickTop="1" thickBot="1" x14ac:dyDescent="0.3">
      <c r="B6" s="2" t="s">
        <v>40</v>
      </c>
      <c r="C6" s="2" t="s">
        <v>47</v>
      </c>
      <c r="D6" s="2">
        <f>0-2/4*LOG(2/4,2)-2/4*LOG(2/4,2)</f>
        <v>1</v>
      </c>
      <c r="G6" s="2" t="s">
        <v>43</v>
      </c>
      <c r="H6" s="2" t="s">
        <v>51</v>
      </c>
      <c r="I6" s="2">
        <f>-1/6*LOG(1/6,2)-2/6*LOG(2/6,2)-3/6*LOG(3/6,2)</f>
        <v>1.4591479170272448</v>
      </c>
      <c r="L6" s="8" t="s">
        <v>45</v>
      </c>
      <c r="M6" s="8" t="s">
        <v>55</v>
      </c>
      <c r="N6" s="8">
        <f>-1/6*LOG(1/6,2)-5/6*LOG(5/6,2)-0</f>
        <v>0.65002242164835411</v>
      </c>
    </row>
    <row r="7" spans="2:14" ht="16.5" thickTop="1" thickBot="1" x14ac:dyDescent="0.3">
      <c r="B7" s="2" t="s">
        <v>41</v>
      </c>
      <c r="C7" s="2" t="s">
        <v>48</v>
      </c>
      <c r="D7" s="2">
        <f>-1/4*LOG(1/4,2)-2/4*LOG(2/4,2)-1/4*LOG(1/4,2)</f>
        <v>1.5</v>
      </c>
      <c r="G7" s="2" t="s">
        <v>44</v>
      </c>
      <c r="H7" s="2" t="s">
        <v>52</v>
      </c>
      <c r="I7" s="2">
        <f>-2/6*LOG(2/6,2)-3/6*LOG(3/6,2)-1/6*LOG(1/6,2)</f>
        <v>1.4591479170272448</v>
      </c>
      <c r="L7" s="8" t="s">
        <v>46</v>
      </c>
      <c r="M7" s="8" t="s">
        <v>54</v>
      </c>
      <c r="N7" s="8">
        <f>-2/6*LOG(2/6,2)-0-4/6*LOG(4/6,2)</f>
        <v>0.91829583405448956</v>
      </c>
    </row>
    <row r="8" spans="2:14" ht="16.5" thickTop="1" thickBot="1" x14ac:dyDescent="0.3">
      <c r="B8" s="2" t="s">
        <v>42</v>
      </c>
      <c r="C8" s="2" t="s">
        <v>49</v>
      </c>
      <c r="D8" s="2">
        <f>-2/4*LOG(2/4,2)-1/4*LOG(1/4,2)-1/4*LOG(1/4,2)</f>
        <v>1.5</v>
      </c>
      <c r="G8" s="1"/>
      <c r="H8" s="2" t="s">
        <v>53</v>
      </c>
      <c r="I8" s="2">
        <f>6/12*I6+6/12*I7</f>
        <v>1.4591479170272448</v>
      </c>
      <c r="L8" s="9"/>
      <c r="M8" s="8"/>
      <c r="N8" s="8">
        <f>6/12*N6+6/12*N7</f>
        <v>0.78415912785142183</v>
      </c>
    </row>
    <row r="9" spans="2:14" ht="16.5" thickTop="1" thickBot="1" x14ac:dyDescent="0.3">
      <c r="B9" s="1"/>
      <c r="C9" s="2" t="s">
        <v>50</v>
      </c>
      <c r="D9" s="2">
        <f>4/12*D6+4/12*D7+4/12*D8</f>
        <v>1.3333333333333333</v>
      </c>
      <c r="G9" s="1"/>
      <c r="H9" s="2"/>
      <c r="I9" s="2"/>
      <c r="L9" s="9"/>
      <c r="M9" s="8"/>
      <c r="N9" s="8"/>
    </row>
    <row r="10" spans="2:14" ht="16.5" thickTop="1" thickBot="1" x14ac:dyDescent="0.3">
      <c r="B10" s="1"/>
      <c r="C10" s="2" t="s">
        <v>8</v>
      </c>
      <c r="D10" s="2">
        <f>J2-D9</f>
        <v>0.22125183600446641</v>
      </c>
      <c r="G10" s="1"/>
      <c r="H10" s="2" t="s">
        <v>8</v>
      </c>
      <c r="I10" s="2">
        <f>J2-I8</f>
        <v>9.5437252310554888E-2</v>
      </c>
      <c r="L10" s="9"/>
      <c r="M10" s="8" t="s">
        <v>8</v>
      </c>
      <c r="N10" s="8">
        <f>J2-N8</f>
        <v>0.77042604148637783</v>
      </c>
    </row>
    <row r="11" spans="2:14" ht="15.75" thickTop="1" x14ac:dyDescent="0.25"/>
  </sheetData>
  <mergeCells count="6">
    <mergeCell ref="B5:D5"/>
    <mergeCell ref="G5:I5"/>
    <mergeCell ref="L5:N5"/>
    <mergeCell ref="G8:G10"/>
    <mergeCell ref="L8:L10"/>
    <mergeCell ref="B9:B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4139-4EBB-4DF4-AD6C-FA592E3297B2}">
  <dimension ref="B2:I11"/>
  <sheetViews>
    <sheetView workbookViewId="0"/>
  </sheetViews>
  <sheetFormatPr baseColWidth="10" defaultRowHeight="15" x14ac:dyDescent="0.25"/>
  <cols>
    <col min="2" max="2" width="25.140625" bestFit="1" customWidth="1"/>
    <col min="3" max="3" width="21.5703125" bestFit="1" customWidth="1"/>
    <col min="7" max="7" width="24.5703125" bestFit="1" customWidth="1"/>
    <col min="8" max="8" width="15.7109375" bestFit="1" customWidth="1"/>
  </cols>
  <sheetData>
    <row r="2" spans="2:9" x14ac:dyDescent="0.25">
      <c r="E2" s="6" t="s">
        <v>55</v>
      </c>
      <c r="F2" s="6">
        <f>-1/6*LOG(1/6,2)-5/6*LOG(5/6,2)-0</f>
        <v>0.65002242164835411</v>
      </c>
    </row>
    <row r="4" spans="2:9" ht="15.75" thickBot="1" x14ac:dyDescent="0.3"/>
    <row r="5" spans="2:9" ht="16.5" thickTop="1" thickBot="1" x14ac:dyDescent="0.3">
      <c r="B5" s="11" t="s">
        <v>24</v>
      </c>
      <c r="C5" s="11"/>
      <c r="D5" s="11"/>
      <c r="G5" s="4" t="s">
        <v>25</v>
      </c>
      <c r="H5" s="4"/>
      <c r="I5" s="4"/>
    </row>
    <row r="6" spans="2:9" ht="16.5" thickTop="1" thickBot="1" x14ac:dyDescent="0.3">
      <c r="B6" s="8" t="s">
        <v>56</v>
      </c>
      <c r="C6" s="8" t="s">
        <v>61</v>
      </c>
      <c r="D6" s="8">
        <f>0-2/2*LOG(2/2,2)-0</f>
        <v>0</v>
      </c>
      <c r="G6" s="2" t="s">
        <v>59</v>
      </c>
      <c r="H6" s="2" t="s">
        <v>63</v>
      </c>
      <c r="I6" s="2">
        <f>-1/3*LOG(1/3,2)-2/3*LOG(2/3,2)-0</f>
        <v>0.91829583405448956</v>
      </c>
    </row>
    <row r="7" spans="2:9" ht="16.5" thickTop="1" thickBot="1" x14ac:dyDescent="0.3">
      <c r="B7" s="8" t="s">
        <v>57</v>
      </c>
      <c r="C7" s="8" t="s">
        <v>61</v>
      </c>
      <c r="D7" s="8">
        <f>0-2/2*LOG(2/2,2)-0</f>
        <v>0</v>
      </c>
      <c r="G7" s="2" t="s">
        <v>60</v>
      </c>
      <c r="H7" s="2" t="s">
        <v>35</v>
      </c>
      <c r="I7" s="2">
        <f>0-3/3*LOG(3/3,2)-0</f>
        <v>0</v>
      </c>
    </row>
    <row r="8" spans="2:9" ht="16.5" thickTop="1" thickBot="1" x14ac:dyDescent="0.3">
      <c r="B8" s="8" t="s">
        <v>58</v>
      </c>
      <c r="C8" s="8" t="s">
        <v>62</v>
      </c>
      <c r="D8" s="8">
        <f>-1/2*LOG(1/2,2)-1/2*LOG(1/2,2)-0</f>
        <v>1</v>
      </c>
      <c r="G8" s="1"/>
      <c r="H8" s="2" t="s">
        <v>65</v>
      </c>
      <c r="I8" s="2">
        <f>3/6*I6+3/6*I7</f>
        <v>0.45914791702724478</v>
      </c>
    </row>
    <row r="9" spans="2:9" ht="16.5" thickTop="1" thickBot="1" x14ac:dyDescent="0.3">
      <c r="B9" s="9"/>
      <c r="C9" s="8" t="s">
        <v>64</v>
      </c>
      <c r="D9" s="8">
        <f>2/6*D6+2/6*D7+2/6*D8</f>
        <v>0.33333333333333331</v>
      </c>
      <c r="G9" s="1"/>
      <c r="H9" s="2"/>
      <c r="I9" s="2"/>
    </row>
    <row r="10" spans="2:9" ht="16.5" thickTop="1" thickBot="1" x14ac:dyDescent="0.3">
      <c r="B10" s="9"/>
      <c r="C10" s="8" t="s">
        <v>8</v>
      </c>
      <c r="D10" s="8">
        <f>F2-D9</f>
        <v>0.31668908831502079</v>
      </c>
      <c r="G10" s="1"/>
      <c r="H10" s="2" t="s">
        <v>8</v>
      </c>
      <c r="I10" s="2">
        <f>F2-I8</f>
        <v>0.19087450462110933</v>
      </c>
    </row>
    <row r="11" spans="2:9" ht="15.75" thickTop="1" x14ac:dyDescent="0.25"/>
  </sheetData>
  <mergeCells count="4">
    <mergeCell ref="B5:D5"/>
    <mergeCell ref="G5:I5"/>
    <mergeCell ref="G8:G10"/>
    <mergeCell ref="B9:B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4FB5-9E3B-42F3-8FF2-373C566E15B5}">
  <dimension ref="B2:I11"/>
  <sheetViews>
    <sheetView workbookViewId="0"/>
  </sheetViews>
  <sheetFormatPr baseColWidth="10" defaultRowHeight="15" x14ac:dyDescent="0.25"/>
  <cols>
    <col min="2" max="2" width="25.85546875" bestFit="1" customWidth="1"/>
    <col min="3" max="3" width="21.5703125" bestFit="1" customWidth="1"/>
    <col min="7" max="7" width="25.28515625" bestFit="1" customWidth="1"/>
    <col min="8" max="8" width="15.7109375" bestFit="1" customWidth="1"/>
  </cols>
  <sheetData>
    <row r="2" spans="2:9" x14ac:dyDescent="0.25">
      <c r="E2" s="6" t="s">
        <v>54</v>
      </c>
      <c r="F2" s="6">
        <f>-2/6*LOG(2/6,2)-0-4/6*LOG(4/6,2)</f>
        <v>0.91829583405448956</v>
      </c>
    </row>
    <row r="4" spans="2:9" ht="15.75" thickBot="1" x14ac:dyDescent="0.3"/>
    <row r="5" spans="2:9" ht="16.5" thickTop="1" thickBot="1" x14ac:dyDescent="0.3">
      <c r="B5" s="5" t="s">
        <v>24</v>
      </c>
      <c r="C5" s="5"/>
      <c r="D5" s="5"/>
      <c r="G5" s="12" t="s">
        <v>25</v>
      </c>
      <c r="H5" s="12"/>
      <c r="I5" s="12"/>
    </row>
    <row r="6" spans="2:9" ht="16.5" thickTop="1" thickBot="1" x14ac:dyDescent="0.3">
      <c r="B6" s="2" t="s">
        <v>66</v>
      </c>
      <c r="C6" s="2" t="s">
        <v>71</v>
      </c>
      <c r="D6" s="2">
        <f>0-0-2/2*LOG(2/2,2)</f>
        <v>0</v>
      </c>
      <c r="G6" s="8" t="s">
        <v>69</v>
      </c>
      <c r="H6" s="8" t="s">
        <v>74</v>
      </c>
      <c r="I6" s="8">
        <f>0-0-3/3*LOG(3/3,2)</f>
        <v>0</v>
      </c>
    </row>
    <row r="7" spans="2:9" ht="16.5" thickTop="1" thickBot="1" x14ac:dyDescent="0.3">
      <c r="B7" s="2" t="s">
        <v>67</v>
      </c>
      <c r="C7" s="2" t="s">
        <v>72</v>
      </c>
      <c r="D7" s="2">
        <f>-1/2*LOG(1/2,2)-0-1/2*LOG(1/2,2)</f>
        <v>1</v>
      </c>
      <c r="G7" s="8" t="s">
        <v>70</v>
      </c>
      <c r="H7" s="8" t="s">
        <v>75</v>
      </c>
      <c r="I7" s="8">
        <f>-2/3*LOG(2/3,2)-0-1/3*LOG(1/3,2)</f>
        <v>0.91829583405448956</v>
      </c>
    </row>
    <row r="8" spans="2:9" ht="16.5" thickTop="1" thickBot="1" x14ac:dyDescent="0.3">
      <c r="B8" s="2" t="s">
        <v>68</v>
      </c>
      <c r="C8" s="2" t="s">
        <v>72</v>
      </c>
      <c r="D8" s="2">
        <f>-1/2*LOG(1/2,2)-0-1/2*LOG(1/2,2)</f>
        <v>1</v>
      </c>
      <c r="G8" s="9"/>
      <c r="H8" s="8" t="s">
        <v>76</v>
      </c>
      <c r="I8" s="8">
        <f>3/6*I6+3/6*I7</f>
        <v>0.45914791702724478</v>
      </c>
    </row>
    <row r="9" spans="2:9" ht="16.5" thickTop="1" thickBot="1" x14ac:dyDescent="0.3">
      <c r="B9" s="1"/>
      <c r="C9" s="2" t="s">
        <v>73</v>
      </c>
      <c r="D9" s="2">
        <f>2/6*D6+2/6*D7+2/6*D8</f>
        <v>0.66666666666666663</v>
      </c>
      <c r="G9" s="9"/>
      <c r="H9" s="8"/>
      <c r="I9" s="8"/>
    </row>
    <row r="10" spans="2:9" ht="16.5" thickTop="1" thickBot="1" x14ac:dyDescent="0.3">
      <c r="B10" s="1"/>
      <c r="C10" s="2" t="s">
        <v>8</v>
      </c>
      <c r="D10" s="2">
        <f>F2-D9</f>
        <v>0.25162916738782293</v>
      </c>
      <c r="G10" s="9"/>
      <c r="H10" s="8" t="s">
        <v>8</v>
      </c>
      <c r="I10" s="8">
        <f>F2-I8</f>
        <v>0.45914791702724478</v>
      </c>
    </row>
    <row r="11" spans="2:9" ht="15.75" thickTop="1" x14ac:dyDescent="0.25"/>
  </sheetData>
  <mergeCells count="4">
    <mergeCell ref="B5:D5"/>
    <mergeCell ref="G5:I5"/>
    <mergeCell ref="G8:G10"/>
    <mergeCell ref="B9:B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2210-68C6-48D5-8E96-1F437BB3DD99}">
  <dimension ref="B2:N9"/>
  <sheetViews>
    <sheetView workbookViewId="0"/>
  </sheetViews>
  <sheetFormatPr baseColWidth="10" defaultRowHeight="15" x14ac:dyDescent="0.25"/>
  <cols>
    <col min="2" max="2" width="30.85546875" bestFit="1" customWidth="1"/>
    <col min="3" max="3" width="15.7109375" bestFit="1" customWidth="1"/>
    <col min="7" max="7" width="37.7109375" bestFit="1" customWidth="1"/>
    <col min="12" max="12" width="34.5703125" bestFit="1" customWidth="1"/>
    <col min="13" max="13" width="15.7109375" bestFit="1" customWidth="1"/>
  </cols>
  <sheetData>
    <row r="2" spans="2:14" x14ac:dyDescent="0.25">
      <c r="C2" s="6" t="s">
        <v>79</v>
      </c>
      <c r="D2" s="6">
        <f>-2/2*LOG(2/2,2)-0</f>
        <v>0</v>
      </c>
      <c r="H2" s="6" t="s">
        <v>79</v>
      </c>
      <c r="I2" s="6">
        <f>-2/2*LOG(2/2,2)-0</f>
        <v>0</v>
      </c>
      <c r="M2" s="6" t="s">
        <v>86</v>
      </c>
      <c r="N2" s="6">
        <f>-1/2*LOG(1/2,2)-1/2*LOG(1/2,2)</f>
        <v>1</v>
      </c>
    </row>
    <row r="4" spans="2:14" x14ac:dyDescent="0.25">
      <c r="B4" s="4" t="s">
        <v>25</v>
      </c>
      <c r="C4" s="4"/>
      <c r="D4" s="4"/>
      <c r="G4" s="4" t="s">
        <v>25</v>
      </c>
      <c r="H4" s="4"/>
      <c r="I4" s="4"/>
      <c r="L4" s="4" t="s">
        <v>25</v>
      </c>
      <c r="M4" s="4"/>
      <c r="N4" s="4"/>
    </row>
    <row r="5" spans="2:14" x14ac:dyDescent="0.25">
      <c r="B5" s="2" t="s">
        <v>77</v>
      </c>
      <c r="C5" s="2" t="s">
        <v>80</v>
      </c>
      <c r="D5" s="2">
        <f>0-1/1*LOG(1/1,2)-0</f>
        <v>0</v>
      </c>
      <c r="G5" s="2" t="s">
        <v>82</v>
      </c>
      <c r="H5" s="2" t="s">
        <v>80</v>
      </c>
      <c r="I5" s="2">
        <f>0-1/1*LOG(1/1,2)-0</f>
        <v>0</v>
      </c>
      <c r="L5" s="2" t="s">
        <v>84</v>
      </c>
      <c r="M5" s="2" t="s">
        <v>87</v>
      </c>
      <c r="N5" s="2">
        <f>0-1/1*LOG(1/1,2)-0</f>
        <v>0</v>
      </c>
    </row>
    <row r="6" spans="2:14" x14ac:dyDescent="0.25">
      <c r="B6" s="2" t="s">
        <v>78</v>
      </c>
      <c r="C6" s="2" t="s">
        <v>80</v>
      </c>
      <c r="D6" s="2">
        <f>0-1/1*LOG(1/1,2)-0</f>
        <v>0</v>
      </c>
      <c r="G6" s="2" t="s">
        <v>83</v>
      </c>
      <c r="H6" s="2" t="s">
        <v>80</v>
      </c>
      <c r="I6" s="2">
        <f>0-1/1*LOG(1/1,2)-0</f>
        <v>0</v>
      </c>
      <c r="L6" s="2" t="s">
        <v>85</v>
      </c>
      <c r="M6" s="2" t="s">
        <v>80</v>
      </c>
      <c r="N6" s="2">
        <f>0-1/1*LOG(1/1,2)-0</f>
        <v>0</v>
      </c>
    </row>
    <row r="7" spans="2:14" x14ac:dyDescent="0.25">
      <c r="B7" s="1"/>
      <c r="C7" s="2" t="s">
        <v>81</v>
      </c>
      <c r="D7" s="2">
        <f>1/2*D5+1/2*D6</f>
        <v>0</v>
      </c>
      <c r="G7" s="1"/>
      <c r="H7" s="2" t="s">
        <v>81</v>
      </c>
      <c r="I7" s="2">
        <f>1/2*I5+1/2*I6</f>
        <v>0</v>
      </c>
      <c r="L7" s="1"/>
      <c r="M7" s="2" t="s">
        <v>88</v>
      </c>
      <c r="N7" s="2">
        <f>1/2*N5+1/2*N6</f>
        <v>0</v>
      </c>
    </row>
    <row r="8" spans="2:14" x14ac:dyDescent="0.25">
      <c r="B8" s="1"/>
      <c r="C8" s="2"/>
      <c r="D8" s="2"/>
      <c r="G8" s="1"/>
      <c r="H8" s="2"/>
      <c r="I8" s="2"/>
      <c r="L8" s="1"/>
      <c r="M8" s="2"/>
      <c r="N8" s="2"/>
    </row>
    <row r="9" spans="2:14" x14ac:dyDescent="0.25">
      <c r="B9" s="1"/>
      <c r="C9" s="2" t="s">
        <v>8</v>
      </c>
      <c r="D9" s="2">
        <f>D2-D7</f>
        <v>0</v>
      </c>
      <c r="G9" s="1"/>
      <c r="H9" s="2" t="s">
        <v>8</v>
      </c>
      <c r="I9" s="2">
        <f>I2-I7</f>
        <v>0</v>
      </c>
      <c r="L9" s="1"/>
      <c r="M9" s="2" t="s">
        <v>8</v>
      </c>
      <c r="N9" s="2">
        <f>N2-N7</f>
        <v>1</v>
      </c>
    </row>
  </sheetData>
  <mergeCells count="6">
    <mergeCell ref="L4:N4"/>
    <mergeCell ref="L7:L9"/>
    <mergeCell ref="B4:D4"/>
    <mergeCell ref="B7:B9"/>
    <mergeCell ref="G4:I4"/>
    <mergeCell ref="G7:G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5977-47FE-403C-8885-CF0FF6542DB6}">
  <dimension ref="B2:I10"/>
  <sheetViews>
    <sheetView workbookViewId="0"/>
  </sheetViews>
  <sheetFormatPr baseColWidth="10" defaultRowHeight="15" x14ac:dyDescent="0.25"/>
  <cols>
    <col min="2" max="2" width="32.28515625" bestFit="1" customWidth="1"/>
    <col min="3" max="3" width="21.5703125" bestFit="1" customWidth="1"/>
    <col min="7" max="7" width="39.140625" bestFit="1" customWidth="1"/>
    <col min="8" max="8" width="21.5703125" bestFit="1" customWidth="1"/>
  </cols>
  <sheetData>
    <row r="2" spans="2:9" x14ac:dyDescent="0.25">
      <c r="C2" s="6" t="s">
        <v>74</v>
      </c>
      <c r="D2" s="6">
        <f>0-0-3/3*LOG(3/3,2)</f>
        <v>0</v>
      </c>
      <c r="H2" s="6" t="s">
        <v>98</v>
      </c>
      <c r="I2" s="6">
        <f>-2/3*LOG(2/3,2)-0-1/3*LOG(1/3,2)</f>
        <v>0.91829583405448956</v>
      </c>
    </row>
    <row r="5" spans="2:9" x14ac:dyDescent="0.25">
      <c r="B5" s="5" t="s">
        <v>24</v>
      </c>
      <c r="C5" s="5"/>
      <c r="D5" s="5"/>
      <c r="G5" s="5" t="s">
        <v>24</v>
      </c>
      <c r="H5" s="5"/>
      <c r="I5" s="5"/>
    </row>
    <row r="6" spans="2:9" x14ac:dyDescent="0.25">
      <c r="B6" s="2" t="s">
        <v>89</v>
      </c>
      <c r="C6" s="2" t="s">
        <v>92</v>
      </c>
      <c r="D6" s="2">
        <f>0-0-1/1*LOG(1/1,2)</f>
        <v>0</v>
      </c>
      <c r="G6" s="2" t="s">
        <v>94</v>
      </c>
      <c r="H6" s="2" t="s">
        <v>92</v>
      </c>
      <c r="I6" s="2">
        <f>0-0-1/1*LOG(1/1,2)</f>
        <v>0</v>
      </c>
    </row>
    <row r="7" spans="2:9" x14ac:dyDescent="0.25">
      <c r="B7" s="2" t="s">
        <v>90</v>
      </c>
      <c r="C7" s="2" t="s">
        <v>92</v>
      </c>
      <c r="D7" s="2">
        <f>0-0-1/1*LOG(1/1,2)</f>
        <v>0</v>
      </c>
      <c r="G7" s="2" t="s">
        <v>95</v>
      </c>
      <c r="H7" s="2" t="s">
        <v>87</v>
      </c>
      <c r="I7" s="2">
        <f>0-0-1/1*LOG(1/1,2)</f>
        <v>0</v>
      </c>
    </row>
    <row r="8" spans="2:9" x14ac:dyDescent="0.25">
      <c r="B8" s="2" t="s">
        <v>91</v>
      </c>
      <c r="C8" s="2" t="s">
        <v>92</v>
      </c>
      <c r="D8" s="2">
        <f>0-0-1/1*LOG(1/1,2)</f>
        <v>0</v>
      </c>
      <c r="G8" s="2" t="s">
        <v>96</v>
      </c>
      <c r="H8" s="2" t="s">
        <v>87</v>
      </c>
      <c r="I8" s="2">
        <f>0-0-1/1*LOG(1/1,2)</f>
        <v>0</v>
      </c>
    </row>
    <row r="9" spans="2:9" x14ac:dyDescent="0.25">
      <c r="B9" s="1"/>
      <c r="C9" s="2" t="s">
        <v>93</v>
      </c>
      <c r="D9" s="2">
        <f>1/3*D6+1/3*D7+1/3*D8</f>
        <v>0</v>
      </c>
      <c r="G9" s="1"/>
      <c r="H9" s="2" t="s">
        <v>97</v>
      </c>
      <c r="I9" s="2">
        <f>1/3*I6+1/3*I7+1/3*I8</f>
        <v>0</v>
      </c>
    </row>
    <row r="10" spans="2:9" x14ac:dyDescent="0.25">
      <c r="B10" s="1"/>
      <c r="C10" s="2" t="s">
        <v>8</v>
      </c>
      <c r="D10" s="2">
        <f>D2-D9</f>
        <v>0</v>
      </c>
      <c r="G10" s="1"/>
      <c r="H10" s="2" t="s">
        <v>8</v>
      </c>
      <c r="I10" s="2">
        <f>I2-I9</f>
        <v>0.91829583405448956</v>
      </c>
    </row>
  </sheetData>
  <mergeCells count="4">
    <mergeCell ref="B5:D5"/>
    <mergeCell ref="B9:B10"/>
    <mergeCell ref="G5:I5"/>
    <mergeCell ref="G9:G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8FAF-D355-44D0-A3F3-79B1D314EF38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A6A664C38A9E4FAE86997DFB004358" ma:contentTypeVersion="2" ma:contentTypeDescription="Crear nuevo documento." ma:contentTypeScope="" ma:versionID="12e9bb4ff352a2e75d55c2b0496eb6ad">
  <xsd:schema xmlns:xsd="http://www.w3.org/2001/XMLSchema" xmlns:xs="http://www.w3.org/2001/XMLSchema" xmlns:p="http://schemas.microsoft.com/office/2006/metadata/properties" xmlns:ns3="319dc173-e019-4de0-b3d5-ed33c5180fc0" targetNamespace="http://schemas.microsoft.com/office/2006/metadata/properties" ma:root="true" ma:fieldsID="4aae7b4d35f380cb32f3999bf37783f2" ns3:_="">
    <xsd:import namespace="319dc173-e019-4de0-b3d5-ed33c5180f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9dc173-e019-4de0-b3d5-ed33c5180f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6FE14C-F555-4209-9C62-78A858B89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9dc173-e019-4de0-b3d5-ed33c5180f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6E4E74-CC50-43CC-B7B8-A516D89A712A}">
  <ds:schemaRefs>
    <ds:schemaRef ds:uri="http://schemas.microsoft.com/office/2006/documentManagement/types"/>
    <ds:schemaRef ds:uri="http://purl.org/dc/terms/"/>
    <ds:schemaRef ds:uri="319dc173-e019-4de0-b3d5-ed33c5180fc0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508EEE8-7827-44F7-85F9-95F7C78D0D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raiz</vt:lpstr>
      <vt:lpstr>tear production(reduced)</vt:lpstr>
      <vt:lpstr>tear production(normal)</vt:lpstr>
      <vt:lpstr>Astigmatism(normal-no)</vt:lpstr>
      <vt:lpstr>Astigmatism(normal-yes)</vt:lpstr>
      <vt:lpstr>Age(normal-no-young_pre_presby)</vt:lpstr>
      <vt:lpstr>Spect(normal-yes-miope_hyper)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rojano jimenez</dc:creator>
  <cp:lastModifiedBy>christopher rojano jimenez</cp:lastModifiedBy>
  <dcterms:created xsi:type="dcterms:W3CDTF">2023-05-09T22:44:53Z</dcterms:created>
  <dcterms:modified xsi:type="dcterms:W3CDTF">2023-05-10T05:16:46Z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0x010100C0A6A664C38A9E4FAE86997DFB004358</vt:lpwstr>
  </property>
</Properties>
</file>