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mec\Documents\GitHub\dataDesignWeek1\DataAndDesignWeekOne\Assets\Editor\"/>
    </mc:Choice>
  </mc:AlternateContent>
  <xr:revisionPtr revIDLastSave="0" documentId="13_ncr:1_{93CE5D00-3977-48FF-B2BC-79DC19096327}" xr6:coauthVersionLast="47" xr6:coauthVersionMax="47" xr10:uidLastSave="{00000000-0000-0000-0000-000000000000}"/>
  <bookViews>
    <workbookView xWindow="28680" yWindow="-120" windowWidth="29040" windowHeight="17640" xr2:uid="{BF5A99BE-0962-40A7-B624-F4241E3A742A}"/>
  </bookViews>
  <sheets>
    <sheet name="Potion Crafting" sheetId="1" r:id="rId1"/>
    <sheet name="Categories" sheetId="2" r:id="rId2"/>
  </sheets>
  <definedNames>
    <definedName name="IngredientRarity">Ingredients[Rarity]</definedName>
    <definedName name="PotionRarity">Potions[Rarity]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3" i="1" l="1"/>
  <c r="AA23" i="1"/>
  <c r="AK23" i="1" s="1"/>
  <c r="AF23" i="1"/>
  <c r="AG23" i="1"/>
  <c r="AH23" i="1"/>
  <c r="AO23" i="1"/>
  <c r="E22" i="1"/>
  <c r="G22" i="1" s="1" a="1"/>
  <c r="G22" i="1" s="1"/>
  <c r="H22" i="1"/>
  <c r="E21" i="1"/>
  <c r="G21" i="1" s="1" a="1"/>
  <c r="G21" i="1" s="1"/>
  <c r="H21" i="1"/>
  <c r="N17" i="1"/>
  <c r="V24" i="1"/>
  <c r="K18" i="1"/>
  <c r="F23" i="1"/>
  <c r="B23" i="1"/>
  <c r="D30" i="1"/>
  <c r="W11" i="1"/>
  <c r="AA11" i="1"/>
  <c r="AK11" i="1" s="1"/>
  <c r="AE11" i="1"/>
  <c r="AF11" i="1"/>
  <c r="AG11" i="1"/>
  <c r="AH11" i="1"/>
  <c r="AO11" i="1"/>
  <c r="AM23" i="1" l="1"/>
  <c r="AL23" i="1"/>
  <c r="AJ23" i="1" a="1"/>
  <c r="AJ23" i="1" s="1"/>
  <c r="AM11" i="1"/>
  <c r="AL11" i="1"/>
  <c r="W12" i="1"/>
  <c r="AA12" i="1"/>
  <c r="AE12" i="1"/>
  <c r="AF12" i="1"/>
  <c r="AG12" i="1"/>
  <c r="AH12" i="1"/>
  <c r="AO12" i="1"/>
  <c r="W13" i="1"/>
  <c r="AA13" i="1"/>
  <c r="AE13" i="1"/>
  <c r="AF13" i="1"/>
  <c r="AG13" i="1"/>
  <c r="AH13" i="1"/>
  <c r="AO13" i="1"/>
  <c r="W18" i="1"/>
  <c r="AA18" i="1"/>
  <c r="AE18" i="1"/>
  <c r="AF18" i="1"/>
  <c r="AG18" i="1"/>
  <c r="AH18" i="1"/>
  <c r="AO18" i="1"/>
  <c r="W22" i="1"/>
  <c r="AA22" i="1"/>
  <c r="AE22" i="1"/>
  <c r="AF22" i="1"/>
  <c r="AG22" i="1"/>
  <c r="AH22" i="1"/>
  <c r="AO22" i="1"/>
  <c r="H9" i="1"/>
  <c r="H5" i="1"/>
  <c r="H8" i="1"/>
  <c r="H6" i="1"/>
  <c r="H11" i="1"/>
  <c r="H10" i="1"/>
  <c r="H13" i="1"/>
  <c r="H12" i="1"/>
  <c r="H14" i="1"/>
  <c r="H16" i="1"/>
  <c r="H17" i="1"/>
  <c r="H15" i="1"/>
  <c r="H18" i="1"/>
  <c r="H19" i="1"/>
  <c r="H20" i="1"/>
  <c r="N9" i="1"/>
  <c r="AJ11" i="1" s="1" a="1"/>
  <c r="AJ11" i="1" s="1"/>
  <c r="O9" i="1"/>
  <c r="W14" i="1"/>
  <c r="AA14" i="1"/>
  <c r="AE14" i="1"/>
  <c r="AF14" i="1"/>
  <c r="AG14" i="1"/>
  <c r="AH14" i="1"/>
  <c r="AO14" i="1"/>
  <c r="N10" i="1"/>
  <c r="O10" i="1"/>
  <c r="W5" i="1"/>
  <c r="AA5" i="1"/>
  <c r="AE5" i="1"/>
  <c r="AF5" i="1"/>
  <c r="AG5" i="1"/>
  <c r="AH5" i="1"/>
  <c r="AO5" i="1"/>
  <c r="W9" i="1"/>
  <c r="AA9" i="1"/>
  <c r="AE9" i="1"/>
  <c r="AF9" i="1"/>
  <c r="AG9" i="1"/>
  <c r="AH9" i="1"/>
  <c r="AO9" i="1"/>
  <c r="AE6" i="1"/>
  <c r="AE7" i="1"/>
  <c r="AE8" i="1"/>
  <c r="AE17" i="1"/>
  <c r="AE15" i="1"/>
  <c r="AE10" i="1"/>
  <c r="AE21" i="1"/>
  <c r="AE16" i="1"/>
  <c r="AE19" i="1"/>
  <c r="AE20" i="1"/>
  <c r="W21" i="1"/>
  <c r="W16" i="1"/>
  <c r="W19" i="1"/>
  <c r="W20" i="1"/>
  <c r="AA21" i="1"/>
  <c r="AA16" i="1"/>
  <c r="AA19" i="1"/>
  <c r="AA20" i="1"/>
  <c r="AF21" i="1"/>
  <c r="AF16" i="1"/>
  <c r="AF19" i="1"/>
  <c r="AF20" i="1"/>
  <c r="AG21" i="1"/>
  <c r="AG16" i="1"/>
  <c r="AG19" i="1"/>
  <c r="AG20" i="1"/>
  <c r="AH21" i="1"/>
  <c r="AH16" i="1"/>
  <c r="AH19" i="1"/>
  <c r="AH20" i="1"/>
  <c r="AO21" i="1"/>
  <c r="AO16" i="1"/>
  <c r="AO19" i="1"/>
  <c r="AO20" i="1"/>
  <c r="N7" i="1"/>
  <c r="O7" i="1"/>
  <c r="N12" i="1"/>
  <c r="O12" i="1"/>
  <c r="N5" i="1"/>
  <c r="O5" i="1"/>
  <c r="N14" i="1"/>
  <c r="O14" i="1"/>
  <c r="E19" i="1"/>
  <c r="AI23" i="1" s="1"/>
  <c r="D32" i="1"/>
  <c r="D31" i="1"/>
  <c r="H5" i="2"/>
  <c r="H6" i="2"/>
  <c r="H7" i="2"/>
  <c r="H8" i="2"/>
  <c r="H9" i="2"/>
  <c r="G5" i="2"/>
  <c r="G6" i="2"/>
  <c r="G7" i="2"/>
  <c r="G8" i="2"/>
  <c r="G9" i="2"/>
  <c r="E9" i="2"/>
  <c r="E8" i="2"/>
  <c r="E7" i="2"/>
  <c r="E6" i="2"/>
  <c r="E5" i="2"/>
  <c r="E13" i="1"/>
  <c r="E7" i="1"/>
  <c r="G7" i="1" s="1" a="1"/>
  <c r="G7" i="1" s="1"/>
  <c r="H7" i="1"/>
  <c r="E5" i="1"/>
  <c r="G5" i="1" s="1" a="1"/>
  <c r="G5" i="1" s="1"/>
  <c r="E10" i="1"/>
  <c r="G10" i="1" s="1" a="1"/>
  <c r="G10" i="1" s="1"/>
  <c r="E14" i="1"/>
  <c r="E18" i="1"/>
  <c r="E6" i="1"/>
  <c r="E17" i="1"/>
  <c r="E11" i="1"/>
  <c r="AH6" i="1"/>
  <c r="AH7" i="1"/>
  <c r="AH8" i="1"/>
  <c r="AH17" i="1"/>
  <c r="AH15" i="1"/>
  <c r="AH10" i="1"/>
  <c r="AG6" i="1"/>
  <c r="AG7" i="1"/>
  <c r="AG8" i="1"/>
  <c r="AG17" i="1"/>
  <c r="AG15" i="1"/>
  <c r="AG10" i="1"/>
  <c r="AF6" i="1"/>
  <c r="AF7" i="1"/>
  <c r="AF8" i="1"/>
  <c r="AF17" i="1"/>
  <c r="AF15" i="1"/>
  <c r="AF10" i="1"/>
  <c r="N16" i="1"/>
  <c r="N11" i="1"/>
  <c r="N13" i="1"/>
  <c r="N15" i="1"/>
  <c r="N8" i="1"/>
  <c r="N6" i="1"/>
  <c r="E9" i="1"/>
  <c r="E15" i="1"/>
  <c r="E16" i="1"/>
  <c r="E12" i="1"/>
  <c r="E8" i="1"/>
  <c r="E20" i="1"/>
  <c r="W6" i="1"/>
  <c r="W7" i="1"/>
  <c r="W8" i="1"/>
  <c r="W17" i="1"/>
  <c r="W15" i="1"/>
  <c r="W10" i="1"/>
  <c r="AO6" i="1"/>
  <c r="AO7" i="1"/>
  <c r="AO8" i="1"/>
  <c r="AO17" i="1"/>
  <c r="AO15" i="1"/>
  <c r="AO10" i="1"/>
  <c r="AA6" i="1"/>
  <c r="AA7" i="1"/>
  <c r="AA8" i="1"/>
  <c r="AA17" i="1"/>
  <c r="AA15" i="1"/>
  <c r="AA10" i="1"/>
  <c r="O16" i="1"/>
  <c r="O11" i="1"/>
  <c r="O13" i="1"/>
  <c r="O15" i="1"/>
  <c r="O8" i="1"/>
  <c r="O6" i="1"/>
  <c r="AN23" i="1" l="1"/>
  <c r="D33" i="1"/>
  <c r="AA24" i="1"/>
  <c r="H23" i="1"/>
  <c r="O18" i="1"/>
  <c r="C16" i="2"/>
  <c r="H10" i="2"/>
  <c r="J6" i="2" s="1"/>
  <c r="G10" i="2"/>
  <c r="I8" i="2" s="1"/>
  <c r="G13" i="1" a="1"/>
  <c r="G13" i="1" s="1"/>
  <c r="AC6" i="1" s="1"/>
  <c r="AI15" i="1"/>
  <c r="AI6" i="1"/>
  <c r="AI17" i="1"/>
  <c r="AI7" i="1"/>
  <c r="AI10" i="1"/>
  <c r="AI11" i="1"/>
  <c r="AB11" i="1" s="1"/>
  <c r="AI13" i="1"/>
  <c r="AI14" i="1"/>
  <c r="AI16" i="1"/>
  <c r="AI21" i="1"/>
  <c r="AI8" i="1"/>
  <c r="AI20" i="1"/>
  <c r="AI9" i="1"/>
  <c r="AI22" i="1"/>
  <c r="AI19" i="1"/>
  <c r="AI12" i="1"/>
  <c r="AI5" i="1"/>
  <c r="AI18" i="1"/>
  <c r="AJ5" i="1" a="1"/>
  <c r="AJ5" i="1" s="1"/>
  <c r="AN11" i="1"/>
  <c r="AL10" i="1"/>
  <c r="AM10" i="1"/>
  <c r="AL18" i="1"/>
  <c r="AM18" i="1"/>
  <c r="AL16" i="1"/>
  <c r="AM16" i="1"/>
  <c r="AL9" i="1"/>
  <c r="AM9" i="1"/>
  <c r="AL7" i="1"/>
  <c r="AM7" i="1"/>
  <c r="AL20" i="1"/>
  <c r="AM20" i="1"/>
  <c r="AL6" i="1"/>
  <c r="AM6" i="1"/>
  <c r="AL21" i="1"/>
  <c r="AM21" i="1"/>
  <c r="AL14" i="1"/>
  <c r="AM14" i="1"/>
  <c r="AL15" i="1"/>
  <c r="AM15" i="1"/>
  <c r="AL8" i="1"/>
  <c r="AM8" i="1"/>
  <c r="AL19" i="1"/>
  <c r="AM19" i="1"/>
  <c r="AL13" i="1"/>
  <c r="AM13" i="1"/>
  <c r="AL22" i="1"/>
  <c r="AM22" i="1"/>
  <c r="AL17" i="1"/>
  <c r="AM17" i="1"/>
  <c r="AL5" i="1"/>
  <c r="AM5" i="1"/>
  <c r="AL12" i="1"/>
  <c r="AM12" i="1"/>
  <c r="AK18" i="1"/>
  <c r="AK6" i="1"/>
  <c r="AK9" i="1"/>
  <c r="AK19" i="1"/>
  <c r="AK22" i="1"/>
  <c r="AK14" i="1"/>
  <c r="AK20" i="1"/>
  <c r="AK16" i="1"/>
  <c r="AK21" i="1"/>
  <c r="AK5" i="1"/>
  <c r="AK10" i="1"/>
  <c r="AK15" i="1"/>
  <c r="AK7" i="1"/>
  <c r="AK13" i="1"/>
  <c r="AK12" i="1"/>
  <c r="AK17" i="1"/>
  <c r="AK8" i="1"/>
  <c r="AJ8" i="1" a="1"/>
  <c r="AJ8" i="1" s="1"/>
  <c r="G20" i="1" a="1"/>
  <c r="G20" i="1" s="1"/>
  <c r="G18" i="1" a="1"/>
  <c r="G18" i="1" s="1"/>
  <c r="G19" i="1" a="1"/>
  <c r="G19" i="1" s="1"/>
  <c r="G16" i="1" a="1"/>
  <c r="G16" i="1" s="1"/>
  <c r="G15" i="1" a="1"/>
  <c r="G15" i="1" s="1"/>
  <c r="G17" i="1" a="1"/>
  <c r="G17" i="1" s="1"/>
  <c r="G12" i="1" a="1"/>
  <c r="G12" i="1" s="1"/>
  <c r="G14" i="1" a="1"/>
  <c r="G14" i="1" s="1"/>
  <c r="G8" i="1" a="1"/>
  <c r="G8" i="1" s="1"/>
  <c r="AC7" i="1" s="1"/>
  <c r="G9" i="1" a="1"/>
  <c r="G9" i="1" s="1"/>
  <c r="G11" i="1" a="1"/>
  <c r="G11" i="1" s="1"/>
  <c r="AC10" i="1" s="1"/>
  <c r="G6" i="1" a="1"/>
  <c r="G6" i="1" s="1"/>
  <c r="AJ18" i="1" a="1"/>
  <c r="AJ18" i="1" s="1"/>
  <c r="AJ12" i="1" a="1"/>
  <c r="AJ12" i="1" s="1"/>
  <c r="AJ22" i="1" a="1"/>
  <c r="AJ22" i="1" s="1"/>
  <c r="AJ13" i="1" a="1"/>
  <c r="AJ13" i="1" s="1"/>
  <c r="C18" i="2"/>
  <c r="C17" i="2"/>
  <c r="AJ17" i="1" a="1"/>
  <c r="AJ17" i="1" s="1"/>
  <c r="AJ14" i="1" a="1"/>
  <c r="AJ14" i="1" s="1"/>
  <c r="AJ15" i="1" a="1"/>
  <c r="AJ15" i="1" s="1"/>
  <c r="AJ6" i="1" a="1"/>
  <c r="AJ6" i="1" s="1"/>
  <c r="AJ16" i="1" a="1"/>
  <c r="AJ16" i="1" s="1"/>
  <c r="AJ21" i="1" a="1"/>
  <c r="AJ21" i="1" s="1"/>
  <c r="AJ20" i="1" a="1"/>
  <c r="AJ20" i="1" s="1"/>
  <c r="AJ10" i="1" a="1"/>
  <c r="AJ10" i="1" s="1"/>
  <c r="AJ7" i="1" a="1"/>
  <c r="AJ7" i="1" s="1"/>
  <c r="AJ9" i="1" a="1"/>
  <c r="AJ9" i="1" s="1"/>
  <c r="AJ19" i="1" a="1"/>
  <c r="AJ19" i="1" s="1"/>
  <c r="AC23" i="1" l="1"/>
  <c r="G23" i="1"/>
  <c r="I5" i="2"/>
  <c r="J7" i="2"/>
  <c r="J9" i="2"/>
  <c r="I9" i="2"/>
  <c r="J5" i="2"/>
  <c r="I7" i="2"/>
  <c r="J8" i="2"/>
  <c r="I6" i="2"/>
  <c r="AC19" i="1"/>
  <c r="Q14" i="1" s="1"/>
  <c r="AC11" i="1"/>
  <c r="AC17" i="1"/>
  <c r="AC21" i="1"/>
  <c r="AC5" i="1"/>
  <c r="AC8" i="1"/>
  <c r="AC18" i="1"/>
  <c r="AC20" i="1"/>
  <c r="AC12" i="1"/>
  <c r="AC22" i="1"/>
  <c r="AC9" i="1"/>
  <c r="AC14" i="1"/>
  <c r="P10" i="1" s="1"/>
  <c r="AC15" i="1"/>
  <c r="AC16" i="1"/>
  <c r="Q12" i="1" s="1"/>
  <c r="AC13" i="1"/>
  <c r="AB5" i="1"/>
  <c r="AB8" i="1"/>
  <c r="AN6" i="1"/>
  <c r="AN21" i="1"/>
  <c r="AN7" i="1"/>
  <c r="AN5" i="1"/>
  <c r="AN22" i="1"/>
  <c r="AN13" i="1"/>
  <c r="AN16" i="1"/>
  <c r="AN14" i="1"/>
  <c r="AN9" i="1"/>
  <c r="AN18" i="1"/>
  <c r="AN20" i="1"/>
  <c r="AN19" i="1"/>
  <c r="AN10" i="1"/>
  <c r="AN8" i="1"/>
  <c r="AN17" i="1"/>
  <c r="AN15" i="1"/>
  <c r="AN12" i="1"/>
  <c r="AB17" i="1"/>
  <c r="AB15" i="1"/>
  <c r="AB22" i="1"/>
  <c r="AB18" i="1"/>
  <c r="AB12" i="1"/>
  <c r="AB13" i="1"/>
  <c r="AB7" i="1"/>
  <c r="AB6" i="1"/>
  <c r="AB14" i="1"/>
  <c r="AB19" i="1"/>
  <c r="AB9" i="1"/>
  <c r="AB16" i="1"/>
  <c r="AB20" i="1"/>
  <c r="AB21" i="1"/>
  <c r="AB10" i="1"/>
  <c r="P8" i="1"/>
  <c r="Q8" i="1"/>
  <c r="P17" i="1" l="1"/>
  <c r="Q17" i="1"/>
  <c r="AP23" i="1"/>
  <c r="AQ23" i="1" s="1" a="1"/>
  <c r="AQ23" i="1" s="1"/>
  <c r="Q13" i="1"/>
  <c r="P14" i="1"/>
  <c r="R14" i="1" s="1" a="1"/>
  <c r="R14" i="1" s="1"/>
  <c r="S14" i="1" s="1"/>
  <c r="AC24" i="1"/>
  <c r="P16" i="1"/>
  <c r="P12" i="1"/>
  <c r="R12" i="1" s="1" a="1"/>
  <c r="R12" i="1" s="1"/>
  <c r="S12" i="1" s="1"/>
  <c r="Q9" i="1"/>
  <c r="Q16" i="1"/>
  <c r="AP11" i="1"/>
  <c r="AQ11" i="1" s="1" a="1"/>
  <c r="AQ11" i="1" s="1"/>
  <c r="P13" i="1"/>
  <c r="R13" i="1" s="1" a="1"/>
  <c r="R13" i="1" s="1"/>
  <c r="S13" i="1" s="1"/>
  <c r="P9" i="1"/>
  <c r="AP22" i="1"/>
  <c r="AQ22" i="1" s="1" a="1"/>
  <c r="AQ22" i="1" s="1"/>
  <c r="AP5" i="1"/>
  <c r="AQ5" i="1" s="1" a="1"/>
  <c r="AQ5" i="1" s="1"/>
  <c r="AP15" i="1"/>
  <c r="AQ15" i="1" s="1" a="1"/>
  <c r="AQ15" i="1" s="1"/>
  <c r="AP16" i="1"/>
  <c r="AQ16" i="1" s="1" a="1"/>
  <c r="AQ16" i="1" s="1"/>
  <c r="AP12" i="1"/>
  <c r="AQ12" i="1" s="1" a="1"/>
  <c r="AQ12" i="1" s="1"/>
  <c r="AP14" i="1"/>
  <c r="AQ14" i="1" s="1" a="1"/>
  <c r="AQ14" i="1" s="1"/>
  <c r="AP10" i="1"/>
  <c r="AQ10" i="1" s="1" a="1"/>
  <c r="AQ10" i="1" s="1"/>
  <c r="AP21" i="1"/>
  <c r="AQ21" i="1" s="1" a="1"/>
  <c r="AQ21" i="1" s="1"/>
  <c r="AP17" i="1"/>
  <c r="AQ17" i="1" s="1" a="1"/>
  <c r="AQ17" i="1" s="1"/>
  <c r="AP13" i="1"/>
  <c r="AQ13" i="1" s="1" a="1"/>
  <c r="AQ13" i="1" s="1"/>
  <c r="AP6" i="1"/>
  <c r="AQ6" i="1" s="1" a="1"/>
  <c r="AQ6" i="1" s="1"/>
  <c r="AP8" i="1"/>
  <c r="AQ8" i="1" s="1" a="1"/>
  <c r="AQ8" i="1" s="1"/>
  <c r="AP19" i="1"/>
  <c r="AQ19" i="1" s="1" a="1"/>
  <c r="AQ19" i="1" s="1"/>
  <c r="AP9" i="1"/>
  <c r="AQ9" i="1" s="1" a="1"/>
  <c r="AQ9" i="1" s="1"/>
  <c r="Q10" i="1"/>
  <c r="R10" i="1" s="1" a="1"/>
  <c r="R10" i="1" s="1"/>
  <c r="S10" i="1" s="1"/>
  <c r="R8" i="1" a="1"/>
  <c r="R8" i="1" s="1"/>
  <c r="S8" i="1" s="1"/>
  <c r="P5" i="1"/>
  <c r="Q5" i="1"/>
  <c r="Q15" i="1"/>
  <c r="P7" i="1"/>
  <c r="Q7" i="1"/>
  <c r="P6" i="1"/>
  <c r="Q6" i="1"/>
  <c r="P11" i="1"/>
  <c r="Q11" i="1"/>
  <c r="P15" i="1"/>
  <c r="AD18" i="1" l="1" a="1"/>
  <c r="AD18" i="1" s="1"/>
  <c r="AD17" i="1" a="1"/>
  <c r="AD17" i="1" s="1"/>
  <c r="AD19" i="1" a="1"/>
  <c r="AD19" i="1" s="1"/>
  <c r="AD10" i="1" a="1"/>
  <c r="AD10" i="1" s="1"/>
  <c r="AD14" i="1" a="1"/>
  <c r="AD14" i="1" s="1"/>
  <c r="AD16" i="1" a="1"/>
  <c r="AD16" i="1" s="1"/>
  <c r="R16" i="1" a="1"/>
  <c r="R16" i="1" s="1"/>
  <c r="S16" i="1" s="1"/>
  <c r="S17" i="1" s="1"/>
  <c r="R9" i="1" a="1"/>
  <c r="R9" i="1" s="1"/>
  <c r="S9" i="1" s="1"/>
  <c r="AP18" i="1"/>
  <c r="AQ18" i="1" s="1" a="1"/>
  <c r="AQ18" i="1" s="1"/>
  <c r="AP20" i="1"/>
  <c r="AQ20" i="1" s="1" a="1"/>
  <c r="AQ20" i="1" s="1"/>
  <c r="AP7" i="1"/>
  <c r="AQ7" i="1" s="1" a="1"/>
  <c r="AQ7" i="1" s="1"/>
  <c r="R7" i="1" a="1"/>
  <c r="R7" i="1" s="1"/>
  <c r="S7" i="1" s="1"/>
  <c r="R6" i="1" a="1"/>
  <c r="R6" i="1" s="1"/>
  <c r="S6" i="1" s="1"/>
  <c r="R5" i="1" a="1"/>
  <c r="R5" i="1" s="1"/>
  <c r="S5" i="1" s="1"/>
  <c r="R11" i="1" a="1"/>
  <c r="R11" i="1" s="1"/>
  <c r="S11" i="1" s="1"/>
  <c r="R15" i="1" a="1"/>
  <c r="R15" i="1" s="1"/>
  <c r="S15" i="1" s="1"/>
  <c r="R18" i="1" l="1"/>
  <c r="AD15" i="1" a="1"/>
  <c r="AD15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1" i="1" a="1"/>
  <c r="AD11" i="1" s="1"/>
  <c r="AD13" i="1" a="1"/>
  <c r="AD13" i="1" s="1"/>
  <c r="AD12" i="1" a="1"/>
  <c r="AD12" i="1" s="1"/>
  <c r="AD22" i="1" a="1"/>
  <c r="AD22" i="1" s="1"/>
  <c r="AD21" i="1" a="1"/>
  <c r="AD21" i="1" s="1"/>
  <c r="AD20" i="1" a="1"/>
  <c r="AD20" i="1" s="1"/>
  <c r="D35" i="1"/>
  <c r="D36" i="1" s="1"/>
  <c r="AD24" i="1" l="1"/>
  <c r="S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Douglas Gregory</author>
  </authors>
  <commentList>
    <comment ref="F4" authorId="0" shapeId="0" xr:uid="{1246A4A3-6735-46A2-8F17-B811D2C8D26B}">
      <text>
        <r>
          <rPr>
            <b/>
            <sz val="9"/>
            <color indexed="81"/>
            <rFont val="Tahoma"/>
            <family val="2"/>
          </rPr>
          <t>Douglas Gregory:</t>
        </r>
        <r>
          <rPr>
            <sz val="9"/>
            <color indexed="81"/>
            <rFont val="Tahoma"/>
            <family val="2"/>
          </rPr>
          <t xml:space="preserve">
How expensive should this be relative to the cheapest item at this rarity (0%) and most expensive (100%)?</t>
        </r>
      </text>
    </comment>
    <comment ref="G4" authorId="0" shapeId="0" xr:uid="{079995A2-456A-4407-8EED-A7B73347BBD6}">
      <text>
        <r>
          <rPr>
            <b/>
            <sz val="9"/>
            <color indexed="81"/>
            <rFont val="Tahoma"/>
            <family val="2"/>
          </rPr>
          <t>Douglas Gregory:</t>
        </r>
        <r>
          <rPr>
            <sz val="9"/>
            <color indexed="81"/>
            <rFont val="Tahoma"/>
            <family val="2"/>
          </rPr>
          <t xml:space="preserve">
Costs are auto-calculated from a price range for each rarity: that way we can tune the costs of hundreds of ingredients by changing &lt;= 10 numbers.</t>
        </r>
      </text>
    </comment>
    <comment ref="H4" authorId="0" shapeId="0" xr:uid="{F4BF812D-6630-4E4A-B1F6-38F737613AF8}">
      <text>
        <r>
          <rPr>
            <b/>
            <sz val="9"/>
            <color indexed="81"/>
            <rFont val="Tahoma"/>
            <family val="2"/>
          </rPr>
          <t>Douglas Gregory:</t>
        </r>
        <r>
          <rPr>
            <sz val="9"/>
            <color indexed="81"/>
            <rFont val="Tahoma"/>
            <family val="2"/>
          </rPr>
          <t xml:space="preserve">
How many recipes use this ingredient?</t>
        </r>
      </text>
    </comment>
    <comment ref="W4" authorId="0" shapeId="0" xr:uid="{4C91ED5E-E81B-4885-954A-A2A958397282}">
      <text>
        <r>
          <rPr>
            <b/>
            <sz val="9"/>
            <color indexed="81"/>
            <rFont val="Tahoma"/>
            <charset val="1"/>
          </rPr>
          <t>Douglas Gregory:</t>
        </r>
        <r>
          <rPr>
            <sz val="9"/>
            <color indexed="81"/>
            <rFont val="Tahoma"/>
            <charset val="1"/>
          </rPr>
          <t xml:space="preserve">
Auto-numbering of recipe versions when there's more than one way to make a potion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<sst xmlns="http://schemas.openxmlformats.org/spreadsheetml/2006/main" count="242" uniqueCount="106">
  <si>
    <t>Frog's Breath</t>
  </si>
  <si>
    <t>Frostweed</t>
  </si>
  <si>
    <t>Rarity</t>
  </si>
  <si>
    <t>Mandrake</t>
  </si>
  <si>
    <t>Dizzyberry</t>
  </si>
  <si>
    <t>Morning Dew</t>
  </si>
  <si>
    <t>Common</t>
  </si>
  <si>
    <t>Uncommon</t>
  </si>
  <si>
    <t>Rare</t>
  </si>
  <si>
    <t>Dragon's Egg</t>
  </si>
  <si>
    <t>Epic</t>
  </si>
  <si>
    <t>Potion</t>
  </si>
  <si>
    <t>Recipes</t>
  </si>
  <si>
    <t>Cheapest</t>
  </si>
  <si>
    <t>Most Expensive</t>
  </si>
  <si>
    <t>Ingredients</t>
  </si>
  <si>
    <t>Total Cost</t>
  </si>
  <si>
    <t>Lucky Libation</t>
  </si>
  <si>
    <t>Frosty Fizz</t>
  </si>
  <si>
    <t>Electric Elixir</t>
  </si>
  <si>
    <t>Name</t>
  </si>
  <si>
    <t>Potions</t>
  </si>
  <si>
    <t>Cost</t>
  </si>
  <si>
    <t>Combined</t>
  </si>
  <si>
    <t>Row</t>
  </si>
  <si>
    <t>Matching Row</t>
  </si>
  <si>
    <t>Same As?</t>
  </si>
  <si>
    <t>Item 1</t>
  </si>
  <si>
    <t>Item 2</t>
  </si>
  <si>
    <t>Item 3</t>
  </si>
  <si>
    <t>Uses</t>
  </si>
  <si>
    <t>Woozypop</t>
  </si>
  <si>
    <t>Max Profit</t>
  </si>
  <si>
    <t>Rarities</t>
  </si>
  <si>
    <t>Profit Multiplier</t>
  </si>
  <si>
    <t>Legendary</t>
  </si>
  <si>
    <t>Cost Grade</t>
  </si>
  <si>
    <t>Cost Range</t>
  </si>
  <si>
    <t>Rarity Index</t>
  </si>
  <si>
    <t>Ingredient Cost Range</t>
  </si>
  <si>
    <t>Index 1</t>
  </si>
  <si>
    <t>Index 2</t>
  </si>
  <si>
    <t>Index 3</t>
  </si>
  <si>
    <t>Max Rarity Index</t>
  </si>
  <si>
    <t>#</t>
  </si>
  <si>
    <t>Ingredients…</t>
  </si>
  <si>
    <t>Possible Combinations</t>
  </si>
  <si>
    <t>Tangleroot</t>
  </si>
  <si>
    <t>Emerald Dust</t>
  </si>
  <si>
    <t>Noxious Slime</t>
  </si>
  <si>
    <t>Magicite</t>
  </si>
  <si>
    <t>Indigocap</t>
  </si>
  <si>
    <t>Vitafruit</t>
  </si>
  <si>
    <t>Monster Blood</t>
  </si>
  <si>
    <t>Crawler Grub</t>
  </si>
  <si>
    <t>Amber</t>
  </si>
  <si>
    <t>Healing Salve</t>
  </si>
  <si>
    <t>Ingredient Count</t>
  </si>
  <si>
    <t>…of 2</t>
  </si>
  <si>
    <t>…of 3</t>
  </si>
  <si>
    <t>…total</t>
  </si>
  <si>
    <t>Petals of Light</t>
  </si>
  <si>
    <t>Antidote</t>
  </si>
  <si>
    <t>Repulsive Perfume</t>
  </si>
  <si>
    <t>Adhesive Ichor</t>
  </si>
  <si>
    <t>Red Eye Shot</t>
  </si>
  <si>
    <t>Astral Oyster</t>
  </si>
  <si>
    <t>Potion Rarity Index</t>
  </si>
  <si>
    <t>Potion Index</t>
  </si>
  <si>
    <t>Rarity Check</t>
  </si>
  <si>
    <t>Drowsy Draught</t>
  </si>
  <si>
    <t>Curative Cream</t>
  </si>
  <si>
    <t>Chance to find:</t>
  </si>
  <si>
    <t>Valid Recipes:</t>
  </si>
  <si>
    <t>2-Ingredient</t>
  </si>
  <si>
    <t>3-Ingredient</t>
  </si>
  <si>
    <t>Profit Margin</t>
  </si>
  <si>
    <t>Ordinal 1</t>
  </si>
  <si>
    <t>Ordinal 2</t>
  </si>
  <si>
    <t>Ordinal 3</t>
  </si>
  <si>
    <t>Old Excel lacks the SORT function, so we're doing this the hard way. 😭</t>
  </si>
  <si>
    <t>Find sorted index of each name, then concatenate</t>
  </si>
  <si>
    <t>Cost of Recipes</t>
  </si>
  <si>
    <t>Ingredient Indices</t>
  </si>
  <si>
    <t>Ingredients %</t>
  </si>
  <si>
    <t>Potions %</t>
  </si>
  <si>
    <t>Total</t>
  </si>
  <si>
    <t>1-Ingredient</t>
  </si>
  <si>
    <t>(Sale Price)</t>
  </si>
  <si>
    <t>(Purchase)</t>
  </si>
  <si>
    <t>…of 1</t>
  </si>
  <si>
    <t>Averages</t>
  </si>
  <si>
    <t>Potion Count</t>
  </si>
  <si>
    <t>Recipe Count</t>
  </si>
  <si>
    <t>Make canonical ordering to check for duplicates</t>
  </si>
  <si>
    <t>DD Vile</t>
  </si>
  <si>
    <t>DD Week1T</t>
  </si>
  <si>
    <t>DD Week1T2</t>
  </si>
  <si>
    <t>Equal</t>
  </si>
  <si>
    <t>Juice</t>
  </si>
  <si>
    <t>Spice</t>
  </si>
  <si>
    <t>Fruit</t>
  </si>
  <si>
    <t>Vegtable</t>
  </si>
  <si>
    <t>Rock</t>
  </si>
  <si>
    <t>Special</t>
  </si>
  <si>
    <t>itemType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</si>
</sst>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9" fontId="0" fillId="0" borderId="1" xfId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vertical="top" wrapText="1"/>
    </xf>
    <xf numFmtId="0" fontId="0" fillId="0" borderId="2" xfId="0" applyBorder="1"/>
    <xf numFmtId="9" fontId="0" fillId="0" borderId="2" xfId="1" applyFont="1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64" fontId="0" fillId="0" borderId="0" xfId="1" applyNumberFormat="1" applyFont="1"/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0" fillId="0" borderId="1" xfId="0" applyBorder="1" applyAlignment="1">
      <alignment horizontal="left"/>
    </xf>
    <xf numFmtId="0" fontId="5" fillId="3" borderId="4" xfId="0" applyFont="1" applyFill="1" applyBorder="1" applyAlignment="1">
      <alignment vertical="top"/>
    </xf>
    <xf numFmtId="0" fontId="5" fillId="2" borderId="0" xfId="0" applyFont="1" applyFill="1"/>
    <xf numFmtId="0" fontId="5" fillId="3" borderId="0" xfId="0" applyFont="1" applyFill="1"/>
    <xf numFmtId="9" fontId="0" fillId="0" borderId="0" xfId="1" applyFont="1"/>
    <xf numFmtId="0" fontId="0" fillId="0" borderId="5" xfId="0" applyBorder="1"/>
    <xf numFmtId="9" fontId="0" fillId="0" borderId="0" xfId="0" applyNumberForma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9" fontId="0" fillId="0" borderId="5" xfId="0" applyNumberFormat="1" applyBorder="1"/>
    <xf numFmtId="165" fontId="0" fillId="0" borderId="0" xfId="0" applyNumberFormat="1"/>
    <xf numFmtId="2" fontId="0" fillId="0" borderId="7" xfId="0" applyNumberFormat="1" applyBorder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9" fontId="10" fillId="0" borderId="3" xfId="1" applyFont="1" applyBorder="1"/>
    <xf numFmtId="9" fontId="10" fillId="0" borderId="1" xfId="1" applyFont="1" applyBorder="1"/>
    <xf numFmtId="9" fontId="10" fillId="0" borderId="2" xfId="1" applyFont="1" applyBorder="1"/>
    <xf numFmtId="0" fontId="10" fillId="0" borderId="0" xfId="0" applyFont="1"/>
    <xf numFmtId="0" fontId="0" fillId="0" borderId="0" xfId="0" applyNumberFormat="1" applyBorder="1"/>
    <xf numFmtId="0" fontId="0" fillId="0" borderId="0" xfId="0" applyNumberFormat="1"/>
    <xf numFmtId="0" fontId="0" fillId="0" borderId="6" xfId="0" applyNumberFormat="1" applyBorder="1" applyAlignment="1">
      <alignment horizontal="center"/>
    </xf>
    <xf numFmtId="0" fontId="0" fillId="0" borderId="7" xfId="0" applyNumberFormat="1" applyBorder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156">
    <dxf>
      <numFmt numFmtId="13" formatCode="0%"/>
    </dxf>
    <dxf>
      <numFmt numFmtId="165" formatCode="0.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color rgb="FFFF0000"/>
      </font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theme="1" tint="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 tint="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numFmt numFmtId="165" formatCode="0.0"/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</dxf>
    <dxf>
      <numFmt numFmtId="165" formatCode="0.0"/>
    </dxf>
    <dxf>
      <numFmt numFmtId="2" formatCode="0.00"/>
      <border diagonalUp="0" diagonalDown="0" outline="0">
        <left style="thin">
          <color indexed="64"/>
        </left>
        <right/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  <border outline="0">
        <left style="thin">
          <color indexed="64"/>
        </left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textRotation="0" indent="0" justifyLastLine="0" shrinkToFit="0" readingOrder="0"/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theme="1" tint="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b/>
        <i val="0"/>
        <color theme="1" tint="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Recipe Type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43-445E-87F2-9309B1D4F7ED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43-445E-87F2-9309B1D4F7ED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03-4C9F-91E4-ADE2C42102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Categories!$B$16:$B$18</c:f>
              <c:strCache>
                <c:ptCount val="3"/>
                <c:pt idx="0">
                  <c:v>1-Ingredient</c:v>
                </c:pt>
                <c:pt idx="1">
                  <c:v>2-Ingredient</c:v>
                </c:pt>
                <c:pt idx="2">
                  <c:v>3-Ingredient</c:v>
                </c:pt>
              </c:strCache>
            </c:strRef>
          </c:cat>
          <c:val>
            <c:numRef>
              <c:f>Categories!$C$16:$C$18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43-445E-87F2-9309B1D4F7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Rarity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Categories!$B$5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AE67F71-DE33-4E83-9B1E-83DE7D22D1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D13A84D-8B36-48C1-972E-6CD5D180B7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Categories!$G$5:$I$5</c15:sqref>
                  </c15:fullRef>
                </c:ext>
              </c:extLst>
              <c:f>Categories!$G$5:$H$5</c:f>
              <c:numCache>
                <c:formatCode>General</c:formatCode>
                <c:ptCount val="2"/>
                <c:pt idx="0">
                  <c:v>7</c:v>
                </c:pt>
                <c:pt idx="1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(Categories!$I$5,Categories!$J$5)</c15:f>
                <c15:dlblRangeCache>
                  <c:ptCount val="2"/>
                  <c:pt idx="0">
                    <c:v>39%</c:v>
                  </c:pt>
                  <c:pt idx="1">
                    <c:v>31%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8C9-4ABD-BA50-1F198D238315}"/>
            </c:ext>
          </c:extLst>
        </c:ser>
        <c:ser>
          <c:idx val="1"/>
          <c:order val="1"/>
          <c:tx>
            <c:strRef>
              <c:f>Categories!$B$6</c:f>
              <c:strCache>
                <c:ptCount val="1"/>
                <c:pt idx="0">
                  <c:v>Uncommon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A367EF8-E73B-4659-A1BD-02C5BDC2AC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BC0BD9A-0FC1-4152-B87D-347112B3B1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Categories!$G$6:$I$6</c15:sqref>
                  </c15:fullRef>
                </c:ext>
              </c:extLst>
              <c:f>Categories!$G$6:$H$6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Categories!$I$6:$J$6</c15:f>
                <c15:dlblRangeCache>
                  <c:ptCount val="2"/>
                  <c:pt idx="0">
                    <c:v>22%</c:v>
                  </c:pt>
                  <c:pt idx="1">
                    <c:v>38%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C8C9-4ABD-BA50-1F198D238315}"/>
            </c:ext>
          </c:extLst>
        </c:ser>
        <c:ser>
          <c:idx val="2"/>
          <c:order val="2"/>
          <c:tx>
            <c:strRef>
              <c:f>Categories!$B$7</c:f>
              <c:strCache>
                <c:ptCount val="1"/>
                <c:pt idx="0">
                  <c:v>Rare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09CDAE2-08BF-4E57-8929-CB0A42B107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062326-29D2-4877-9F77-593599F974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Categories!$G$7:$I$7</c15:sqref>
                  </c15:fullRef>
                </c:ext>
              </c:extLst>
              <c:f>Categories!$G$7:$H$7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Categories!$I$7:$J$7</c15:f>
                <c15:dlblRangeCache>
                  <c:ptCount val="2"/>
                  <c:pt idx="0">
                    <c:v>17%</c:v>
                  </c:pt>
                  <c:pt idx="1">
                    <c:v>23%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C8C9-4ABD-BA50-1F198D238315}"/>
            </c:ext>
          </c:extLst>
        </c:ser>
        <c:ser>
          <c:idx val="3"/>
          <c:order val="3"/>
          <c:tx>
            <c:strRef>
              <c:f>Categories!$B$8</c:f>
              <c:strCache>
                <c:ptCount val="1"/>
                <c:pt idx="0">
                  <c:v>Epic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296A2EC-F9E0-4E5F-9826-5530EB0F3E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DE6C4C7-4EE9-46FB-A9EA-C421EC31DF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Categories!$G$8:$I$8</c15:sqref>
                  </c15:fullRef>
                </c:ext>
              </c:extLst>
              <c:f>Categories!$G$8:$H$8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Categories!$I$8:$J$8</c15:f>
                <c15:dlblRangeCache>
                  <c:ptCount val="2"/>
                  <c:pt idx="0">
                    <c:v>11%</c:v>
                  </c:pt>
                  <c:pt idx="1">
                    <c:v>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C8C9-4ABD-BA50-1F198D238315}"/>
            </c:ext>
          </c:extLst>
        </c:ser>
        <c:ser>
          <c:idx val="4"/>
          <c:order val="4"/>
          <c:tx>
            <c:strRef>
              <c:f>Categories!$B$9</c:f>
              <c:strCache>
                <c:ptCount val="1"/>
                <c:pt idx="0">
                  <c:v>Legendary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0FDA5D7-96FE-4D80-A0A1-DFB5E009C8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256BB00-7A5B-4E53-9FD8-16F853F71A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Categories!$G$9:$I$9</c15:sqref>
                  </c15:fullRef>
                </c:ext>
              </c:extLst>
              <c:f>Categories!$G$9:$H$9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Categories!$I$9:$J$9</c15:f>
                <c15:dlblRangeCache>
                  <c:ptCount val="2"/>
                  <c:pt idx="0">
                    <c:v>11%</c:v>
                  </c:pt>
                  <c:pt idx="1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C8C9-4ABD-BA50-1F198D23831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9"/>
        <c:overlap val="100"/>
        <c:axId val="787879871"/>
        <c:axId val="787873151"/>
      </c:barChart>
      <c:catAx>
        <c:axId val="787879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73151"/>
        <c:crosses val="autoZero"/>
        <c:auto val="1"/>
        <c:lblAlgn val="ctr"/>
        <c:lblOffset val="100"/>
        <c:noMultiLvlLbl val="0"/>
      </c:catAx>
      <c:valAx>
        <c:axId val="78787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87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69966</xdr:colOff>
      <xdr:row>26</xdr:row>
      <xdr:rowOff>12256</xdr:rowOff>
    </xdr:from>
    <xdr:to>
      <xdr:col>10</xdr:col>
      <xdr:colOff>21772</xdr:colOff>
      <xdr:row>38</xdr:row>
      <xdr:rowOff>7044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CC324F-11EB-4A75-9B0D-D1F5E434C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71077</xdr:colOff>
      <xdr:row>26</xdr:row>
      <xdr:rowOff>9605</xdr:rowOff>
    </xdr:from>
    <xdr:to>
      <xdr:col>24</xdr:col>
      <xdr:colOff>718458</xdr:colOff>
      <xdr:row>38</xdr:row>
      <xdr:rowOff>10886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4DC79A-ECAA-4890-BDD5-3023AEF18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51C22-04D1-41E8-BECA-981B67516634}" name="Ingredients" displayName="Ingredients" ref="B4:H23" totalsRowCount="1" headerRowDxfId="155">
  <autoFilter ref="B4:H22" xr:uid="{73951C22-04D1-41E8-BECA-981B67516634}"/>
  <sortState xmlns:xlrd2="http://schemas.microsoft.com/office/spreadsheetml/2017/richdata2" ref="B5:H20">
    <sortCondition ref="G4:G20"/>
  </sortState>
  <tableColumns count="7">
    <tableColumn id="1" xr3:uid="{D69EB11C-10F0-4524-8369-AD97563981B3}" name="Name" totalsRowFunction="count" dataDxfId="154" totalsRowDxfId="55"/>
    <tableColumn id="8" xr3:uid="{4D34A716-3AB5-4EB8-BDF1-73B33EDE457C}" name="itemType" dataDxfId="56" totalsRowDxfId="54"/>
    <tableColumn id="2" xr3:uid="{F04C1EA5-949E-438D-84A4-56F605CD6069}" name="Rarity" dataDxfId="153" totalsRowDxfId="53"/>
    <tableColumn id="6" xr3:uid="{32B1FDAB-5698-4E97-B9E0-92BB3CB850BE}" name="Rarity Index" dataDxfId="152">
      <calculatedColumnFormula>MATCH(Ingredients[[#This Row],[Rarity]],Rarities[Name], 0)</calculatedColumnFormula>
    </tableColumn>
    <tableColumn id="5" xr3:uid="{F70F9771-BA82-48E7-A0B4-2E7FD8BD939A}" name="Cost Grade" totalsRowFunction="average" dataDxfId="151" totalsRowDxfId="52" dataCellStyle="Percent"/>
    <tableColumn id="3" xr3:uid="{CE93CA9C-377D-481B-89BC-E83E06A5F76F}" name="Cost" totalsRowFunction="average" totalsRowDxfId="51">
      <calculatedColumnFormula array="1">MROUND(INDEX(Rarities[Cheapest], Ingredients[[#This Row],[Rarity Index]])+Ingredients[[#This Row],[Cost Grade]]*INDEX(Rarities[Cost Range],Ingredients[[#This Row],[Rarity Index]]), 5)</calculatedColumnFormula>
    </tableColumn>
    <tableColumn id="4" xr3:uid="{7A346AFE-7DF4-4F3C-BFAB-4A1D852F21D8}" name="Uses" totalsRowFunction="average" dataDxfId="150">
      <calculatedColumnFormula>COUNTIF(Recipes[[Item 1]:[Item 3]],Ingredients[[#This Row],[Name]])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847D9-3FAF-498C-A475-EE898461A72D}" name="Potions" displayName="Potions" ref="K4:S18" totalsRowCount="1" headerRowDxfId="149">
  <autoFilter ref="K4:S17" xr:uid="{451847D9-3FAF-498C-A475-EE898461A72D}"/>
  <sortState xmlns:xlrd2="http://schemas.microsoft.com/office/spreadsheetml/2017/richdata2" ref="K5:S16">
    <sortCondition ref="N4:N16"/>
  </sortState>
  <tableColumns count="9">
    <tableColumn id="1" xr3:uid="{2B2A53FB-B655-4CBE-B516-78176C7391D5}" name="Name" totalsRowFunction="count" dataDxfId="148" totalsRowDxfId="4"/>
    <tableColumn id="9" xr3:uid="{14689721-FAF9-4AB0-BEAB-35EDFC2EC0C2}" name="itemType" dataDxfId="10" totalsRowDxfId="3"/>
    <tableColumn id="2" xr3:uid="{EAE6CBAD-879C-49FC-BD08-BCB8227CE83D}" name="Rarity" dataDxfId="147" totalsRowDxfId="2"/>
    <tableColumn id="8" xr3:uid="{79D65A82-0286-4B56-85F8-E7611A76C993}" name="Rarity Index" dataDxfId="146">
      <calculatedColumnFormula>MATCH(Potions[[#This Row],[Rarity]],Rarities[Name], 0)</calculatedColumnFormula>
    </tableColumn>
    <tableColumn id="4" xr3:uid="{EE30977B-BB29-4164-BD7E-1CDDA33031C0}" name="Recipes" totalsRowFunction="average" dataDxfId="145">
      <calculatedColumnFormula>COUNTIF(Recipes[Potion], Potions[[#This Row],[Name]])</calculatedColumnFormula>
    </tableColumn>
    <tableColumn id="5" xr3:uid="{4169F023-5CA2-40C0-BB06-AA73323D13E6}" name="Cheapest" dataDxfId="144">
      <calculatedColumnFormula>_xlfn.MINIFS(Recipes[Total Cost],Recipes[Potion],Potions[[#This Row],[Name]])</calculatedColumnFormula>
    </tableColumn>
    <tableColumn id="6" xr3:uid="{DA1F0160-A391-4E61-90DD-2110EF41C4D0}" name="Most Expensive" dataDxfId="143">
      <calculatedColumnFormula>_xlfn.MAXIFS(Recipes[Total Cost],Recipes[Potion],Potions[[#This Row],[Name]])</calculatedColumnFormula>
    </tableColumn>
    <tableColumn id="3" xr3:uid="{76C8EFE5-F148-4DE6-A508-FFF36FDD5749}" name="Cost" totalsRowFunction="average" dataDxfId="142" totalsRowDxfId="1">
      <calculatedColumnFormula array="1">MROUND(AVERAGE(Potions[[#This Row],[Cheapest]:[Most Expensive]])*INDEX(Rarities[Profit Multiplier], Potions[[#This Row],[Rarity Index]]), 5)</calculatedColumnFormula>
    </tableColumn>
    <tableColumn id="7" xr3:uid="{40E105CF-35FD-4E3D-8667-54BE968CCB01}" name="Max Profit" totalsRowFunction="average" totalsRowDxfId="0" dataCellStyle="Percent">
      <calculatedColumnFormula>(Potions[[#This Row],[Cost]]-Potions[[#This Row],[Cheapest]])/Potions[[#This Row],[Cheapest]]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5A49B-8991-4944-952E-4192E28D1702}" name="Recipes" displayName="Recipes" ref="V4:AQ24" totalsRowCount="1" headerRowDxfId="141">
  <autoFilter ref="V4:AQ23" xr:uid="{B745A49B-8991-4944-952E-4192E28D1702}"/>
  <tableColumns count="22">
    <tableColumn id="1" xr3:uid="{ADBE2194-B1A5-49EB-B227-4EC79F0CF118}" name="Potion" totalsRowFunction="count" dataDxfId="86" totalsRowDxfId="64"/>
    <tableColumn id="11" xr3:uid="{9A07B4E8-0752-4810-998D-1864FDA4D0C5}" name="#" dataDxfId="85" totalsRowDxfId="63">
      <calculatedColumnFormula>COUNTIF(Recipes[[#Headers],[Potion]]:Recipes[[#This Row],[Potion]], Recipes[[#This Row],[Potion]])</calculatedColumnFormula>
    </tableColumn>
    <tableColumn id="3" xr3:uid="{58F881A5-D38C-420E-B3A9-F5DAFC9B3CDC}" name="Item 1" dataDxfId="84" totalsRowDxfId="62"/>
    <tableColumn id="4" xr3:uid="{5FB74E9E-9005-4A40-AF7E-889C67842659}" name="Item 2" dataDxfId="83" totalsRowDxfId="61"/>
    <tableColumn id="5" xr3:uid="{47D3F14D-A761-4369-9ECE-DDDCCF2A4B7B}" name="Item 3" dataDxfId="82" totalsRowDxfId="60"/>
    <tableColumn id="2" xr3:uid="{21CC00C6-3FDC-47A8-9211-D302CFB2710B}" name="Ingredient Count" totalsRowFunction="average" dataDxfId="81" totalsRowDxfId="59">
      <calculatedColumnFormula>COUNTA(Recipes[[#This Row],[Item 1]:[Item 3]])</calculatedColumnFormula>
    </tableColumn>
    <tableColumn id="15" xr3:uid="{4554F1DA-A49A-4F6B-8332-A9C328847268}" name="Rarity Check" dataDxfId="80">
      <calculatedColumnFormula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calculatedColumnFormula>
    </tableColumn>
    <tableColumn id="6" xr3:uid="{2751418B-BA6A-484A-9D96-6FE9B180B38F}" name="Total Cost" totalsRowFunction="average" dataDxfId="79" totalsRowDxfId="58">
      <calculatedColumnFormula>SUM(IFERROR(INDEX(Ingredients[Cost], Recipes[[#This Row],[Index 1]]), 0), IFERROR(INDEX(Ingredients[Cost], Recipes[[#This Row],[Index 2]]), 0), IFERROR(INDEX(Ingredients[Cost], Recipes[[#This Row],[Index 3]]), 0))</calculatedColumnFormula>
    </tableColumn>
    <tableColumn id="19" xr3:uid="{D8050BC2-92B3-447D-8EB2-CC04B736CF0D}" name="Profit Margin" totalsRowFunction="average" dataDxfId="78" totalsRowDxfId="57" dataCellStyle="Percent">
      <calculatedColumnFormula array="1">(INDEX(Potions[Cost], Recipes[[#This Row],[Potion Index]])-Recipes[[#This Row],[Total Cost]])/Recipes[[#This Row],[Total Cost]]</calculatedColumnFormula>
    </tableColumn>
    <tableColumn id="18" xr3:uid="{A1F2DAA8-FE7E-4BBE-84D9-E97B6B65EB44}" name="Potion Index" dataDxfId="77">
      <calculatedColumnFormula>MATCH(Recipes[[#This Row],[Potion]],Potions[Name], 0)</calculatedColumnFormula>
    </tableColumn>
    <tableColumn id="12" xr3:uid="{62EE2BF5-750D-4381-A9FB-DCE4CB85836E}" name="Index 1" dataDxfId="76">
      <calculatedColumnFormula>MATCH(Recipes[[#This Row],[Item 1]],Ingredients[Name], 0)</calculatedColumnFormula>
    </tableColumn>
    <tableColumn id="13" xr3:uid="{BD995C84-5B4F-40F1-AA98-C9D08B51DC47}" name="Index 2" dataDxfId="75">
      <calculatedColumnFormula>MATCH(Recipes[[#This Row],[Item 2]],Ingredients[Name], 0)</calculatedColumnFormula>
    </tableColumn>
    <tableColumn id="14" xr3:uid="{71D28CC4-2D2A-4C74-8730-E74C36FB7D4D}" name="Index 3" dataDxfId="74">
      <calculatedColumnFormula>MATCH(Recipes[[#This Row],[Item 3]],Ingredients[Name], 0)</calculatedColumnFormula>
    </tableColumn>
    <tableColumn id="16" xr3:uid="{441D55A7-0CFC-4AA9-B8E4-18B917C04E76}" name="Max Rarity Index" dataDxfId="73">
      <calculatedColumnFormula xml:space="preserve"> MAX(IFERROR(INDEX(Ingredients[Rarity Index], Recipes[[#This Row],[Index 1]]), 0), IFERROR(INDEX(Ingredients[Rarity Index], Recipes[[#This Row],[Index 2]]), 0), IFERROR(INDEX(Ingredients[Rarity Index], Recipes[[#This Row],[Index 3]]), 0))</calculatedColumnFormula>
    </tableColumn>
    <tableColumn id="17" xr3:uid="{B9B448D3-B955-4668-A730-1BE5416C3974}" name="Potion Rarity Index" dataDxfId="72">
      <calculatedColumnFormula array="1">INDEX(Potions[Rarity Index], Recipes[[#This Row],[Potion Index]])</calculatedColumnFormula>
    </tableColumn>
    <tableColumn id="20" xr3:uid="{5C8B37F8-93EC-45C1-B5CD-A993EC55C715}" name="Ordinal 1" dataDxfId="71">
      <calculatedColumnFormula>(Recipes[[#This Row],[Item 1]]&gt;Recipes[[#This Row],[Item 2]])+(Recipes[[#This Row],[Item 1]]&gt;Recipes[[#This Row],[Item 3]]) + Recipes[[#This Row],[Ingredient Count]]-2</calculatedColumnFormula>
    </tableColumn>
    <tableColumn id="21" xr3:uid="{3785E39D-2960-460C-A8B9-6545512DD0A4}" name="Ordinal 2" dataDxfId="70">
      <calculatedColumnFormula>(Recipes[[#This Row],[Item 2]]&gt;Recipes[[#This Row],[Item 1]])+(Recipes[[#This Row],[Item 2]]&gt;Recipes[[#This Row],[Item 3]]) + Recipes[[#This Row],[Ingredient Count]]-2</calculatedColumnFormula>
    </tableColumn>
    <tableColumn id="22" xr3:uid="{2BEB7C0B-010B-4973-897D-E5733982828A}" name="Ordinal 3" dataDxfId="69">
      <calculatedColumnFormula>(Recipes[[#This Row],[Item 3]]&gt;Recipes[[#This Row],[Item 1]])+(Recipes[[#This Row],[Item 3]]&gt;Recipes[[#This Row],[Item 2]]) + Recipes[[#This Row],[Ingredient Count]]-2</calculatedColumnFormula>
    </tableColumn>
    <tableColumn id="7" xr3:uid="{4F5EE45D-1C96-48A9-B435-946FA1595517}" name="Combined" dataDxfId="68">
      <calculatedColumnFormula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calculatedColumnFormula>
    </tableColumn>
    <tableColumn id="9" xr3:uid="{296F79AD-58BD-4096-9378-D3B0A2D5EBB1}" name="Row" dataDxfId="67">
      <calculatedColumnFormula>ROW(Recipes[[#This Row],[Row]])-ROW(Recipes[[#Headers],[Row]])</calculatedColumnFormula>
    </tableColumn>
    <tableColumn id="8" xr3:uid="{A7CF2656-44E4-4D87-A182-420CA872EBE6}" name="Matching Row" dataDxfId="66">
      <calculatedColumnFormula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calculatedColumnFormula>
    </tableColumn>
    <tableColumn id="10" xr3:uid="{CD3BAA16-E044-4B68-BD28-B2A2E535E8D8}" name="Same As?" dataDxfId="65">
      <calculatedColumnFormula array="1">IF(Recipes[[#This Row],[Matching Row]]=-1, "Blank", IF(Recipes[[#This Row],[Matching Row]]=0, "Unique", INDEX(Recipes[Potion],Recipes[[#This Row],[Matching Row]])&amp;" #"&amp; INDEX(Recipes['#],Recipes[[#This Row],[Matching Row]])))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65CD1-2B72-4934-9A52-47ABC6E8AC64}" name="Rarities" displayName="Rarities" ref="B4:J10" totalsRowCount="1" headerRowDxfId="140">
  <autoFilter ref="B4:J9" xr:uid="{15865CD1-2B72-4934-9A52-47ABC6E8AC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8A07BBC-E4A1-48D1-BD0B-E020F49EB5F9}" name="Name" totalsRowLabel="Total"/>
    <tableColumn id="2" xr3:uid="{7F68BEC7-0AEE-4ABF-9B62-90844717F58F}" name="Cheapest" dataDxfId="139"/>
    <tableColumn id="3" xr3:uid="{AE101426-D7EA-433D-A519-542DC68476BC}" name="Most Expensive" dataDxfId="138"/>
    <tableColumn id="5" xr3:uid="{7E8FABC3-B9E3-4BEB-97DD-9D2FB274A63A}" name="Cost Range" dataDxfId="137">
      <calculatedColumnFormula>Rarities[[#This Row],[Most Expensive]]-Rarities[[#This Row],[Cheapest]]</calculatedColumnFormula>
    </tableColumn>
    <tableColumn id="4" xr3:uid="{9949BDBF-DB4F-4CBE-95C0-9041AE23D492}" name="Profit Multiplier" dataDxfId="136"/>
    <tableColumn id="6" xr3:uid="{CCC9347C-89BA-4103-90E4-8012BAB6A36F}" name="Ingredients" totalsRowFunction="sum" dataDxfId="135">
      <calculatedColumnFormula>COUNTIF(Ingredients[Rarity], Rarities[[#This Row],[Name]])</calculatedColumnFormula>
    </tableColumn>
    <tableColumn id="7" xr3:uid="{FEF06629-95EF-469A-ABD3-AE9F02034BCD}" name="Potions" totalsRowFunction="sum" dataDxfId="134">
      <calculatedColumnFormula>COUNTIF(Potions[Rarity], Rarities[[#This Row],[Name]])</calculatedColumnFormula>
    </tableColumn>
    <tableColumn id="8" xr3:uid="{B3BCA6BE-F3E6-4FE5-BFA5-52E444AA7726}" name="Ingredients %" dataDxfId="133" dataCellStyle="Percent">
      <calculatedColumnFormula>Rarities[[#This Row],[Ingredients]]/Rarities[[#Totals],[Ingredients]]</calculatedColumnFormula>
    </tableColumn>
    <tableColumn id="9" xr3:uid="{6093718C-F3D7-4374-A034-E2E7E3D029FE}" name="Potions %" dataDxfId="132" dataCellStyle="Percent">
      <calculatedColumnFormula>Rarities[[#This Row],[Potions]]/Rarities[[#Totals],[Potions]]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03A1-078B-47F4-B698-AE1FC36BEB09}">
  <dimension ref="B1:AR36"/>
  <sheetViews>
    <sheetView tabSelected="1" zoomScale="115" zoomScaleNormal="115" workbookViewId="0">
      <selection activeCell="K21" sqref="K21"/>
    </sheetView>
  </sheetViews>
  <sheetFormatPr defaultRowHeight="15" outlineLevelCol="1" x14ac:dyDescent="0.25"/>
  <cols>
    <col min="1" max="1" width="4.7109375" customWidth="1"/>
    <col min="2" max="3" width="15" customWidth="1"/>
    <col min="4" max="4" width="11" customWidth="1"/>
    <col min="5" max="5" width="8.42578125" hidden="1" customWidth="1" outlineLevel="1"/>
    <col min="6" max="6" width="8.85546875" customWidth="1" collapsed="1"/>
    <col min="7" max="7" width="10.85546875" customWidth="1"/>
    <col min="8" max="8" width="11" customWidth="1"/>
    <col min="9" max="9" width="3.5703125" customWidth="1"/>
    <col min="10" max="10" width="3.42578125" customWidth="1"/>
    <col min="11" max="12" width="18.7109375" customWidth="1"/>
    <col min="13" max="13" width="12" customWidth="1"/>
    <col min="14" max="14" width="8.7109375" hidden="1" customWidth="1" outlineLevel="1"/>
    <col min="15" max="15" width="8.85546875" customWidth="1" collapsed="1"/>
    <col min="16" max="16" width="9.85546875" hidden="1" customWidth="1" outlineLevel="1"/>
    <col min="17" max="17" width="9.42578125" hidden="1" customWidth="1" outlineLevel="1"/>
    <col min="18" max="18" width="9.42578125" customWidth="1" collapsed="1"/>
    <col min="19" max="19" width="8.85546875" customWidth="1"/>
    <col min="20" max="20" width="3.7109375" customWidth="1"/>
    <col min="21" max="21" width="3.85546875" customWidth="1"/>
    <col min="22" max="22" width="15.85546875" customWidth="1"/>
    <col min="23" max="23" width="4" customWidth="1"/>
    <col min="24" max="24" width="15" style="7" customWidth="1"/>
    <col min="25" max="26" width="15" customWidth="1"/>
    <col min="27" max="27" width="10" customWidth="1"/>
    <col min="28" max="28" width="9.42578125" customWidth="1"/>
    <col min="29" max="30" width="12.140625" customWidth="1"/>
    <col min="31" max="31" width="10" hidden="1" customWidth="1" outlineLevel="1"/>
    <col min="32" max="34" width="9" hidden="1" customWidth="1" outlineLevel="1"/>
    <col min="35" max="36" width="10" hidden="1" customWidth="1" outlineLevel="1"/>
    <col min="37" max="37" width="7.28515625" hidden="1" customWidth="1" outlineLevel="1"/>
    <col min="38" max="39" width="7.42578125" hidden="1" customWidth="1" outlineLevel="1"/>
    <col min="40" max="40" width="35.140625" hidden="1" customWidth="1" outlineLevel="1"/>
    <col min="41" max="41" width="6.28515625" hidden="1" customWidth="1" outlineLevel="1"/>
    <col min="42" max="42" width="8.42578125" hidden="1" customWidth="1" outlineLevel="1"/>
    <col min="43" max="43" width="10.42578125" customWidth="1" collapsed="1"/>
    <col min="44" max="44" width="15.85546875" customWidth="1"/>
    <col min="45" max="45" width="15.42578125" customWidth="1"/>
    <col min="46" max="46" width="13.28515625" customWidth="1"/>
  </cols>
  <sheetData>
    <row r="1" spans="2:43" x14ac:dyDescent="0.25">
      <c r="W1" s="7"/>
      <c r="X1"/>
      <c r="AK1" t="s">
        <v>94</v>
      </c>
    </row>
    <row r="2" spans="2:43" x14ac:dyDescent="0.25">
      <c r="W2" s="7"/>
      <c r="X2"/>
      <c r="AK2" t="s">
        <v>80</v>
      </c>
    </row>
    <row r="3" spans="2:43" ht="17.100000000000001" customHeight="1" x14ac:dyDescent="0.25">
      <c r="B3" s="5" t="s">
        <v>15</v>
      </c>
      <c r="C3" s="5"/>
      <c r="G3" s="22" t="s">
        <v>89</v>
      </c>
      <c r="K3" s="5" t="s">
        <v>21</v>
      </c>
      <c r="L3" s="5"/>
      <c r="P3" s="23" t="s">
        <v>82</v>
      </c>
      <c r="Q3" s="23"/>
      <c r="R3" s="24" t="s">
        <v>88</v>
      </c>
      <c r="V3" s="5" t="s">
        <v>12</v>
      </c>
      <c r="W3" s="7"/>
      <c r="X3" s="19" t="s">
        <v>45</v>
      </c>
      <c r="Y3" s="19"/>
      <c r="Z3" s="19"/>
      <c r="AA3" s="19"/>
      <c r="AB3" s="19"/>
      <c r="AF3" s="20" t="s">
        <v>83</v>
      </c>
      <c r="AG3" s="20"/>
      <c r="AH3" s="20"/>
      <c r="AK3" t="s">
        <v>81</v>
      </c>
    </row>
    <row r="4" spans="2:43" s="2" customFormat="1" ht="28.5" customHeight="1" x14ac:dyDescent="0.25">
      <c r="B4" s="2" t="s">
        <v>20</v>
      </c>
      <c r="C4" s="2" t="s">
        <v>105</v>
      </c>
      <c r="D4" s="2" t="s">
        <v>2</v>
      </c>
      <c r="E4" s="2" t="s">
        <v>38</v>
      </c>
      <c r="F4" s="2" t="s">
        <v>36</v>
      </c>
      <c r="G4" s="18" t="s">
        <v>22</v>
      </c>
      <c r="H4" s="2" t="s">
        <v>30</v>
      </c>
      <c r="I4"/>
      <c r="K4" s="2" t="s">
        <v>20</v>
      </c>
      <c r="L4" s="2" t="s">
        <v>105</v>
      </c>
      <c r="M4" s="2" t="s">
        <v>2</v>
      </c>
      <c r="N4" s="2" t="s">
        <v>38</v>
      </c>
      <c r="O4" s="2" t="s">
        <v>12</v>
      </c>
      <c r="P4" s="17" t="s">
        <v>13</v>
      </c>
      <c r="Q4" s="17" t="s">
        <v>14</v>
      </c>
      <c r="R4" s="18" t="s">
        <v>22</v>
      </c>
      <c r="S4" s="2" t="s">
        <v>32</v>
      </c>
      <c r="T4"/>
      <c r="V4" s="2" t="s">
        <v>11</v>
      </c>
      <c r="W4" s="8" t="s">
        <v>44</v>
      </c>
      <c r="X4" s="10" t="s">
        <v>27</v>
      </c>
      <c r="Y4" s="10" t="s">
        <v>28</v>
      </c>
      <c r="Z4" s="10" t="s">
        <v>29</v>
      </c>
      <c r="AA4" s="10" t="s">
        <v>57</v>
      </c>
      <c r="AB4" s="10" t="s">
        <v>69</v>
      </c>
      <c r="AC4" s="2" t="s">
        <v>16</v>
      </c>
      <c r="AD4" s="2" t="s">
        <v>76</v>
      </c>
      <c r="AE4" s="2" t="s">
        <v>68</v>
      </c>
      <c r="AF4" s="10" t="s">
        <v>40</v>
      </c>
      <c r="AG4" s="10" t="s">
        <v>41</v>
      </c>
      <c r="AH4" s="10" t="s">
        <v>42</v>
      </c>
      <c r="AI4" s="2" t="s">
        <v>43</v>
      </c>
      <c r="AJ4" s="2" t="s">
        <v>67</v>
      </c>
      <c r="AK4" s="33" t="s">
        <v>77</v>
      </c>
      <c r="AL4" s="33" t="s">
        <v>78</v>
      </c>
      <c r="AM4" s="33" t="s">
        <v>79</v>
      </c>
      <c r="AN4" s="33" t="s">
        <v>23</v>
      </c>
      <c r="AO4" s="34" t="s">
        <v>24</v>
      </c>
      <c r="AP4" s="33" t="s">
        <v>25</v>
      </c>
      <c r="AQ4" s="2" t="s">
        <v>26</v>
      </c>
    </row>
    <row r="5" spans="2:43" x14ac:dyDescent="0.25">
      <c r="B5" s="4" t="s">
        <v>53</v>
      </c>
      <c r="C5" s="4" t="s">
        <v>99</v>
      </c>
      <c r="D5" s="4" t="s">
        <v>6</v>
      </c>
      <c r="E5">
        <f>MATCH(Ingredients[[#This Row],[Rarity]],Rarities[Name], 0)</f>
        <v>1</v>
      </c>
      <c r="F5" s="6">
        <v>0</v>
      </c>
      <c r="G5" cm="1">
        <f t="array" ref="G5">MROUND(INDEX(Rarities[Cheapest], Ingredients[[#This Row],[Rarity Index]])+Ingredients[[#This Row],[Cost Grade]]*INDEX(Rarities[Cost Range],Ingredients[[#This Row],[Rarity Index]]), 5)</f>
        <v>30</v>
      </c>
      <c r="H5">
        <f>COUNTIF(Recipes[[Item 1]:[Item 3]],Ingredients[[#This Row],[Name]])</f>
        <v>5</v>
      </c>
      <c r="K5" s="4" t="s">
        <v>64</v>
      </c>
      <c r="L5" s="4" t="s">
        <v>99</v>
      </c>
      <c r="M5" s="4" t="s">
        <v>6</v>
      </c>
      <c r="N5">
        <f>MATCH(Potions[[#This Row],[Rarity]],Rarities[Name], 0)</f>
        <v>1</v>
      </c>
      <c r="O5">
        <f>COUNTIF(Recipes[Potion], Potions[[#This Row],[Name]])</f>
        <v>2</v>
      </c>
      <c r="P5">
        <f>_xlfn.MINIFS(Recipes[Total Cost],Recipes[Potion],Potions[[#This Row],[Name]])</f>
        <v>80</v>
      </c>
      <c r="Q5">
        <f>_xlfn.MAXIFS(Recipes[Total Cost],Recipes[Potion],Potions[[#This Row],[Name]])</f>
        <v>110</v>
      </c>
      <c r="R5" cm="1">
        <f t="array" ref="R5">MROUND(AVERAGE(Potions[[#This Row],[Cheapest]:[Most Expensive]])*INDEX(Rarities[Profit Multiplier], Potions[[#This Row],[Rarity Index]]), 5)</f>
        <v>115</v>
      </c>
      <c r="S5" s="25">
        <f>(Potions[[#This Row],[Cost]]-Potions[[#This Row],[Cheapest]])/Potions[[#This Row],[Cheapest]]</f>
        <v>0.4375</v>
      </c>
      <c r="V5" s="4" t="s">
        <v>64</v>
      </c>
      <c r="W5" s="7">
        <f>COUNTIF(Recipes[[#Headers],[Potion]]:Recipes[[#This Row],[Potion]], Recipes[[#This Row],[Potion]])</f>
        <v>1</v>
      </c>
      <c r="X5" s="21" t="s">
        <v>47</v>
      </c>
      <c r="Y5" s="21" t="s">
        <v>54</v>
      </c>
      <c r="Z5" s="21"/>
      <c r="AA5">
        <f>COUNTA(Recipes[[#This Row],[Item 1]:[Item 3]])</f>
        <v>2</v>
      </c>
      <c r="AB5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5">
        <f>SUM(IFERROR(INDEX(Ingredients[Cost], Recipes[[#This Row],[Index 1]]), 0), IFERROR(INDEX(Ingredients[Cost], Recipes[[#This Row],[Index 2]]), 0), IFERROR(INDEX(Ingredients[Cost], Recipes[[#This Row],[Index 3]]), 0))</f>
        <v>80</v>
      </c>
      <c r="AD5" s="25" cm="1">
        <f t="array" ref="AD5">(INDEX(Potions[Cost], Recipes[[#This Row],[Potion Index]])-Recipes[[#This Row],[Total Cost]])/Recipes[[#This Row],[Total Cost]]</f>
        <v>0.4375</v>
      </c>
      <c r="AE5">
        <f>MATCH(Recipes[[#This Row],[Potion]],Potions[Name], 0)</f>
        <v>1</v>
      </c>
      <c r="AF5">
        <f>MATCH(Recipes[[#This Row],[Item 1]],Ingredients[Name], 0)</f>
        <v>7</v>
      </c>
      <c r="AG5">
        <f>MATCH(Recipes[[#This Row],[Item 2]],Ingredients[Name], 0)</f>
        <v>3</v>
      </c>
      <c r="AH5" t="e">
        <f>MATCH(Recipes[[#This Row],[Item 3]],Ingredients[Name], 0)</f>
        <v>#N/A</v>
      </c>
      <c r="AI5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1</v>
      </c>
      <c r="AJ5" cm="1">
        <f t="array" ref="AJ5">INDEX(Potions[Rarity Index], Recipes[[#This Row],[Potion Index]])</f>
        <v>1</v>
      </c>
      <c r="AK5">
        <f>(Recipes[[#This Row],[Item 1]]&gt;Recipes[[#This Row],[Item 2]])+(Recipes[[#This Row],[Item 1]]&gt;Recipes[[#This Row],[Item 3]]) + Recipes[[#This Row],[Ingredient Count]]-2</f>
        <v>2</v>
      </c>
      <c r="AL5">
        <f>(Recipes[[#This Row],[Item 2]]&gt;Recipes[[#This Row],[Item 1]])+(Recipes[[#This Row],[Item 2]]&gt;Recipes[[#This Row],[Item 3]]) + Recipes[[#This Row],[Ingredient Count]]-2</f>
        <v>1</v>
      </c>
      <c r="AM5">
        <f>(Recipes[[#This Row],[Item 3]]&gt;Recipes[[#This Row],[Item 1]])+(Recipes[[#This Row],[Item 3]]&gt;Recipes[[#This Row],[Item 2]]) + Recipes[[#This Row],[Ingredient Count]]-2</f>
        <v>0</v>
      </c>
      <c r="AN5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Crawler Grub + Tangleroot</v>
      </c>
      <c r="AO5">
        <f>ROW(Recipes[[#This Row],[Row]])-ROW(Recipes[[#Headers],[Row]])</f>
        <v>1</v>
      </c>
      <c r="AP5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5" t="str" cm="1">
        <f t="array" ref="AQ5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6" spans="2:43" x14ac:dyDescent="0.25">
      <c r="B6" s="4" t="s">
        <v>49</v>
      </c>
      <c r="C6" s="4" t="s">
        <v>99</v>
      </c>
      <c r="D6" s="4" t="s">
        <v>6</v>
      </c>
      <c r="E6">
        <f>MATCH(Ingredients[[#This Row],[Rarity]],Rarities[Name], 0)</f>
        <v>1</v>
      </c>
      <c r="F6" s="6">
        <v>0</v>
      </c>
      <c r="G6" cm="1">
        <f t="array" ref="G6">MROUND(INDEX(Rarities[Cheapest], Ingredients[[#This Row],[Rarity Index]])+Ingredients[[#This Row],[Cost Grade]]*INDEX(Rarities[Cost Range],Ingredients[[#This Row],[Rarity Index]]), 5)</f>
        <v>30</v>
      </c>
      <c r="H6">
        <f>COUNTIF(Recipes[[Item 1]:[Item 3]],Ingredients[[#This Row],[Name]])</f>
        <v>4</v>
      </c>
      <c r="K6" s="4" t="s">
        <v>62</v>
      </c>
      <c r="L6" s="4" t="s">
        <v>99</v>
      </c>
      <c r="M6" s="4" t="s">
        <v>6</v>
      </c>
      <c r="N6">
        <f>MATCH(Potions[[#This Row],[Rarity]],Rarities[Name], 0)</f>
        <v>1</v>
      </c>
      <c r="O6">
        <f>COUNTIF(Recipes[Potion], Potions[[#This Row],[Name]])</f>
        <v>1</v>
      </c>
      <c r="P6">
        <f>_xlfn.MINIFS(Recipes[Total Cost],Recipes[Potion],Potions[[#This Row],[Name]])</f>
        <v>60</v>
      </c>
      <c r="Q6">
        <f>_xlfn.MAXIFS(Recipes[Total Cost],Recipes[Potion],Potions[[#This Row],[Name]])</f>
        <v>60</v>
      </c>
      <c r="R6" cm="1">
        <f t="array" ref="R6">MROUND(AVERAGE(Potions[[#This Row],[Cheapest]:[Most Expensive]])*INDEX(Rarities[Profit Multiplier], Potions[[#This Row],[Rarity Index]]), 5)</f>
        <v>70</v>
      </c>
      <c r="S6" s="25">
        <f>(Potions[[#This Row],[Cost]]-Potions[[#This Row],[Cheapest]])/Potions[[#This Row],[Cheapest]]</f>
        <v>0.16666666666666666</v>
      </c>
      <c r="V6" s="4" t="s">
        <v>64</v>
      </c>
      <c r="W6" s="7">
        <f>COUNTIF(Recipes[[#Headers],[Potion]]:Recipes[[#This Row],[Potion]], Recipes[[#This Row],[Potion]])</f>
        <v>2</v>
      </c>
      <c r="X6" s="21" t="s">
        <v>55</v>
      </c>
      <c r="Y6" s="21" t="s">
        <v>53</v>
      </c>
      <c r="Z6" s="21"/>
      <c r="AA6">
        <f>COUNTA(Recipes[[#This Row],[Item 1]:[Item 3]])</f>
        <v>2</v>
      </c>
      <c r="AB6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C6">
        <f>SUM(IFERROR(INDEX(Ingredients[Cost], Recipes[[#This Row],[Index 1]]), 0), IFERROR(INDEX(Ingredients[Cost], Recipes[[#This Row],[Index 2]]), 0), IFERROR(INDEX(Ingredients[Cost], Recipes[[#This Row],[Index 3]]), 0))</f>
        <v>110</v>
      </c>
      <c r="AD6" s="25" cm="1">
        <f t="array" ref="AD6">(INDEX(Potions[Cost], Recipes[[#This Row],[Potion Index]])-Recipes[[#This Row],[Total Cost]])/Recipes[[#This Row],[Total Cost]]</f>
        <v>4.5454545454545456E-2</v>
      </c>
      <c r="AE6">
        <f>MATCH(Recipes[[#This Row],[Potion]],Potions[Name], 0)</f>
        <v>1</v>
      </c>
      <c r="AF6">
        <f>MATCH(Recipes[[#This Row],[Item 1]],Ingredients[Name], 0)</f>
        <v>9</v>
      </c>
      <c r="AG6">
        <f>MATCH(Recipes[[#This Row],[Item 2]],Ingredients[Name], 0)</f>
        <v>1</v>
      </c>
      <c r="AH6" t="e">
        <f>MATCH(Recipes[[#This Row],[Item 3]],Ingredients[Name], 0)</f>
        <v>#N/A</v>
      </c>
      <c r="AI6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J6" cm="1">
        <f t="array" ref="AJ6">INDEX(Potions[Rarity Index], Recipes[[#This Row],[Potion Index]])</f>
        <v>1</v>
      </c>
      <c r="AK6">
        <f>(Recipes[[#This Row],[Item 1]]&gt;Recipes[[#This Row],[Item 2]])+(Recipes[[#This Row],[Item 1]]&gt;Recipes[[#This Row],[Item 3]]) + Recipes[[#This Row],[Ingredient Count]]-2</f>
        <v>1</v>
      </c>
      <c r="AL6">
        <f>(Recipes[[#This Row],[Item 2]]&gt;Recipes[[#This Row],[Item 1]])+(Recipes[[#This Row],[Item 2]]&gt;Recipes[[#This Row],[Item 3]]) + Recipes[[#This Row],[Ingredient Count]]-2</f>
        <v>2</v>
      </c>
      <c r="AM6">
        <f>(Recipes[[#This Row],[Item 3]]&gt;Recipes[[#This Row],[Item 1]])+(Recipes[[#This Row],[Item 3]]&gt;Recipes[[#This Row],[Item 2]]) + Recipes[[#This Row],[Ingredient Count]]-2</f>
        <v>0</v>
      </c>
      <c r="AN6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Amber + Monster Blood</v>
      </c>
      <c r="AO6">
        <f>ROW(Recipes[[#This Row],[Row]])-ROW(Recipes[[#Headers],[Row]])</f>
        <v>2</v>
      </c>
      <c r="AP6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6" t="str" cm="1">
        <f t="array" ref="AQ6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7" spans="2:43" x14ac:dyDescent="0.25">
      <c r="B7" s="4" t="s">
        <v>54</v>
      </c>
      <c r="C7" s="4" t="s">
        <v>100</v>
      </c>
      <c r="D7" s="4" t="s">
        <v>6</v>
      </c>
      <c r="E7">
        <f>MATCH(Ingredients[[#This Row],[Rarity]],Rarities[Name], 0)</f>
        <v>1</v>
      </c>
      <c r="F7" s="6">
        <v>0.1</v>
      </c>
      <c r="G7" cm="1">
        <f t="array" ref="G7">MROUND(INDEX(Rarities[Cheapest], Ingredients[[#This Row],[Rarity Index]])+Ingredients[[#This Row],[Cost Grade]]*INDEX(Rarities[Cost Range],Ingredients[[#This Row],[Rarity Index]]), 5)</f>
        <v>30</v>
      </c>
      <c r="H7">
        <f>COUNTIF(Recipes[[Item 1]:[Item 3]],Ingredients[[#This Row],[Name]])</f>
        <v>2</v>
      </c>
      <c r="K7" s="4" t="s">
        <v>66</v>
      </c>
      <c r="L7" s="4" t="s">
        <v>99</v>
      </c>
      <c r="M7" s="4" t="s">
        <v>6</v>
      </c>
      <c r="N7">
        <f>MATCH(Potions[[#This Row],[Rarity]],Rarities[Name], 0)</f>
        <v>1</v>
      </c>
      <c r="O7">
        <f>COUNTIF(Recipes[Potion], Potions[[#This Row],[Name]])</f>
        <v>2</v>
      </c>
      <c r="P7">
        <f>_xlfn.MINIFS(Recipes[Total Cost],Recipes[Potion],Potions[[#This Row],[Name]])</f>
        <v>100</v>
      </c>
      <c r="Q7">
        <f>_xlfn.MAXIFS(Recipes[Total Cost],Recipes[Potion],Potions[[#This Row],[Name]])</f>
        <v>100</v>
      </c>
      <c r="R7" cm="1">
        <f t="array" ref="R7">MROUND(AVERAGE(Potions[[#This Row],[Cheapest]:[Most Expensive]])*INDEX(Rarities[Profit Multiplier], Potions[[#This Row],[Rarity Index]]), 5)</f>
        <v>120</v>
      </c>
      <c r="S7" s="25">
        <f>(Potions[[#This Row],[Cost]]-Potions[[#This Row],[Cheapest]])/Potions[[#This Row],[Cheapest]]</f>
        <v>0.2</v>
      </c>
      <c r="V7" s="4" t="s">
        <v>62</v>
      </c>
      <c r="W7" s="7">
        <f>COUNTIF(Recipes[[#Headers],[Potion]]:Recipes[[#This Row],[Potion]], Recipes[[#This Row],[Potion]])</f>
        <v>1</v>
      </c>
      <c r="X7" s="21" t="s">
        <v>53</v>
      </c>
      <c r="Y7" s="21" t="s">
        <v>5</v>
      </c>
      <c r="Z7" s="21"/>
      <c r="AA7">
        <f>COUNTA(Recipes[[#This Row],[Item 1]:[Item 3]])</f>
        <v>2</v>
      </c>
      <c r="AB7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7">
        <f>SUM(IFERROR(INDEX(Ingredients[Cost], Recipes[[#This Row],[Index 1]]), 0), IFERROR(INDEX(Ingredients[Cost], Recipes[[#This Row],[Index 2]]), 0), IFERROR(INDEX(Ingredients[Cost], Recipes[[#This Row],[Index 3]]), 0))</f>
        <v>60</v>
      </c>
      <c r="AD7" s="25" cm="1">
        <f t="array" ref="AD7">(INDEX(Potions[Cost], Recipes[[#This Row],[Potion Index]])-Recipes[[#This Row],[Total Cost]])/Recipes[[#This Row],[Total Cost]]</f>
        <v>0.16666666666666666</v>
      </c>
      <c r="AE7">
        <f>MATCH(Recipes[[#This Row],[Potion]],Potions[Name], 0)</f>
        <v>2</v>
      </c>
      <c r="AF7">
        <f>MATCH(Recipes[[#This Row],[Item 1]],Ingredients[Name], 0)</f>
        <v>1</v>
      </c>
      <c r="AG7">
        <f>MATCH(Recipes[[#This Row],[Item 2]],Ingredients[Name], 0)</f>
        <v>4</v>
      </c>
      <c r="AH7" t="e">
        <f>MATCH(Recipes[[#This Row],[Item 3]],Ingredients[Name], 0)</f>
        <v>#N/A</v>
      </c>
      <c r="AI7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1</v>
      </c>
      <c r="AJ7" cm="1">
        <f t="array" ref="AJ7">INDEX(Potions[Rarity Index], Recipes[[#This Row],[Potion Index]])</f>
        <v>1</v>
      </c>
      <c r="AK7">
        <f>(Recipes[[#This Row],[Item 1]]&gt;Recipes[[#This Row],[Item 2]])+(Recipes[[#This Row],[Item 1]]&gt;Recipes[[#This Row],[Item 3]]) + Recipes[[#This Row],[Ingredient Count]]-2</f>
        <v>1</v>
      </c>
      <c r="AL7">
        <f>(Recipes[[#This Row],[Item 2]]&gt;Recipes[[#This Row],[Item 1]])+(Recipes[[#This Row],[Item 2]]&gt;Recipes[[#This Row],[Item 3]]) + Recipes[[#This Row],[Ingredient Count]]-2</f>
        <v>2</v>
      </c>
      <c r="AM7">
        <f>(Recipes[[#This Row],[Item 3]]&gt;Recipes[[#This Row],[Item 1]])+(Recipes[[#This Row],[Item 3]]&gt;Recipes[[#This Row],[Item 2]]) + Recipes[[#This Row],[Ingredient Count]]-2</f>
        <v>0</v>
      </c>
      <c r="AN7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Monster Blood + Morning Dew</v>
      </c>
      <c r="AO7">
        <f>ROW(Recipes[[#This Row],[Row]])-ROW(Recipes[[#Headers],[Row]])</f>
        <v>3</v>
      </c>
      <c r="AP7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7" t="str">
        <f t="array" ref="AQ7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8" spans="2:43" x14ac:dyDescent="0.25">
      <c r="B8" s="4" t="s">
        <v>5</v>
      </c>
      <c r="C8" s="4" t="s">
        <v>99</v>
      </c>
      <c r="D8" s="4" t="s">
        <v>6</v>
      </c>
      <c r="E8">
        <f>MATCH(Ingredients[[#This Row],[Rarity]],Rarities[Name], 0)</f>
        <v>1</v>
      </c>
      <c r="F8" s="6">
        <v>0.1</v>
      </c>
      <c r="G8" cm="1">
        <f t="array" ref="G8">MROUND(INDEX(Rarities[Cheapest], Ingredients[[#This Row],[Rarity Index]])+Ingredients[[#This Row],[Cost Grade]]*INDEX(Rarities[Cost Range],Ingredients[[#This Row],[Rarity Index]]), 5)</f>
        <v>30</v>
      </c>
      <c r="H8">
        <f>COUNTIF(Recipes[[Item 1]:[Item 3]],Ingredients[[#This Row],[Name]])</f>
        <v>4</v>
      </c>
      <c r="K8" s="4" t="s">
        <v>56</v>
      </c>
      <c r="L8" s="4" t="s">
        <v>99</v>
      </c>
      <c r="M8" s="4" t="s">
        <v>6</v>
      </c>
      <c r="N8">
        <f>MATCH(Potions[[#This Row],[Rarity]],Rarities[Name], 0)</f>
        <v>1</v>
      </c>
      <c r="O8">
        <f>COUNTIF(Recipes[Potion], Potions[[#This Row],[Name]])</f>
        <v>1</v>
      </c>
      <c r="P8">
        <f>_xlfn.MINIFS(Recipes[Total Cost],Recipes[Potion],Potions[[#This Row],[Name]])</f>
        <v>90</v>
      </c>
      <c r="Q8">
        <f>_xlfn.MAXIFS(Recipes[Total Cost],Recipes[Potion],Potions[[#This Row],[Name]])</f>
        <v>90</v>
      </c>
      <c r="R8" cm="1">
        <f t="array" ref="R8">MROUND(AVERAGE(Potions[[#This Row],[Cheapest]:[Most Expensive]])*INDEX(Rarities[Profit Multiplier], Potions[[#This Row],[Rarity Index]]), 5)</f>
        <v>110</v>
      </c>
      <c r="S8" s="25">
        <f>(Potions[[#This Row],[Cost]]-Potions[[#This Row],[Cheapest]])/Potions[[#This Row],[Cheapest]]</f>
        <v>0.22222222222222221</v>
      </c>
      <c r="V8" s="4" t="s">
        <v>66</v>
      </c>
      <c r="W8" s="7">
        <f>COUNTIF(Recipes[[#Headers],[Potion]]:Recipes[[#This Row],[Potion]], Recipes[[#This Row],[Potion]])</f>
        <v>1</v>
      </c>
      <c r="X8" s="21" t="s">
        <v>4</v>
      </c>
      <c r="Y8" s="21" t="s">
        <v>49</v>
      </c>
      <c r="Z8" s="21"/>
      <c r="AA8">
        <f>COUNTA(Recipes[[#This Row],[Item 1]:[Item 3]])</f>
        <v>2</v>
      </c>
      <c r="AB8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C8">
        <f>SUM(IFERROR(INDEX(Ingredients[Cost], Recipes[[#This Row],[Index 1]]), 0), IFERROR(INDEX(Ingredients[Cost], Recipes[[#This Row],[Index 2]]), 0), IFERROR(INDEX(Ingredients[Cost], Recipes[[#This Row],[Index 3]]), 0))</f>
        <v>100</v>
      </c>
      <c r="AD8" s="25" cm="1">
        <f t="array" ref="AD8">(INDEX(Potions[Cost], Recipes[[#This Row],[Potion Index]])-Recipes[[#This Row],[Total Cost]])/Recipes[[#This Row],[Total Cost]]</f>
        <v>0.2</v>
      </c>
      <c r="AE8">
        <f>MATCH(Recipes[[#This Row],[Potion]],Potions[Name], 0)</f>
        <v>3</v>
      </c>
      <c r="AF8">
        <f>MATCH(Recipes[[#This Row],[Item 1]],Ingredients[Name], 0)</f>
        <v>8</v>
      </c>
      <c r="AG8">
        <f>MATCH(Recipes[[#This Row],[Item 2]],Ingredients[Name], 0)</f>
        <v>2</v>
      </c>
      <c r="AH8" t="e">
        <f>MATCH(Recipes[[#This Row],[Item 3]],Ingredients[Name], 0)</f>
        <v>#N/A</v>
      </c>
      <c r="AI8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J8" cm="1">
        <f t="array" ref="AJ8">INDEX(Potions[Rarity Index], Recipes[[#This Row],[Potion Index]])</f>
        <v>1</v>
      </c>
      <c r="AK8">
        <f>(Recipes[[#This Row],[Item 1]]&gt;Recipes[[#This Row],[Item 2]])+(Recipes[[#This Row],[Item 1]]&gt;Recipes[[#This Row],[Item 3]]) + Recipes[[#This Row],[Ingredient Count]]-2</f>
        <v>1</v>
      </c>
      <c r="AL8">
        <f>(Recipes[[#This Row],[Item 2]]&gt;Recipes[[#This Row],[Item 1]])+(Recipes[[#This Row],[Item 2]]&gt;Recipes[[#This Row],[Item 3]]) + Recipes[[#This Row],[Ingredient Count]]-2</f>
        <v>2</v>
      </c>
      <c r="AM8">
        <f>(Recipes[[#This Row],[Item 3]]&gt;Recipes[[#This Row],[Item 1]])+(Recipes[[#This Row],[Item 3]]&gt;Recipes[[#This Row],[Item 2]]) + Recipes[[#This Row],[Ingredient Count]]-2</f>
        <v>0</v>
      </c>
      <c r="AN8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Noxious Slime</v>
      </c>
      <c r="AO8">
        <f>ROW(Recipes[[#This Row],[Row]])-ROW(Recipes[[#Headers],[Row]])</f>
        <v>4</v>
      </c>
      <c r="AP8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8" t="str" cm="1">
        <f t="array" ref="AQ8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9" spans="2:43" x14ac:dyDescent="0.25">
      <c r="B9" s="4" t="s">
        <v>0</v>
      </c>
      <c r="C9" s="4" t="s">
        <v>100</v>
      </c>
      <c r="D9" s="4" t="s">
        <v>6</v>
      </c>
      <c r="E9">
        <f>MATCH(Ingredients[[#This Row],[Rarity]],Rarities[Name], 0)</f>
        <v>1</v>
      </c>
      <c r="F9" s="6">
        <v>0.2</v>
      </c>
      <c r="G9" cm="1">
        <f t="array" ref="G9">MROUND(INDEX(Rarities[Cheapest], Ingredients[[#This Row],[Rarity Index]])+Ingredients[[#This Row],[Cost Grade]]*INDEX(Rarities[Cost Range],Ingredients[[#This Row],[Rarity Index]]), 5)</f>
        <v>35</v>
      </c>
      <c r="H9">
        <f>COUNTIF(Recipes[[Item 1]:[Item 3]],Ingredients[[#This Row],[Name]])</f>
        <v>3</v>
      </c>
      <c r="K9" s="4" t="s">
        <v>71</v>
      </c>
      <c r="L9" s="4" t="s">
        <v>99</v>
      </c>
      <c r="M9" s="4" t="s">
        <v>7</v>
      </c>
      <c r="N9">
        <f>MATCH(Potions[[#This Row],[Rarity]],Rarities[Name], 0)</f>
        <v>2</v>
      </c>
      <c r="O9">
        <f>COUNTIF(Recipes[Potion], Potions[[#This Row],[Name]])</f>
        <v>3</v>
      </c>
      <c r="P9">
        <f>_xlfn.MINIFS(Recipes[Total Cost],Recipes[Potion],Potions[[#This Row],[Name]])</f>
        <v>150</v>
      </c>
      <c r="Q9">
        <f>_xlfn.MAXIFS(Recipes[Total Cost],Recipes[Potion],Potions[[#This Row],[Name]])</f>
        <v>200</v>
      </c>
      <c r="R9" cm="1">
        <f t="array" ref="R9">MROUND(AVERAGE(Potions[[#This Row],[Cheapest]:[Most Expensive]])*INDEX(Rarities[Profit Multiplier], Potions[[#This Row],[Rarity Index]]), 5)</f>
        <v>230</v>
      </c>
      <c r="S9" s="25">
        <f>(Potions[[#This Row],[Cost]]-Potions[[#This Row],[Cheapest]])/Potions[[#This Row],[Cheapest]]</f>
        <v>0.53333333333333333</v>
      </c>
      <c r="V9" s="4" t="s">
        <v>66</v>
      </c>
      <c r="W9" s="7">
        <f>COUNTIF(Recipes[[#Headers],[Potion]]:Recipes[[#This Row],[Potion]], Recipes[[#This Row],[Potion]])</f>
        <v>2</v>
      </c>
      <c r="X9" s="21" t="s">
        <v>4</v>
      </c>
      <c r="Y9" s="21" t="s">
        <v>53</v>
      </c>
      <c r="Z9" s="21"/>
      <c r="AA9">
        <f>COUNTA(Recipes[[#This Row],[Item 1]:[Item 3]])</f>
        <v>2</v>
      </c>
      <c r="AB9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C9">
        <f>SUM(IFERROR(INDEX(Ingredients[Cost], Recipes[[#This Row],[Index 1]]), 0), IFERROR(INDEX(Ingredients[Cost], Recipes[[#This Row],[Index 2]]), 0), IFERROR(INDEX(Ingredients[Cost], Recipes[[#This Row],[Index 3]]), 0))</f>
        <v>100</v>
      </c>
      <c r="AD9" s="25" cm="1">
        <f t="array" ref="AD9">(INDEX(Potions[Cost], Recipes[[#This Row],[Potion Index]])-Recipes[[#This Row],[Total Cost]])/Recipes[[#This Row],[Total Cost]]</f>
        <v>0.2</v>
      </c>
      <c r="AE9">
        <f>MATCH(Recipes[[#This Row],[Potion]],Potions[Name], 0)</f>
        <v>3</v>
      </c>
      <c r="AF9">
        <f>MATCH(Recipes[[#This Row],[Item 1]],Ingredients[Name], 0)</f>
        <v>8</v>
      </c>
      <c r="AG9">
        <f>MATCH(Recipes[[#This Row],[Item 2]],Ingredients[Name], 0)</f>
        <v>1</v>
      </c>
      <c r="AH9" t="e">
        <f>MATCH(Recipes[[#This Row],[Item 3]],Ingredients[Name], 0)</f>
        <v>#N/A</v>
      </c>
      <c r="AI9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J9" cm="1">
        <f t="array" ref="AJ9">INDEX(Potions[Rarity Index], Recipes[[#This Row],[Potion Index]])</f>
        <v>1</v>
      </c>
      <c r="AK9">
        <f>(Recipes[[#This Row],[Item 1]]&gt;Recipes[[#This Row],[Item 2]])+(Recipes[[#This Row],[Item 1]]&gt;Recipes[[#This Row],[Item 3]]) + Recipes[[#This Row],[Ingredient Count]]-2</f>
        <v>1</v>
      </c>
      <c r="AL9">
        <f>(Recipes[[#This Row],[Item 2]]&gt;Recipes[[#This Row],[Item 1]])+(Recipes[[#This Row],[Item 2]]&gt;Recipes[[#This Row],[Item 3]]) + Recipes[[#This Row],[Ingredient Count]]-2</f>
        <v>2</v>
      </c>
      <c r="AM9">
        <f>(Recipes[[#This Row],[Item 3]]&gt;Recipes[[#This Row],[Item 1]])+(Recipes[[#This Row],[Item 3]]&gt;Recipes[[#This Row],[Item 2]]) + Recipes[[#This Row],[Ingredient Count]]-2</f>
        <v>0</v>
      </c>
      <c r="AN9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Monster Blood</v>
      </c>
      <c r="AO9">
        <f>ROW(Recipes[[#This Row],[Row]])-ROW(Recipes[[#Headers],[Row]])</f>
        <v>5</v>
      </c>
      <c r="AP9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9" t="str" cm="1">
        <f t="array" ref="AQ9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0" spans="2:43" x14ac:dyDescent="0.25">
      <c r="B10" s="4" t="s">
        <v>52</v>
      </c>
      <c r="C10" s="4" t="s">
        <v>101</v>
      </c>
      <c r="D10" s="4" t="s">
        <v>6</v>
      </c>
      <c r="E10">
        <f>MATCH(Ingredients[[#This Row],[Rarity]],Rarities[Name], 0)</f>
        <v>1</v>
      </c>
      <c r="F10" s="6">
        <v>0.5</v>
      </c>
      <c r="G10" cm="1">
        <f t="array" ref="G10">MROUND(INDEX(Rarities[Cheapest], Ingredients[[#This Row],[Rarity Index]])+Ingredients[[#This Row],[Cost Grade]]*INDEX(Rarities[Cost Range],Ingredients[[#This Row],[Rarity Index]]), 5)</f>
        <v>40</v>
      </c>
      <c r="H10">
        <f>COUNTIF(Recipes[[Item 1]:[Item 3]],Ingredients[[#This Row],[Name]])</f>
        <v>2</v>
      </c>
      <c r="K10" s="4" t="s">
        <v>70</v>
      </c>
      <c r="L10" s="4" t="s">
        <v>99</v>
      </c>
      <c r="M10" s="4" t="s">
        <v>7</v>
      </c>
      <c r="N10">
        <f>MATCH(Potions[[#This Row],[Rarity]],Rarities[Name], 0)</f>
        <v>2</v>
      </c>
      <c r="O10">
        <f>COUNTIF(Recipes[Potion], Potions[[#This Row],[Name]])</f>
        <v>1</v>
      </c>
      <c r="P10">
        <f>_xlfn.MINIFS(Recipes[Total Cost],Recipes[Potion],Potions[[#This Row],[Name]])</f>
        <v>175</v>
      </c>
      <c r="Q10">
        <f>_xlfn.MAXIFS(Recipes[Total Cost],Recipes[Potion],Potions[[#This Row],[Name]])</f>
        <v>175</v>
      </c>
      <c r="R10" cm="1">
        <f t="array" ref="R10">MROUND(AVERAGE(Potions[[#This Row],[Cheapest]:[Most Expensive]])*INDEX(Rarities[Profit Multiplier], Potions[[#This Row],[Rarity Index]]), 5)</f>
        <v>230</v>
      </c>
      <c r="S10" s="25">
        <f>(Potions[[#This Row],[Cost]]-Potions[[#This Row],[Cheapest]])/Potions[[#This Row],[Cheapest]]</f>
        <v>0.31428571428571428</v>
      </c>
      <c r="V10" s="4" t="s">
        <v>56</v>
      </c>
      <c r="W10" s="7">
        <f>COUNTIF(Recipes[[#Headers],[Potion]]:Recipes[[#This Row],[Potion]], Recipes[[#This Row],[Potion]])</f>
        <v>1</v>
      </c>
      <c r="X10" s="21" t="s">
        <v>52</v>
      </c>
      <c r="Y10" s="21" t="s">
        <v>47</v>
      </c>
      <c r="Z10" s="21"/>
      <c r="AA10">
        <f>COUNTA(Recipes[[#This Row],[Item 1]:[Item 3]])</f>
        <v>2</v>
      </c>
      <c r="AB10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10">
        <f>SUM(IFERROR(INDEX(Ingredients[Cost], Recipes[[#This Row],[Index 1]]), 0), IFERROR(INDEX(Ingredients[Cost], Recipes[[#This Row],[Index 2]]), 0), IFERROR(INDEX(Ingredients[Cost], Recipes[[#This Row],[Index 3]]), 0))</f>
        <v>90</v>
      </c>
      <c r="AD10" s="25" cm="1">
        <f t="array" ref="AD10">(INDEX(Potions[Cost], Recipes[[#This Row],[Potion Index]])-Recipes[[#This Row],[Total Cost]])/Recipes[[#This Row],[Total Cost]]</f>
        <v>0.22222222222222221</v>
      </c>
      <c r="AE10">
        <f>MATCH(Recipes[[#This Row],[Potion]],Potions[Name], 0)</f>
        <v>4</v>
      </c>
      <c r="AF10">
        <f>MATCH(Recipes[[#This Row],[Item 1]],Ingredients[Name], 0)</f>
        <v>6</v>
      </c>
      <c r="AG10">
        <f>MATCH(Recipes[[#This Row],[Item 2]],Ingredients[Name], 0)</f>
        <v>7</v>
      </c>
      <c r="AH10" t="e">
        <f>MATCH(Recipes[[#This Row],[Item 3]],Ingredients[Name], 0)</f>
        <v>#N/A</v>
      </c>
      <c r="AI10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1</v>
      </c>
      <c r="AJ10" cm="1">
        <f t="array" ref="AJ10">INDEX(Potions[Rarity Index], Recipes[[#This Row],[Potion Index]])</f>
        <v>1</v>
      </c>
      <c r="AK10">
        <f>(Recipes[[#This Row],[Item 1]]&gt;Recipes[[#This Row],[Item 2]])+(Recipes[[#This Row],[Item 1]]&gt;Recipes[[#This Row],[Item 3]]) + Recipes[[#This Row],[Ingredient Count]]-2</f>
        <v>2</v>
      </c>
      <c r="AL10">
        <f>(Recipes[[#This Row],[Item 2]]&gt;Recipes[[#This Row],[Item 1]])+(Recipes[[#This Row],[Item 2]]&gt;Recipes[[#This Row],[Item 3]]) + Recipes[[#This Row],[Ingredient Count]]-2</f>
        <v>1</v>
      </c>
      <c r="AM10">
        <f>(Recipes[[#This Row],[Item 3]]&gt;Recipes[[#This Row],[Item 1]])+(Recipes[[#This Row],[Item 3]]&gt;Recipes[[#This Row],[Item 2]]) + Recipes[[#This Row],[Ingredient Count]]-2</f>
        <v>0</v>
      </c>
      <c r="AN10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Tangleroot + Vitafruit</v>
      </c>
      <c r="AO10">
        <f>ROW(Recipes[[#This Row],[Row]])-ROW(Recipes[[#Headers],[Row]])</f>
        <v>6</v>
      </c>
      <c r="AP10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0" t="str" cm="1">
        <f t="array" ref="AQ10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1" spans="2:43" x14ac:dyDescent="0.25">
      <c r="B11" s="11" t="s">
        <v>47</v>
      </c>
      <c r="C11" s="11" t="s">
        <v>102</v>
      </c>
      <c r="D11" s="11" t="s">
        <v>6</v>
      </c>
      <c r="E11">
        <f>MATCH(Ingredients[[#This Row],[Rarity]],Rarities[Name], 0)</f>
        <v>1</v>
      </c>
      <c r="F11" s="12">
        <v>1</v>
      </c>
      <c r="G11" cm="1">
        <f t="array" ref="G11">MROUND(INDEX(Rarities[Cheapest], Ingredients[[#This Row],[Rarity Index]])+Ingredients[[#This Row],[Cost Grade]]*INDEX(Rarities[Cost Range],Ingredients[[#This Row],[Rarity Index]]), 5)</f>
        <v>50</v>
      </c>
      <c r="H11">
        <f>COUNTIF(Recipes[[Item 1]:[Item 3]],Ingredients[[#This Row],[Name]])</f>
        <v>3</v>
      </c>
      <c r="K11" s="11" t="s">
        <v>18</v>
      </c>
      <c r="L11" s="4" t="s">
        <v>99</v>
      </c>
      <c r="M11" s="11" t="s">
        <v>7</v>
      </c>
      <c r="N11">
        <f>MATCH(Potions[[#This Row],[Rarity]],Rarities[Name], 0)</f>
        <v>2</v>
      </c>
      <c r="O11">
        <f>COUNTIF(Recipes[Potion], Potions[[#This Row],[Name]])</f>
        <v>1</v>
      </c>
      <c r="P11">
        <f>_xlfn.MINIFS(Recipes[Total Cost],Recipes[Potion],Potions[[#This Row],[Name]])</f>
        <v>150</v>
      </c>
      <c r="Q11">
        <f>_xlfn.MAXIFS(Recipes[Total Cost],Recipes[Potion],Potions[[#This Row],[Name]])</f>
        <v>150</v>
      </c>
      <c r="R11" cm="1">
        <f t="array" ref="R11">MROUND(AVERAGE(Potions[[#This Row],[Cheapest]:[Most Expensive]])*INDEX(Rarities[Profit Multiplier], Potions[[#This Row],[Rarity Index]]), 5)</f>
        <v>195</v>
      </c>
      <c r="S11" s="25">
        <f>(Potions[[#This Row],[Cost]]-Potions[[#This Row],[Cheapest]])/Potions[[#This Row],[Cheapest]]</f>
        <v>0.3</v>
      </c>
      <c r="V11" s="4" t="s">
        <v>71</v>
      </c>
      <c r="W11" s="7">
        <f>COUNTIF(Recipes[[#Headers],[Potion]]:Recipes[[#This Row],[Potion]], Recipes[[#This Row],[Potion]])</f>
        <v>1</v>
      </c>
      <c r="X11" s="21" t="s">
        <v>1</v>
      </c>
      <c r="Y11" s="21" t="s">
        <v>49</v>
      </c>
      <c r="Z11" s="21"/>
      <c r="AA11">
        <f>COUNTA(Recipes[[#This Row],[Item 1]:[Item 3]])</f>
        <v>2</v>
      </c>
      <c r="AB11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C11">
        <f>SUM(IFERROR(INDEX(Ingredients[Cost], Recipes[[#This Row],[Index 1]]), 0), IFERROR(INDEX(Ingredients[Cost], Recipes[[#This Row],[Index 2]]), 0), IFERROR(INDEX(Ingredients[Cost], Recipes[[#This Row],[Index 3]]), 0))</f>
        <v>150</v>
      </c>
      <c r="AD11" s="25" cm="1">
        <f t="array" ref="AD11">(INDEX(Potions[Cost], Recipes[[#This Row],[Potion Index]])-Recipes[[#This Row],[Total Cost]])/Recipes[[#This Row],[Total Cost]]</f>
        <v>0.53333333333333333</v>
      </c>
      <c r="AE11">
        <f>MATCH(Recipes[[#This Row],[Potion]],Potions[Name], 0)</f>
        <v>5</v>
      </c>
      <c r="AF11">
        <f>MATCH(Recipes[[#This Row],[Item 1]],Ingredients[Name], 0)</f>
        <v>11</v>
      </c>
      <c r="AG11">
        <f>MATCH(Recipes[[#This Row],[Item 2]],Ingredients[Name], 0)</f>
        <v>2</v>
      </c>
      <c r="AH11" t="e">
        <f>MATCH(Recipes[[#This Row],[Item 3]],Ingredients[Name], 0)</f>
        <v>#N/A</v>
      </c>
      <c r="AI11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J11">
        <f t="array" ref="AJ11">INDEX(Potions[Rarity Index], Recipes[[#This Row],[Potion Index]])</f>
        <v>2</v>
      </c>
      <c r="AK11">
        <f>(Recipes[[#This Row],[Item 1]]&gt;Recipes[[#This Row],[Item 2]])+(Recipes[[#This Row],[Item 1]]&gt;Recipes[[#This Row],[Item 3]]) + Recipes[[#This Row],[Ingredient Count]]-2</f>
        <v>1</v>
      </c>
      <c r="AL11">
        <f>(Recipes[[#This Row],[Item 2]]&gt;Recipes[[#This Row],[Item 1]])+(Recipes[[#This Row],[Item 2]]&gt;Recipes[[#This Row],[Item 3]]) + Recipes[[#This Row],[Ingredient Count]]-2</f>
        <v>2</v>
      </c>
      <c r="AM11">
        <f>(Recipes[[#This Row],[Item 3]]&gt;Recipes[[#This Row],[Item 1]])+(Recipes[[#This Row],[Item 3]]&gt;Recipes[[#This Row],[Item 2]]) + Recipes[[#This Row],[Ingredient Count]]-2</f>
        <v>0</v>
      </c>
      <c r="AN11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Frostweed + Noxious Slime</v>
      </c>
      <c r="AO11">
        <f>ROW(Recipes[[#This Row],[Row]])-ROW(Recipes[[#Headers],[Row]])</f>
        <v>7</v>
      </c>
      <c r="AP11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1" t="str">
        <f t="array" ref="AQ11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2" spans="2:43" x14ac:dyDescent="0.25">
      <c r="B12" s="11" t="s">
        <v>4</v>
      </c>
      <c r="C12" s="11" t="s">
        <v>102</v>
      </c>
      <c r="D12" s="11" t="s">
        <v>7</v>
      </c>
      <c r="E12">
        <f>MATCH(Ingredients[[#This Row],[Rarity]],Rarities[Name], 0)</f>
        <v>2</v>
      </c>
      <c r="F12" s="12">
        <v>0.2</v>
      </c>
      <c r="G12" cm="1">
        <f t="array" ref="G12">MROUND(INDEX(Rarities[Cheapest], Ingredients[[#This Row],[Rarity Index]])+Ingredients[[#This Row],[Cost Grade]]*INDEX(Rarities[Cost Range],Ingredients[[#This Row],[Rarity Index]]), 5)</f>
        <v>70</v>
      </c>
      <c r="H12">
        <f>COUNTIF(Recipes[[Item 1]:[Item 3]],Ingredients[[#This Row],[Name]])</f>
        <v>4</v>
      </c>
      <c r="K12" s="11" t="s">
        <v>65</v>
      </c>
      <c r="L12" s="4" t="s">
        <v>99</v>
      </c>
      <c r="M12" s="11" t="s">
        <v>7</v>
      </c>
      <c r="N12">
        <f>MATCH(Potions[[#This Row],[Rarity]],Rarities[Name], 0)</f>
        <v>2</v>
      </c>
      <c r="O12">
        <f>COUNTIF(Recipes[Potion], Potions[[#This Row],[Name]])</f>
        <v>1</v>
      </c>
      <c r="P12">
        <f>_xlfn.MINIFS(Recipes[Total Cost],Recipes[Potion],Potions[[#This Row],[Name]])</f>
        <v>140</v>
      </c>
      <c r="Q12">
        <f>_xlfn.MAXIFS(Recipes[Total Cost],Recipes[Potion],Potions[[#This Row],[Name]])</f>
        <v>140</v>
      </c>
      <c r="R12" cm="1">
        <f t="array" ref="R12">MROUND(AVERAGE(Potions[[#This Row],[Cheapest]:[Most Expensive]])*INDEX(Rarities[Profit Multiplier], Potions[[#This Row],[Rarity Index]]), 5)</f>
        <v>180</v>
      </c>
      <c r="S12" s="25">
        <f>(Potions[[#This Row],[Cost]]-Potions[[#This Row],[Cheapest]])/Potions[[#This Row],[Cheapest]]</f>
        <v>0.2857142857142857</v>
      </c>
      <c r="V12" s="4" t="s">
        <v>71</v>
      </c>
      <c r="W12" s="7">
        <f>COUNTIF(Recipes[[#Headers],[Potion]]:Recipes[[#This Row],[Potion]], Recipes[[#This Row],[Potion]])</f>
        <v>2</v>
      </c>
      <c r="X12" s="21" t="s">
        <v>4</v>
      </c>
      <c r="Y12" s="21" t="s">
        <v>51</v>
      </c>
      <c r="Z12" s="21"/>
      <c r="AA12">
        <f>COUNTA(Recipes[[#This Row],[Item 1]:[Item 3]])</f>
        <v>2</v>
      </c>
      <c r="AB12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12">
        <f>SUM(IFERROR(INDEX(Ingredients[Cost], Recipes[[#This Row],[Index 1]]), 0), IFERROR(INDEX(Ingredients[Cost], Recipes[[#This Row],[Index 2]]), 0), IFERROR(INDEX(Ingredients[Cost], Recipes[[#This Row],[Index 3]]), 0))</f>
        <v>180</v>
      </c>
      <c r="AD12" s="25" cm="1">
        <f t="array" ref="AD12">(INDEX(Potions[Cost], Recipes[[#This Row],[Potion Index]])-Recipes[[#This Row],[Total Cost]])/Recipes[[#This Row],[Total Cost]]</f>
        <v>0.27777777777777779</v>
      </c>
      <c r="AE12">
        <f>MATCH(Recipes[[#This Row],[Potion]],Potions[Name], 0)</f>
        <v>5</v>
      </c>
      <c r="AF12">
        <f>MATCH(Recipes[[#This Row],[Item 1]],Ingredients[Name], 0)</f>
        <v>8</v>
      </c>
      <c r="AG12">
        <f>MATCH(Recipes[[#This Row],[Item 2]],Ingredients[Name], 0)</f>
        <v>10</v>
      </c>
      <c r="AH12" t="e">
        <f>MATCH(Recipes[[#This Row],[Item 3]],Ingredients[Name], 0)</f>
        <v>#N/A</v>
      </c>
      <c r="AI12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J12" cm="1">
        <f t="array" ref="AJ12">INDEX(Potions[Rarity Index], Recipes[[#This Row],[Potion Index]])</f>
        <v>2</v>
      </c>
      <c r="AK12">
        <f>(Recipes[[#This Row],[Item 1]]&gt;Recipes[[#This Row],[Item 2]])+(Recipes[[#This Row],[Item 1]]&gt;Recipes[[#This Row],[Item 3]]) + Recipes[[#This Row],[Ingredient Count]]-2</f>
        <v>1</v>
      </c>
      <c r="AL12">
        <f>(Recipes[[#This Row],[Item 2]]&gt;Recipes[[#This Row],[Item 1]])+(Recipes[[#This Row],[Item 2]]&gt;Recipes[[#This Row],[Item 3]]) + Recipes[[#This Row],[Ingredient Count]]-2</f>
        <v>2</v>
      </c>
      <c r="AM12">
        <f>(Recipes[[#This Row],[Item 3]]&gt;Recipes[[#This Row],[Item 1]])+(Recipes[[#This Row],[Item 3]]&gt;Recipes[[#This Row],[Item 2]]) + Recipes[[#This Row],[Ingredient Count]]-2</f>
        <v>0</v>
      </c>
      <c r="AN12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Indigocap</v>
      </c>
      <c r="AO12">
        <f>ROW(Recipes[[#This Row],[Row]])-ROW(Recipes[[#Headers],[Row]])</f>
        <v>8</v>
      </c>
      <c r="AP12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2" t="str" cm="1">
        <f t="array" ref="AQ12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3" spans="2:43" x14ac:dyDescent="0.25">
      <c r="B13" s="11" t="s">
        <v>55</v>
      </c>
      <c r="C13" s="11" t="s">
        <v>103</v>
      </c>
      <c r="D13" s="11" t="s">
        <v>7</v>
      </c>
      <c r="E13">
        <f>MATCH(Ingredients[[#This Row],[Rarity]],Rarities[Name], 0)</f>
        <v>2</v>
      </c>
      <c r="F13" s="12">
        <v>0.3</v>
      </c>
      <c r="G13" cm="1">
        <f t="array" ref="G13">MROUND(INDEX(Rarities[Cheapest], Ingredients[[#This Row],[Rarity Index]])+Ingredients[[#This Row],[Cost Grade]]*INDEX(Rarities[Cost Range],Ingredients[[#This Row],[Rarity Index]]), 5)</f>
        <v>80</v>
      </c>
      <c r="H13">
        <f>COUNTIF(Recipes[[Item 1]:[Item 3]],Ingredients[[#This Row],[Name]])</f>
        <v>4</v>
      </c>
      <c r="K13" s="11" t="s">
        <v>19</v>
      </c>
      <c r="L13" s="4" t="s">
        <v>99</v>
      </c>
      <c r="M13" s="11" t="s">
        <v>8</v>
      </c>
      <c r="N13">
        <f>MATCH(Potions[[#This Row],[Rarity]],Rarities[Name], 0)</f>
        <v>3</v>
      </c>
      <c r="O13">
        <f>COUNTIF(Recipes[Potion], Potions[[#This Row],[Name]])</f>
        <v>2</v>
      </c>
      <c r="P13">
        <f>_xlfn.MINIFS(Recipes[Total Cost],Recipes[Potion],Potions[[#This Row],[Name]])</f>
        <v>335</v>
      </c>
      <c r="Q13">
        <f>_xlfn.MAXIFS(Recipes[Total Cost],Recipes[Potion],Potions[[#This Row],[Name]])</f>
        <v>430</v>
      </c>
      <c r="R13" cm="1">
        <f t="array" ref="R13">MROUND(AVERAGE(Potions[[#This Row],[Cheapest]:[Most Expensive]])*INDEX(Rarities[Profit Multiplier], Potions[[#This Row],[Rarity Index]]), 5)</f>
        <v>515</v>
      </c>
      <c r="S13" s="25">
        <f>(Potions[[#This Row],[Cost]]-Potions[[#This Row],[Cheapest]])/Potions[[#This Row],[Cheapest]]</f>
        <v>0.53731343283582089</v>
      </c>
      <c r="V13" s="4" t="s">
        <v>71</v>
      </c>
      <c r="W13" s="7">
        <f>COUNTIF(Recipes[[#Headers],[Potion]]:Recipes[[#This Row],[Potion]], Recipes[[#This Row],[Potion]])</f>
        <v>3</v>
      </c>
      <c r="X13" s="21" t="s">
        <v>51</v>
      </c>
      <c r="Y13" s="21" t="s">
        <v>52</v>
      </c>
      <c r="Z13" s="21" t="s">
        <v>47</v>
      </c>
      <c r="AA13">
        <f>COUNTA(Recipes[[#This Row],[Item 1]:[Item 3]])</f>
        <v>3</v>
      </c>
      <c r="AB13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13">
        <f>SUM(IFERROR(INDEX(Ingredients[Cost], Recipes[[#This Row],[Index 1]]), 0), IFERROR(INDEX(Ingredients[Cost], Recipes[[#This Row],[Index 2]]), 0), IFERROR(INDEX(Ingredients[Cost], Recipes[[#This Row],[Index 3]]), 0))</f>
        <v>200</v>
      </c>
      <c r="AD13" s="25" cm="1">
        <f t="array" ref="AD13">(INDEX(Potions[Cost], Recipes[[#This Row],[Potion Index]])-Recipes[[#This Row],[Total Cost]])/Recipes[[#This Row],[Total Cost]]</f>
        <v>0.15</v>
      </c>
      <c r="AE13">
        <f>MATCH(Recipes[[#This Row],[Potion]],Potions[Name], 0)</f>
        <v>5</v>
      </c>
      <c r="AF13">
        <f>MATCH(Recipes[[#This Row],[Item 1]],Ingredients[Name], 0)</f>
        <v>10</v>
      </c>
      <c r="AG13">
        <f>MATCH(Recipes[[#This Row],[Item 2]],Ingredients[Name], 0)</f>
        <v>6</v>
      </c>
      <c r="AH13">
        <f>MATCH(Recipes[[#This Row],[Item 3]],Ingredients[Name], 0)</f>
        <v>7</v>
      </c>
      <c r="AI13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J13" cm="1">
        <f t="array" ref="AJ13">INDEX(Potions[Rarity Index], Recipes[[#This Row],[Potion Index]])</f>
        <v>2</v>
      </c>
      <c r="AK13">
        <f>(Recipes[[#This Row],[Item 1]]&gt;Recipes[[#This Row],[Item 2]])+(Recipes[[#This Row],[Item 1]]&gt;Recipes[[#This Row],[Item 3]]) + Recipes[[#This Row],[Ingredient Count]]-2</f>
        <v>1</v>
      </c>
      <c r="AL13">
        <f>(Recipes[[#This Row],[Item 2]]&gt;Recipes[[#This Row],[Item 1]])+(Recipes[[#This Row],[Item 2]]&gt;Recipes[[#This Row],[Item 3]]) + Recipes[[#This Row],[Ingredient Count]]-2</f>
        <v>3</v>
      </c>
      <c r="AM13">
        <f>(Recipes[[#This Row],[Item 3]]&gt;Recipes[[#This Row],[Item 1]])+(Recipes[[#This Row],[Item 3]]&gt;Recipes[[#This Row],[Item 2]]) + Recipes[[#This Row],[Ingredient Count]]-2</f>
        <v>2</v>
      </c>
      <c r="AN13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Indigocap + Tangleroot + Vitafruit</v>
      </c>
      <c r="AO13">
        <f>ROW(Recipes[[#This Row],[Row]])-ROW(Recipes[[#Headers],[Row]])</f>
        <v>9</v>
      </c>
      <c r="AP13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3" t="str" cm="1">
        <f t="array" ref="AQ13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4" spans="2:43" x14ac:dyDescent="0.25">
      <c r="B14" s="11" t="s">
        <v>51</v>
      </c>
      <c r="C14" s="11" t="s">
        <v>103</v>
      </c>
      <c r="D14" s="11" t="s">
        <v>7</v>
      </c>
      <c r="E14">
        <f>MATCH(Ingredients[[#This Row],[Rarity]],Rarities[Name], 0)</f>
        <v>2</v>
      </c>
      <c r="F14" s="12">
        <v>0.8</v>
      </c>
      <c r="G14" cm="1">
        <f t="array" ref="G14">MROUND(INDEX(Rarities[Cheapest], Ingredients[[#This Row],[Rarity Index]])+Ingredients[[#This Row],[Cost Grade]]*INDEX(Rarities[Cost Range],Ingredients[[#This Row],[Rarity Index]]), 5)</f>
        <v>110</v>
      </c>
      <c r="H14">
        <f>COUNTIF(Recipes[[Item 1]:[Item 3]],Ingredients[[#This Row],[Name]])</f>
        <v>5</v>
      </c>
      <c r="K14" s="4" t="s">
        <v>63</v>
      </c>
      <c r="L14" s="4" t="s">
        <v>99</v>
      </c>
      <c r="M14" s="4" t="s">
        <v>8</v>
      </c>
      <c r="N14">
        <f>MATCH(Potions[[#This Row],[Rarity]],Rarities[Name], 0)</f>
        <v>3</v>
      </c>
      <c r="O14">
        <f>COUNTIF(Recipes[Potion], Potions[[#This Row],[Name]])</f>
        <v>1</v>
      </c>
      <c r="P14">
        <f>_xlfn.MINIFS(Recipes[Total Cost],Recipes[Potion],Potions[[#This Row],[Name]])</f>
        <v>210</v>
      </c>
      <c r="Q14">
        <f>_xlfn.MAXIFS(Recipes[Total Cost],Recipes[Potion],Potions[[#This Row],[Name]])</f>
        <v>210</v>
      </c>
      <c r="R14" cm="1">
        <f t="array" ref="R14">MROUND(AVERAGE(Potions[[#This Row],[Cheapest]:[Most Expensive]])*INDEX(Rarities[Profit Multiplier], Potions[[#This Row],[Rarity Index]]), 5)</f>
        <v>285</v>
      </c>
      <c r="S14" s="25">
        <f>(Potions[[#This Row],[Cost]]-Potions[[#This Row],[Cheapest]])/Potions[[#This Row],[Cheapest]]</f>
        <v>0.35714285714285715</v>
      </c>
      <c r="V14" s="4" t="s">
        <v>70</v>
      </c>
      <c r="W14" s="7">
        <f>COUNTIF(Recipes[[#Headers],[Potion]]:Recipes[[#This Row],[Potion]], Recipes[[#This Row],[Potion]])</f>
        <v>1</v>
      </c>
      <c r="X14" s="21" t="s">
        <v>51</v>
      </c>
      <c r="Y14" s="21" t="s">
        <v>0</v>
      </c>
      <c r="Z14" s="21" t="s">
        <v>54</v>
      </c>
      <c r="AA14">
        <f>COUNTA(Recipes[[#This Row],[Item 1]:[Item 3]])</f>
        <v>3</v>
      </c>
      <c r="AB14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14">
        <f>SUM(IFERROR(INDEX(Ingredients[Cost], Recipes[[#This Row],[Index 1]]), 0), IFERROR(INDEX(Ingredients[Cost], Recipes[[#This Row],[Index 2]]), 0), IFERROR(INDEX(Ingredients[Cost], Recipes[[#This Row],[Index 3]]), 0))</f>
        <v>175</v>
      </c>
      <c r="AD14" s="25" cm="1">
        <f t="array" ref="AD14">(INDEX(Potions[Cost], Recipes[[#This Row],[Potion Index]])-Recipes[[#This Row],[Total Cost]])/Recipes[[#This Row],[Total Cost]]</f>
        <v>0.31428571428571428</v>
      </c>
      <c r="AE14">
        <f>MATCH(Recipes[[#This Row],[Potion]],Potions[Name], 0)</f>
        <v>6</v>
      </c>
      <c r="AF14">
        <f>MATCH(Recipes[[#This Row],[Item 1]],Ingredients[Name], 0)</f>
        <v>10</v>
      </c>
      <c r="AG14">
        <f>MATCH(Recipes[[#This Row],[Item 2]],Ingredients[Name], 0)</f>
        <v>5</v>
      </c>
      <c r="AH14">
        <f>MATCH(Recipes[[#This Row],[Item 3]],Ingredients[Name], 0)</f>
        <v>3</v>
      </c>
      <c r="AI14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J14" cm="1">
        <f t="array" ref="AJ14">INDEX(Potions[Rarity Index], Recipes[[#This Row],[Potion Index]])</f>
        <v>2</v>
      </c>
      <c r="AK14">
        <f>(Recipes[[#This Row],[Item 1]]&gt;Recipes[[#This Row],[Item 2]])+(Recipes[[#This Row],[Item 1]]&gt;Recipes[[#This Row],[Item 3]]) + Recipes[[#This Row],[Ingredient Count]]-2</f>
        <v>3</v>
      </c>
      <c r="AL14">
        <f>(Recipes[[#This Row],[Item 2]]&gt;Recipes[[#This Row],[Item 1]])+(Recipes[[#This Row],[Item 2]]&gt;Recipes[[#This Row],[Item 3]]) + Recipes[[#This Row],[Ingredient Count]]-2</f>
        <v>2</v>
      </c>
      <c r="AM14">
        <f>(Recipes[[#This Row],[Item 3]]&gt;Recipes[[#This Row],[Item 1]])+(Recipes[[#This Row],[Item 3]]&gt;Recipes[[#This Row],[Item 2]]) + Recipes[[#This Row],[Ingredient Count]]-2</f>
        <v>1</v>
      </c>
      <c r="AN14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Crawler Grub + Frog's Breath + Indigocap</v>
      </c>
      <c r="AO14">
        <f>ROW(Recipes[[#This Row],[Row]])-ROW(Recipes[[#Headers],[Row]])</f>
        <v>10</v>
      </c>
      <c r="AP14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4" t="str" cm="1">
        <f t="array" ref="AQ14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5" spans="2:43" x14ac:dyDescent="0.25">
      <c r="B15" s="11" t="s">
        <v>1</v>
      </c>
      <c r="C15" s="11" t="s">
        <v>100</v>
      </c>
      <c r="D15" s="11" t="s">
        <v>8</v>
      </c>
      <c r="E15">
        <f>MATCH(Ingredients[[#This Row],[Rarity]],Rarities[Name], 0)</f>
        <v>3</v>
      </c>
      <c r="F15" s="12">
        <v>0.1</v>
      </c>
      <c r="G15" cm="1">
        <f t="array" ref="G15">MROUND(INDEX(Rarities[Cheapest], Ingredients[[#This Row],[Rarity Index]])+Ingredients[[#This Row],[Cost Grade]]*INDEX(Rarities[Cost Range],Ingredients[[#This Row],[Rarity Index]]), 5)</f>
        <v>120</v>
      </c>
      <c r="H15">
        <f>COUNTIF(Recipes[[Item 1]:[Item 3]],Ingredients[[#This Row],[Name]])</f>
        <v>2</v>
      </c>
      <c r="K15" s="11" t="s">
        <v>31</v>
      </c>
      <c r="L15" s="4" t="s">
        <v>99</v>
      </c>
      <c r="M15" s="11" t="s">
        <v>8</v>
      </c>
      <c r="N15">
        <f>MATCH(Potions[[#This Row],[Rarity]],Rarities[Name], 0)</f>
        <v>3</v>
      </c>
      <c r="O15">
        <f>COUNTIF(Recipes[Potion], Potions[[#This Row],[Name]])</f>
        <v>1</v>
      </c>
      <c r="P15">
        <f>_xlfn.MINIFS(Recipes[Total Cost],Recipes[Potion],Potions[[#This Row],[Name]])</f>
        <v>245</v>
      </c>
      <c r="Q15">
        <f>_xlfn.MAXIFS(Recipes[Total Cost],Recipes[Potion],Potions[[#This Row],[Name]])</f>
        <v>245</v>
      </c>
      <c r="R15" cm="1">
        <f t="array" ref="R15">MROUND(AVERAGE(Potions[[#This Row],[Cheapest]:[Most Expensive]])*INDEX(Rarities[Profit Multiplier], Potions[[#This Row],[Rarity Index]]), 5)</f>
        <v>330</v>
      </c>
      <c r="S15" s="25">
        <f>(Potions[[#This Row],[Cost]]-Potions[[#This Row],[Cheapest]])/Potions[[#This Row],[Cheapest]]</f>
        <v>0.34693877551020408</v>
      </c>
      <c r="V15" s="4" t="s">
        <v>18</v>
      </c>
      <c r="W15" s="7">
        <f>COUNTIF(Recipes[[#Headers],[Potion]]:Recipes[[#This Row],[Potion]], Recipes[[#This Row],[Potion]])</f>
        <v>1</v>
      </c>
      <c r="X15" s="21" t="s">
        <v>1</v>
      </c>
      <c r="Y15" s="21" t="s">
        <v>5</v>
      </c>
      <c r="Z15" s="21"/>
      <c r="AA15">
        <f>COUNTA(Recipes[[#This Row],[Item 1]:[Item 3]])</f>
        <v>2</v>
      </c>
      <c r="AB15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C15">
        <f>SUM(IFERROR(INDEX(Ingredients[Cost], Recipes[[#This Row],[Index 1]]), 0), IFERROR(INDEX(Ingredients[Cost], Recipes[[#This Row],[Index 2]]), 0), IFERROR(INDEX(Ingredients[Cost], Recipes[[#This Row],[Index 3]]), 0))</f>
        <v>150</v>
      </c>
      <c r="AD15" s="25" cm="1">
        <f t="array" ref="AD15">(INDEX(Potions[Cost], Recipes[[#This Row],[Potion Index]])-Recipes[[#This Row],[Total Cost]])/Recipes[[#This Row],[Total Cost]]</f>
        <v>0.3</v>
      </c>
      <c r="AE15">
        <f>MATCH(Recipes[[#This Row],[Potion]],Potions[Name], 0)</f>
        <v>7</v>
      </c>
      <c r="AF15">
        <f>MATCH(Recipes[[#This Row],[Item 1]],Ingredients[Name], 0)</f>
        <v>11</v>
      </c>
      <c r="AG15">
        <f>MATCH(Recipes[[#This Row],[Item 2]],Ingredients[Name], 0)</f>
        <v>4</v>
      </c>
      <c r="AH15" t="e">
        <f>MATCH(Recipes[[#This Row],[Item 3]],Ingredients[Name], 0)</f>
        <v>#N/A</v>
      </c>
      <c r="AI15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J15" cm="1">
        <f t="array" ref="AJ15">INDEX(Potions[Rarity Index], Recipes[[#This Row],[Potion Index]])</f>
        <v>2</v>
      </c>
      <c r="AK15">
        <f>(Recipes[[#This Row],[Item 1]]&gt;Recipes[[#This Row],[Item 2]])+(Recipes[[#This Row],[Item 1]]&gt;Recipes[[#This Row],[Item 3]]) + Recipes[[#This Row],[Ingredient Count]]-2</f>
        <v>1</v>
      </c>
      <c r="AL15">
        <f>(Recipes[[#This Row],[Item 2]]&gt;Recipes[[#This Row],[Item 1]])+(Recipes[[#This Row],[Item 2]]&gt;Recipes[[#This Row],[Item 3]]) + Recipes[[#This Row],[Ingredient Count]]-2</f>
        <v>2</v>
      </c>
      <c r="AM15">
        <f>(Recipes[[#This Row],[Item 3]]&gt;Recipes[[#This Row],[Item 1]])+(Recipes[[#This Row],[Item 3]]&gt;Recipes[[#This Row],[Item 2]]) + Recipes[[#This Row],[Ingredient Count]]-2</f>
        <v>0</v>
      </c>
      <c r="AN15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Frostweed + Morning Dew</v>
      </c>
      <c r="AO15">
        <f>ROW(Recipes[[#This Row],[Row]])-ROW(Recipes[[#Headers],[Row]])</f>
        <v>11</v>
      </c>
      <c r="AP15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5" t="str" cm="1">
        <f t="array" ref="AQ15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6" spans="2:43" x14ac:dyDescent="0.25">
      <c r="B16" s="11" t="s">
        <v>3</v>
      </c>
      <c r="C16" s="11" t="s">
        <v>100</v>
      </c>
      <c r="D16" s="11" t="s">
        <v>8</v>
      </c>
      <c r="E16">
        <f>MATCH(Ingredients[[#This Row],[Rarity]],Rarities[Name], 0)</f>
        <v>3</v>
      </c>
      <c r="F16" s="12">
        <v>0.4</v>
      </c>
      <c r="G16" cm="1">
        <f t="array" ref="G16">MROUND(INDEX(Rarities[Cheapest], Ingredients[[#This Row],[Rarity Index]])+Ingredients[[#This Row],[Cost Grade]]*INDEX(Rarities[Cost Range],Ingredients[[#This Row],[Rarity Index]]), 5)</f>
        <v>145</v>
      </c>
      <c r="H16">
        <f>COUNTIF(Recipes[[Item 1]:[Item 3]],Ingredients[[#This Row],[Name]])</f>
        <v>2</v>
      </c>
      <c r="K16" s="4" t="s">
        <v>17</v>
      </c>
      <c r="L16" s="4" t="s">
        <v>99</v>
      </c>
      <c r="M16" s="4" t="s">
        <v>10</v>
      </c>
      <c r="N16">
        <f>MATCH(Potions[[#This Row],[Rarity]],Rarities[Name], 0)</f>
        <v>4</v>
      </c>
      <c r="O16">
        <f>COUNTIF(Recipes[Potion], Potions[[#This Row],[Name]])</f>
        <v>2</v>
      </c>
      <c r="P16">
        <f>_xlfn.MINIFS(Recipes[Total Cost],Recipes[Potion],Potions[[#This Row],[Name]])</f>
        <v>420</v>
      </c>
      <c r="Q16">
        <f>_xlfn.MAXIFS(Recipes[Total Cost],Recipes[Potion],Potions[[#This Row],[Name]])</f>
        <v>520</v>
      </c>
      <c r="R16" cm="1">
        <f t="array" ref="R16">MROUND(AVERAGE(Potions[[#This Row],[Cheapest]:[Most Expensive]])*INDEX(Rarities[Profit Multiplier], Potions[[#This Row],[Rarity Index]]), 5)</f>
        <v>660</v>
      </c>
      <c r="S16" s="25">
        <f>(Potions[[#This Row],[Cost]]-Potions[[#This Row],[Cheapest]])/Potions[[#This Row],[Cheapest]]</f>
        <v>0.5714285714285714</v>
      </c>
      <c r="V16" s="4" t="s">
        <v>65</v>
      </c>
      <c r="W16" s="7">
        <f>COUNTIF(Recipes[[#Headers],[Potion]]:Recipes[[#This Row],[Potion]], Recipes[[#This Row],[Potion]])</f>
        <v>1</v>
      </c>
      <c r="X16" s="21" t="s">
        <v>51</v>
      </c>
      <c r="Y16" s="21" t="s">
        <v>53</v>
      </c>
      <c r="Z16" s="21"/>
      <c r="AA16">
        <f>COUNTA(Recipes[[#This Row],[Item 1]:[Item 3]])</f>
        <v>2</v>
      </c>
      <c r="AB16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16">
        <f>SUM(IFERROR(INDEX(Ingredients[Cost], Recipes[[#This Row],[Index 1]]), 0), IFERROR(INDEX(Ingredients[Cost], Recipes[[#This Row],[Index 2]]), 0), IFERROR(INDEX(Ingredients[Cost], Recipes[[#This Row],[Index 3]]), 0))</f>
        <v>140</v>
      </c>
      <c r="AD16" s="25" cm="1">
        <f t="array" ref="AD16">(INDEX(Potions[Cost], Recipes[[#This Row],[Potion Index]])-Recipes[[#This Row],[Total Cost]])/Recipes[[#This Row],[Total Cost]]</f>
        <v>0.2857142857142857</v>
      </c>
      <c r="AE16">
        <f>MATCH(Recipes[[#This Row],[Potion]],Potions[Name], 0)</f>
        <v>8</v>
      </c>
      <c r="AF16">
        <f>MATCH(Recipes[[#This Row],[Item 1]],Ingredients[Name], 0)</f>
        <v>10</v>
      </c>
      <c r="AG16">
        <f>MATCH(Recipes[[#This Row],[Item 2]],Ingredients[Name], 0)</f>
        <v>1</v>
      </c>
      <c r="AH16" t="e">
        <f>MATCH(Recipes[[#This Row],[Item 3]],Ingredients[Name], 0)</f>
        <v>#N/A</v>
      </c>
      <c r="AI16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J16" cm="1">
        <f t="array" ref="AJ16">INDEX(Potions[Rarity Index], Recipes[[#This Row],[Potion Index]])</f>
        <v>2</v>
      </c>
      <c r="AK16">
        <f>(Recipes[[#This Row],[Item 1]]&gt;Recipes[[#This Row],[Item 2]])+(Recipes[[#This Row],[Item 1]]&gt;Recipes[[#This Row],[Item 3]]) + Recipes[[#This Row],[Ingredient Count]]-2</f>
        <v>1</v>
      </c>
      <c r="AL16">
        <f>(Recipes[[#This Row],[Item 2]]&gt;Recipes[[#This Row],[Item 1]])+(Recipes[[#This Row],[Item 2]]&gt;Recipes[[#This Row],[Item 3]]) + Recipes[[#This Row],[Ingredient Count]]-2</f>
        <v>2</v>
      </c>
      <c r="AM16">
        <f>(Recipes[[#This Row],[Item 3]]&gt;Recipes[[#This Row],[Item 1]])+(Recipes[[#This Row],[Item 3]]&gt;Recipes[[#This Row],[Item 2]]) + Recipes[[#This Row],[Ingredient Count]]-2</f>
        <v>0</v>
      </c>
      <c r="AN16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Indigocap + Monster Blood</v>
      </c>
      <c r="AO16">
        <f>ROW(Recipes[[#This Row],[Row]])-ROW(Recipes[[#Headers],[Row]])</f>
        <v>12</v>
      </c>
      <c r="AP16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6" t="str" cm="1">
        <f t="array" ref="AQ16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7" spans="2:44" x14ac:dyDescent="0.25">
      <c r="B17" s="11" t="s">
        <v>48</v>
      </c>
      <c r="C17" s="11" t="s">
        <v>100</v>
      </c>
      <c r="D17" s="11" t="s">
        <v>8</v>
      </c>
      <c r="E17">
        <f>MATCH(Ingredients[[#This Row],[Rarity]],Rarities[Name], 0)</f>
        <v>3</v>
      </c>
      <c r="F17" s="12">
        <v>0.8</v>
      </c>
      <c r="G17" cm="1">
        <f t="array" ref="G17">MROUND(INDEX(Rarities[Cheapest], Ingredients[[#This Row],[Rarity Index]])+Ingredients[[#This Row],[Cost Grade]]*INDEX(Rarities[Cost Range],Ingredients[[#This Row],[Rarity Index]]), 5)</f>
        <v>180</v>
      </c>
      <c r="H17">
        <f>COUNTIF(Recipes[[Item 1]:[Item 3]],Ingredients[[#This Row],[Name]])</f>
        <v>2</v>
      </c>
      <c r="K17" s="4" t="s">
        <v>95</v>
      </c>
      <c r="L17" s="4" t="s">
        <v>99</v>
      </c>
      <c r="M17" s="4" t="s">
        <v>7</v>
      </c>
      <c r="N17" s="40">
        <f>MATCH(Potions[[#This Row],[Rarity]],Rarities[Name], 0)</f>
        <v>2</v>
      </c>
      <c r="O17" s="40">
        <v>2</v>
      </c>
      <c r="P17" s="40">
        <f>_xlfn.MINIFS(Recipes[Total Cost],Recipes[Potion],Potions[[#This Row],[Name]])</f>
        <v>500</v>
      </c>
      <c r="Q17" s="40">
        <f>_xlfn.MAXIFS(Recipes[Total Cost],Recipes[Potion],Potions[[#This Row],[Name]])</f>
        <v>500</v>
      </c>
      <c r="R17" s="40">
        <v>150</v>
      </c>
      <c r="S17" s="25">
        <f>S16</f>
        <v>0.5714285714285714</v>
      </c>
      <c r="V17" s="4" t="s">
        <v>19</v>
      </c>
      <c r="W17" s="7">
        <f>COUNTIF(Recipes[[#Headers],[Potion]]:Recipes[[#This Row],[Potion]], Recipes[[#This Row],[Potion]])</f>
        <v>1</v>
      </c>
      <c r="X17" s="21" t="s">
        <v>50</v>
      </c>
      <c r="Y17" s="21" t="s">
        <v>55</v>
      </c>
      <c r="Z17" s="21" t="s">
        <v>0</v>
      </c>
      <c r="AA17">
        <f>COUNTA(Recipes[[#This Row],[Item 1]:[Item 3]])</f>
        <v>3</v>
      </c>
      <c r="AB17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C17">
        <f>SUM(IFERROR(INDEX(Ingredients[Cost], Recipes[[#This Row],[Index 1]]), 0), IFERROR(INDEX(Ingredients[Cost], Recipes[[#This Row],[Index 2]]), 0), IFERROR(INDEX(Ingredients[Cost], Recipes[[#This Row],[Index 3]]), 0))</f>
        <v>335</v>
      </c>
      <c r="AD17" s="25" cm="1">
        <f t="array" ref="AD17">(INDEX(Potions[Cost], Recipes[[#This Row],[Potion Index]])-Recipes[[#This Row],[Total Cost]])/Recipes[[#This Row],[Total Cost]]</f>
        <v>0.53731343283582089</v>
      </c>
      <c r="AE17">
        <f>MATCH(Recipes[[#This Row],[Potion]],Potions[Name], 0)</f>
        <v>9</v>
      </c>
      <c r="AF17">
        <f>MATCH(Recipes[[#This Row],[Item 1]],Ingredients[Name], 0)</f>
        <v>14</v>
      </c>
      <c r="AG17">
        <f>MATCH(Recipes[[#This Row],[Item 2]],Ingredients[Name], 0)</f>
        <v>9</v>
      </c>
      <c r="AH17">
        <f>MATCH(Recipes[[#This Row],[Item 3]],Ingredients[Name], 0)</f>
        <v>5</v>
      </c>
      <c r="AI17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J17" cm="1">
        <f t="array" ref="AJ17">INDEX(Potions[Rarity Index], Recipes[[#This Row],[Potion Index]])</f>
        <v>3</v>
      </c>
      <c r="AK17">
        <f>(Recipes[[#This Row],[Item 1]]&gt;Recipes[[#This Row],[Item 2]])+(Recipes[[#This Row],[Item 1]]&gt;Recipes[[#This Row],[Item 3]]) + Recipes[[#This Row],[Ingredient Count]]-2</f>
        <v>3</v>
      </c>
      <c r="AL17">
        <f>(Recipes[[#This Row],[Item 2]]&gt;Recipes[[#This Row],[Item 1]])+(Recipes[[#This Row],[Item 2]]&gt;Recipes[[#This Row],[Item 3]]) + Recipes[[#This Row],[Ingredient Count]]-2</f>
        <v>1</v>
      </c>
      <c r="AM17">
        <f>(Recipes[[#This Row],[Item 3]]&gt;Recipes[[#This Row],[Item 1]])+(Recipes[[#This Row],[Item 3]]&gt;Recipes[[#This Row],[Item 2]]) + Recipes[[#This Row],[Ingredient Count]]-2</f>
        <v>2</v>
      </c>
      <c r="AN17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Frog's Breath + Magicite + Amber</v>
      </c>
      <c r="AO17">
        <f>ROW(Recipes[[#This Row],[Row]])-ROW(Recipes[[#Headers],[Row]])</f>
        <v>13</v>
      </c>
      <c r="AP17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7" t="str" cm="1">
        <f t="array" ref="AQ17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8" spans="2:44" x14ac:dyDescent="0.25">
      <c r="B18" s="11" t="s">
        <v>50</v>
      </c>
      <c r="C18" s="11" t="s">
        <v>103</v>
      </c>
      <c r="D18" s="11" t="s">
        <v>10</v>
      </c>
      <c r="E18">
        <f>MATCH(Ingredients[[#This Row],[Rarity]],Rarities[Name], 0)</f>
        <v>4</v>
      </c>
      <c r="F18" s="12">
        <v>0</v>
      </c>
      <c r="G18" cm="1">
        <f t="array" ref="G18">MROUND(INDEX(Rarities[Cheapest], Ingredients[[#This Row],[Rarity Index]])+Ingredients[[#This Row],[Cost Grade]]*INDEX(Rarities[Cost Range],Ingredients[[#This Row],[Rarity Index]]), 5)</f>
        <v>220</v>
      </c>
      <c r="H18">
        <f>COUNTIF(Recipes[[Item 1]:[Item 3]],Ingredients[[#This Row],[Name]])</f>
        <v>2</v>
      </c>
      <c r="K18" s="26">
        <f>SUBTOTAL(103,Potions[Name])</f>
        <v>13</v>
      </c>
      <c r="L18" s="26"/>
      <c r="M18" s="26"/>
      <c r="O18">
        <f>SUBTOTAL(101,Potions[Recipes])</f>
        <v>1.5384615384615385</v>
      </c>
      <c r="R18" s="31">
        <f>SUBTOTAL(101,Potions[Cost])</f>
        <v>245.38461538461539</v>
      </c>
      <c r="S18" s="27">
        <f>SUBTOTAL(101,Potions[Max Profit])</f>
        <v>0.37261341773601903</v>
      </c>
      <c r="V18" s="4" t="s">
        <v>19</v>
      </c>
      <c r="W18" s="7">
        <f>COUNTIF(Recipes[[#Headers],[Potion]]:Recipes[[#This Row],[Potion]], Recipes[[#This Row],[Potion]])</f>
        <v>2</v>
      </c>
      <c r="X18" s="21" t="s">
        <v>50</v>
      </c>
      <c r="Y18" s="21" t="s">
        <v>48</v>
      </c>
      <c r="Z18" s="21" t="s">
        <v>49</v>
      </c>
      <c r="AA18">
        <f>COUNTA(Recipes[[#This Row],[Item 1]:[Item 3]])</f>
        <v>3</v>
      </c>
      <c r="AB18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C18">
        <f>SUM(IFERROR(INDEX(Ingredients[Cost], Recipes[[#This Row],[Index 1]]), 0), IFERROR(INDEX(Ingredients[Cost], Recipes[[#This Row],[Index 2]]), 0), IFERROR(INDEX(Ingredients[Cost], Recipes[[#This Row],[Index 3]]), 0))</f>
        <v>430</v>
      </c>
      <c r="AD18" s="25" cm="1">
        <f t="array" ref="AD18">(INDEX(Potions[Cost], Recipes[[#This Row],[Potion Index]])-Recipes[[#This Row],[Total Cost]])/Recipes[[#This Row],[Total Cost]]</f>
        <v>0.19767441860465115</v>
      </c>
      <c r="AE18">
        <f>MATCH(Recipes[[#This Row],[Potion]],Potions[Name], 0)</f>
        <v>9</v>
      </c>
      <c r="AF18">
        <f>MATCH(Recipes[[#This Row],[Item 1]],Ingredients[Name], 0)</f>
        <v>14</v>
      </c>
      <c r="AG18">
        <f>MATCH(Recipes[[#This Row],[Item 2]],Ingredients[Name], 0)</f>
        <v>13</v>
      </c>
      <c r="AH18">
        <f>MATCH(Recipes[[#This Row],[Item 3]],Ingredients[Name], 0)</f>
        <v>2</v>
      </c>
      <c r="AI18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J18" cm="1">
        <f t="array" ref="AJ18">INDEX(Potions[Rarity Index], Recipes[[#This Row],[Potion Index]])</f>
        <v>3</v>
      </c>
      <c r="AK18">
        <f>(Recipes[[#This Row],[Item 1]]&gt;Recipes[[#This Row],[Item 2]])+(Recipes[[#This Row],[Item 1]]&gt;Recipes[[#This Row],[Item 3]]) + Recipes[[#This Row],[Ingredient Count]]-2</f>
        <v>2</v>
      </c>
      <c r="AL18">
        <f>(Recipes[[#This Row],[Item 2]]&gt;Recipes[[#This Row],[Item 1]])+(Recipes[[#This Row],[Item 2]]&gt;Recipes[[#This Row],[Item 3]]) + Recipes[[#This Row],[Ingredient Count]]-2</f>
        <v>1</v>
      </c>
      <c r="AM18">
        <f>(Recipes[[#This Row],[Item 3]]&gt;Recipes[[#This Row],[Item 1]])+(Recipes[[#This Row],[Item 3]]&gt;Recipes[[#This Row],[Item 2]]) + Recipes[[#This Row],[Ingredient Count]]-2</f>
        <v>3</v>
      </c>
      <c r="AN18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Emerald Dust + Magicite + Noxious Slime</v>
      </c>
      <c r="AO18">
        <f>ROW(Recipes[[#This Row],[Row]])-ROW(Recipes[[#Headers],[Row]])</f>
        <v>14</v>
      </c>
      <c r="AP18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8" t="str" cm="1">
        <f t="array" ref="AQ18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9" spans="2:44" x14ac:dyDescent="0.25">
      <c r="B19" s="11" t="s">
        <v>61</v>
      </c>
      <c r="C19" s="11" t="s">
        <v>101</v>
      </c>
      <c r="D19" s="11" t="s">
        <v>10</v>
      </c>
      <c r="E19">
        <f>MATCH(Ingredients[[#This Row],[Rarity]],Rarities[Name], 0)</f>
        <v>4</v>
      </c>
      <c r="F19" s="12">
        <v>0.5</v>
      </c>
      <c r="G19" cm="1">
        <f t="array" ref="G19">MROUND(INDEX(Rarities[Cheapest], Ingredients[[#This Row],[Rarity Index]])+Ingredients[[#This Row],[Cost Grade]]*INDEX(Rarities[Cost Range],Ingredients[[#This Row],[Rarity Index]]), 5)</f>
        <v>310</v>
      </c>
      <c r="H19">
        <f>COUNTIF(Recipes[[Item 1]:[Item 3]],Ingredients[[#This Row],[Name]])</f>
        <v>3</v>
      </c>
      <c r="K19" s="5" t="s">
        <v>92</v>
      </c>
      <c r="L19" s="5"/>
      <c r="O19" t="s">
        <v>91</v>
      </c>
      <c r="V19" s="4" t="s">
        <v>63</v>
      </c>
      <c r="W19" s="7">
        <f>COUNTIF(Recipes[[#Headers],[Potion]]:Recipes[[#This Row],[Potion]], Recipes[[#This Row],[Potion]])</f>
        <v>1</v>
      </c>
      <c r="X19" s="21" t="s">
        <v>3</v>
      </c>
      <c r="Y19" s="21" t="s">
        <v>0</v>
      </c>
      <c r="Z19" s="21" t="s">
        <v>53</v>
      </c>
      <c r="AA19">
        <f>COUNTA(Recipes[[#This Row],[Item 1]:[Item 3]])</f>
        <v>3</v>
      </c>
      <c r="AB19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19">
        <f>SUM(IFERROR(INDEX(Ingredients[Cost], Recipes[[#This Row],[Index 1]]), 0), IFERROR(INDEX(Ingredients[Cost], Recipes[[#This Row],[Index 2]]), 0), IFERROR(INDEX(Ingredients[Cost], Recipes[[#This Row],[Index 3]]), 0))</f>
        <v>210</v>
      </c>
      <c r="AD19" s="25" cm="1">
        <f t="array" ref="AD19">(INDEX(Potions[Cost], Recipes[[#This Row],[Potion Index]])-Recipes[[#This Row],[Total Cost]])/Recipes[[#This Row],[Total Cost]]</f>
        <v>0.35714285714285715</v>
      </c>
      <c r="AE19">
        <f>MATCH(Recipes[[#This Row],[Potion]],Potions[Name], 0)</f>
        <v>10</v>
      </c>
      <c r="AF19">
        <f>MATCH(Recipes[[#This Row],[Item 1]],Ingredients[Name], 0)</f>
        <v>12</v>
      </c>
      <c r="AG19">
        <f>MATCH(Recipes[[#This Row],[Item 2]],Ingredients[Name], 0)</f>
        <v>5</v>
      </c>
      <c r="AH19">
        <f>MATCH(Recipes[[#This Row],[Item 3]],Ingredients[Name], 0)</f>
        <v>1</v>
      </c>
      <c r="AI19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J19" cm="1">
        <f t="array" ref="AJ19">INDEX(Potions[Rarity Index], Recipes[[#This Row],[Potion Index]])</f>
        <v>3</v>
      </c>
      <c r="AK19">
        <f>(Recipes[[#This Row],[Item 1]]&gt;Recipes[[#This Row],[Item 2]])+(Recipes[[#This Row],[Item 1]]&gt;Recipes[[#This Row],[Item 3]]) + Recipes[[#This Row],[Ingredient Count]]-2</f>
        <v>2</v>
      </c>
      <c r="AL19">
        <f>(Recipes[[#This Row],[Item 2]]&gt;Recipes[[#This Row],[Item 1]])+(Recipes[[#This Row],[Item 2]]&gt;Recipes[[#This Row],[Item 3]]) + Recipes[[#This Row],[Ingredient Count]]-2</f>
        <v>1</v>
      </c>
      <c r="AM19">
        <f>(Recipes[[#This Row],[Item 3]]&gt;Recipes[[#This Row],[Item 1]])+(Recipes[[#This Row],[Item 3]]&gt;Recipes[[#This Row],[Item 2]]) + Recipes[[#This Row],[Ingredient Count]]-2</f>
        <v>3</v>
      </c>
      <c r="AN19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Frog's Breath + Mandrake + Monster Blood</v>
      </c>
      <c r="AO19">
        <f>ROW(Recipes[[#This Row],[Row]])-ROW(Recipes[[#Headers],[Row]])</f>
        <v>15</v>
      </c>
      <c r="AP19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19" t="str" cm="1">
        <f t="array" ref="AQ19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0" spans="2:44" x14ac:dyDescent="0.25">
      <c r="B20" s="4" t="s">
        <v>9</v>
      </c>
      <c r="C20" s="4" t="s">
        <v>104</v>
      </c>
      <c r="D20" s="4" t="s">
        <v>35</v>
      </c>
      <c r="E20" s="4">
        <f>MATCH(Ingredients[[#This Row],[Rarity]],Rarities[Name], 0)</f>
        <v>5</v>
      </c>
      <c r="F20" s="6">
        <v>0.3</v>
      </c>
      <c r="G20" cm="1">
        <f t="array" ref="G20">MROUND(INDEX(Rarities[Cheapest], Ingredients[[#This Row],[Rarity Index]])+Ingredients[[#This Row],[Cost Grade]]*INDEX(Rarities[Cost Range],Ingredients[[#This Row],[Rarity Index]]), 5)</f>
        <v>545</v>
      </c>
      <c r="H20">
        <f>COUNTIF(Recipes[[Item 1]:[Item 3]],Ingredients[[#This Row],[Name]])</f>
        <v>0</v>
      </c>
      <c r="V20" s="4" t="s">
        <v>31</v>
      </c>
      <c r="W20" s="7">
        <f>COUNTIF(Recipes[[#Headers],[Potion]]:Recipes[[#This Row],[Potion]], Recipes[[#This Row],[Potion]])</f>
        <v>1</v>
      </c>
      <c r="X20" s="21" t="s">
        <v>3</v>
      </c>
      <c r="Y20" s="21" t="s">
        <v>4</v>
      </c>
      <c r="Z20" s="21" t="s">
        <v>5</v>
      </c>
      <c r="AA20">
        <f>COUNTA(Recipes[[#This Row],[Item 1]:[Item 3]])</f>
        <v>3</v>
      </c>
      <c r="AB20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20">
        <f>SUM(IFERROR(INDEX(Ingredients[Cost], Recipes[[#This Row],[Index 1]]), 0), IFERROR(INDEX(Ingredients[Cost], Recipes[[#This Row],[Index 2]]), 0), IFERROR(INDEX(Ingredients[Cost], Recipes[[#This Row],[Index 3]]), 0))</f>
        <v>245</v>
      </c>
      <c r="AD20" s="25" cm="1">
        <f t="array" ref="AD20">(INDEX(Potions[Cost], Recipes[[#This Row],[Potion Index]])-Recipes[[#This Row],[Total Cost]])/Recipes[[#This Row],[Total Cost]]</f>
        <v>0.34693877551020408</v>
      </c>
      <c r="AE20">
        <f>MATCH(Recipes[[#This Row],[Potion]],Potions[Name], 0)</f>
        <v>11</v>
      </c>
      <c r="AF20">
        <f>MATCH(Recipes[[#This Row],[Item 1]],Ingredients[Name], 0)</f>
        <v>12</v>
      </c>
      <c r="AG20">
        <f>MATCH(Recipes[[#This Row],[Item 2]],Ingredients[Name], 0)</f>
        <v>8</v>
      </c>
      <c r="AH20">
        <f>MATCH(Recipes[[#This Row],[Item 3]],Ingredients[Name], 0)</f>
        <v>4</v>
      </c>
      <c r="AI20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J20" cm="1">
        <f t="array" ref="AJ20">INDEX(Potions[Rarity Index], Recipes[[#This Row],[Potion Index]])</f>
        <v>3</v>
      </c>
      <c r="AK20">
        <f>(Recipes[[#This Row],[Item 1]]&gt;Recipes[[#This Row],[Item 2]])+(Recipes[[#This Row],[Item 1]]&gt;Recipes[[#This Row],[Item 3]]) + Recipes[[#This Row],[Ingredient Count]]-2</f>
        <v>2</v>
      </c>
      <c r="AL20">
        <f>(Recipes[[#This Row],[Item 2]]&gt;Recipes[[#This Row],[Item 1]])+(Recipes[[#This Row],[Item 2]]&gt;Recipes[[#This Row],[Item 3]]) + Recipes[[#This Row],[Ingredient Count]]-2</f>
        <v>1</v>
      </c>
      <c r="AM20">
        <f>(Recipes[[#This Row],[Item 3]]&gt;Recipes[[#This Row],[Item 1]])+(Recipes[[#This Row],[Item 3]]&gt;Recipes[[#This Row],[Item 2]]) + Recipes[[#This Row],[Ingredient Count]]-2</f>
        <v>3</v>
      </c>
      <c r="AN20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Mandrake + Morning Dew</v>
      </c>
      <c r="AO20">
        <f>ROW(Recipes[[#This Row],[Row]])-ROW(Recipes[[#Headers],[Row]])</f>
        <v>16</v>
      </c>
      <c r="AP20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20" t="str" cm="1">
        <f t="array" ref="AQ20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1" spans="2:44" x14ac:dyDescent="0.25">
      <c r="B21" s="4" t="s">
        <v>96</v>
      </c>
      <c r="C21" s="4" t="s">
        <v>101</v>
      </c>
      <c r="D21" s="4" t="s">
        <v>7</v>
      </c>
      <c r="E21" s="39">
        <f>MATCH(Ingredients[[#This Row],[Rarity]],Rarities[Name], 0)</f>
        <v>2</v>
      </c>
      <c r="F21" s="6">
        <v>4.05</v>
      </c>
      <c r="G21" cm="1">
        <f t="array" ref="G21">MROUND(INDEX(Rarities[Cheapest], Ingredients[[#This Row],[Rarity Index]])+Ingredients[[#This Row],[Cost Grade]]*INDEX(Rarities[Cost Range],Ingredients[[#This Row],[Rarity Index]]), 5)</f>
        <v>305</v>
      </c>
      <c r="H21" s="40">
        <f>COUNTIF(Recipes[[Item 1]:[Item 3]],Ingredients[[#This Row],[Name]])</f>
        <v>0</v>
      </c>
      <c r="V21" s="4" t="s">
        <v>17</v>
      </c>
      <c r="W21" s="7">
        <f>COUNTIF(Recipes[[#Headers],[Potion]]:Recipes[[#This Row],[Potion]], Recipes[[#This Row],[Potion]])</f>
        <v>1</v>
      </c>
      <c r="X21" s="21" t="s">
        <v>61</v>
      </c>
      <c r="Y21" s="21" t="s">
        <v>55</v>
      </c>
      <c r="Z21" s="21" t="s">
        <v>5</v>
      </c>
      <c r="AA21">
        <f>COUNTA(Recipes[[#This Row],[Item 1]:[Item 3]])</f>
        <v>3</v>
      </c>
      <c r="AB21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21">
        <f>SUM(IFERROR(INDEX(Ingredients[Cost], Recipes[[#This Row],[Index 1]]), 0), IFERROR(INDEX(Ingredients[Cost], Recipes[[#This Row],[Index 2]]), 0), IFERROR(INDEX(Ingredients[Cost], Recipes[[#This Row],[Index 3]]), 0))</f>
        <v>420</v>
      </c>
      <c r="AD21" s="25" cm="1">
        <f t="array" ref="AD21">(INDEX(Potions[Cost], Recipes[[#This Row],[Potion Index]])-Recipes[[#This Row],[Total Cost]])/Recipes[[#This Row],[Total Cost]]</f>
        <v>0.5714285714285714</v>
      </c>
      <c r="AE21">
        <f>MATCH(Recipes[[#This Row],[Potion]],Potions[Name], 0)</f>
        <v>12</v>
      </c>
      <c r="AF21">
        <f>MATCH(Recipes[[#This Row],[Item 1]],Ingredients[Name], 0)</f>
        <v>15</v>
      </c>
      <c r="AG21">
        <f>MATCH(Recipes[[#This Row],[Item 2]],Ingredients[Name], 0)</f>
        <v>9</v>
      </c>
      <c r="AH21">
        <f>MATCH(Recipes[[#This Row],[Item 3]],Ingredients[Name], 0)</f>
        <v>4</v>
      </c>
      <c r="AI21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J21" cm="1">
        <f t="array" ref="AJ21">INDEX(Potions[Rarity Index], Recipes[[#This Row],[Potion Index]])</f>
        <v>4</v>
      </c>
      <c r="AK21">
        <f>(Recipes[[#This Row],[Item 1]]&gt;Recipes[[#This Row],[Item 2]])+(Recipes[[#This Row],[Item 1]]&gt;Recipes[[#This Row],[Item 3]]) + Recipes[[#This Row],[Ingredient Count]]-2</f>
        <v>3</v>
      </c>
      <c r="AL21">
        <f>(Recipes[[#This Row],[Item 2]]&gt;Recipes[[#This Row],[Item 1]])+(Recipes[[#This Row],[Item 2]]&gt;Recipes[[#This Row],[Item 3]]) + Recipes[[#This Row],[Ingredient Count]]-2</f>
        <v>1</v>
      </c>
      <c r="AM21">
        <f>(Recipes[[#This Row],[Item 3]]&gt;Recipes[[#This Row],[Item 1]])+(Recipes[[#This Row],[Item 3]]&gt;Recipes[[#This Row],[Item 2]]) + Recipes[[#This Row],[Ingredient Count]]-2</f>
        <v>2</v>
      </c>
      <c r="AN21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Morning Dew + Petals of Light + Amber</v>
      </c>
      <c r="AO21">
        <f>ROW(Recipes[[#This Row],[Row]])-ROW(Recipes[[#Headers],[Row]])</f>
        <v>17</v>
      </c>
      <c r="AP21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21" t="str" cm="1">
        <f t="array" ref="AQ21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2" spans="2:44" x14ac:dyDescent="0.25">
      <c r="B22" s="4" t="s">
        <v>97</v>
      </c>
      <c r="C22" s="4" t="s">
        <v>102</v>
      </c>
      <c r="D22" s="4" t="s">
        <v>35</v>
      </c>
      <c r="E22" s="39">
        <f>MATCH(Ingredients[[#This Row],[Rarity]],Rarities[Name], 0)</f>
        <v>5</v>
      </c>
      <c r="F22" s="6">
        <v>5.6</v>
      </c>
      <c r="G22" cm="1">
        <f t="array" ref="G22">MROUND(INDEX(Rarities[Cheapest], Ingredients[[#This Row],[Rarity Index]])+Ingredients[[#This Row],[Cost Grade]]*INDEX(Rarities[Cost Range],Ingredients[[#This Row],[Rarity Index]]), 5)</f>
        <v>3990</v>
      </c>
      <c r="H22" s="40">
        <f>COUNTIF(Recipes[[Item 1]:[Item 3]],Ingredients[[#This Row],[Name]])</f>
        <v>0</v>
      </c>
      <c r="V22" s="4" t="s">
        <v>17</v>
      </c>
      <c r="W22" s="7">
        <f>COUNTIF(Recipes[[#Headers],[Potion]]:Recipes[[#This Row],[Potion]], Recipes[[#This Row],[Potion]])</f>
        <v>2</v>
      </c>
      <c r="X22" s="21" t="s">
        <v>61</v>
      </c>
      <c r="Y22" s="21" t="s">
        <v>48</v>
      </c>
      <c r="Z22" s="21" t="s">
        <v>49</v>
      </c>
      <c r="AA22">
        <f>COUNTA(Recipes[[#This Row],[Item 1]:[Item 3]])</f>
        <v>3</v>
      </c>
      <c r="AB22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C22">
        <f>SUM(IFERROR(INDEX(Ingredients[Cost], Recipes[[#This Row],[Index 1]]), 0), IFERROR(INDEX(Ingredients[Cost], Recipes[[#This Row],[Index 2]]), 0), IFERROR(INDEX(Ingredients[Cost], Recipes[[#This Row],[Index 3]]), 0))</f>
        <v>520</v>
      </c>
      <c r="AD22" s="25" cm="1">
        <f t="array" ref="AD22">(INDEX(Potions[Cost], Recipes[[#This Row],[Potion Index]])-Recipes[[#This Row],[Total Cost]])/Recipes[[#This Row],[Total Cost]]</f>
        <v>0.26923076923076922</v>
      </c>
      <c r="AE22">
        <f>MATCH(Recipes[[#This Row],[Potion]],Potions[Name], 0)</f>
        <v>12</v>
      </c>
      <c r="AF22">
        <f>MATCH(Recipes[[#This Row],[Item 1]],Ingredients[Name], 0)</f>
        <v>15</v>
      </c>
      <c r="AG22">
        <f>MATCH(Recipes[[#This Row],[Item 2]],Ingredients[Name], 0)</f>
        <v>13</v>
      </c>
      <c r="AH22">
        <f>MATCH(Recipes[[#This Row],[Item 3]],Ingredients[Name], 0)</f>
        <v>2</v>
      </c>
      <c r="AI22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J22" cm="1">
        <f t="array" ref="AJ22">INDEX(Potions[Rarity Index], Recipes[[#This Row],[Potion Index]])</f>
        <v>4</v>
      </c>
      <c r="AK22">
        <f>(Recipes[[#This Row],[Item 1]]&gt;Recipes[[#This Row],[Item 2]])+(Recipes[[#This Row],[Item 1]]&gt;Recipes[[#This Row],[Item 3]]) + Recipes[[#This Row],[Ingredient Count]]-2</f>
        <v>3</v>
      </c>
      <c r="AL22">
        <f>(Recipes[[#This Row],[Item 2]]&gt;Recipes[[#This Row],[Item 1]])+(Recipes[[#This Row],[Item 2]]&gt;Recipes[[#This Row],[Item 3]]) + Recipes[[#This Row],[Ingredient Count]]-2</f>
        <v>1</v>
      </c>
      <c r="AM22">
        <f>(Recipes[[#This Row],[Item 3]]&gt;Recipes[[#This Row],[Item 1]])+(Recipes[[#This Row],[Item 3]]&gt;Recipes[[#This Row],[Item 2]]) + Recipes[[#This Row],[Ingredient Count]]-2</f>
        <v>2</v>
      </c>
      <c r="AN22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Noxious Slime + Petals of Light + Emerald Dust</v>
      </c>
      <c r="AO22">
        <f>ROW(Recipes[[#This Row],[Row]])-ROW(Recipes[[#Headers],[Row]])</f>
        <v>18</v>
      </c>
      <c r="AP22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22" t="str" cm="1">
        <f t="array" ref="AQ22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3" spans="2:44" x14ac:dyDescent="0.25">
      <c r="B23" s="26">
        <f>SUBTOTAL(103,Ingredients[Name])</f>
        <v>18</v>
      </c>
      <c r="C23" s="26"/>
      <c r="D23" s="26"/>
      <c r="F23" s="30">
        <f>SUBTOTAL(101,Ingredients[Cost Grade])</f>
        <v>0.83055555555555549</v>
      </c>
      <c r="G23" s="31">
        <f>SUBTOTAL(101,Ingredients[Cost])</f>
        <v>351.11111111111109</v>
      </c>
      <c r="H23">
        <f>SUBTOTAL(101,Ingredients[Uses])</f>
        <v>2.6111111111111112</v>
      </c>
      <c r="V23" s="4" t="s">
        <v>95</v>
      </c>
      <c r="W23" s="41">
        <v>1</v>
      </c>
      <c r="X23" s="21" t="s">
        <v>61</v>
      </c>
      <c r="Y23" s="21" t="s">
        <v>55</v>
      </c>
      <c r="Z23" s="21" t="s">
        <v>51</v>
      </c>
      <c r="AA23" s="42">
        <f>COUNTA(Recipes[[#This Row],[Item 1]:[Item 3]])</f>
        <v>3</v>
      </c>
      <c r="AB23" s="40" t="s">
        <v>98</v>
      </c>
      <c r="AC23" s="40">
        <f>SUM(IFERROR(INDEX(Ingredients[Cost], Recipes[[#This Row],[Index 1]]), 0), IFERROR(INDEX(Ingredients[Cost], Recipes[[#This Row],[Index 2]]), 0), IFERROR(INDEX(Ingredients[Cost], Recipes[[#This Row],[Index 3]]), 0))</f>
        <v>500</v>
      </c>
      <c r="AD23" s="43">
        <v>0.5</v>
      </c>
      <c r="AE23" s="40">
        <f>MATCH(Recipes[[#This Row],[Potion]],Potions[Name], 0)</f>
        <v>13</v>
      </c>
      <c r="AF23" s="40">
        <f>MATCH(Recipes[[#This Row],[Item 1]],Ingredients[Name], 0)</f>
        <v>15</v>
      </c>
      <c r="AG23" s="40">
        <f>MATCH(Recipes[[#This Row],[Item 2]],Ingredients[Name], 0)</f>
        <v>9</v>
      </c>
      <c r="AH23" s="40">
        <f>MATCH(Recipes[[#This Row],[Item 3]],Ingredients[Name], 0)</f>
        <v>10</v>
      </c>
      <c r="AI23" s="40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J23" s="40" cm="1">
        <f t="array" ref="AJ23">INDEX(Potions[Rarity Index], Recipes[[#This Row],[Potion Index]])</f>
        <v>2</v>
      </c>
      <c r="AK23" s="40">
        <f>(Recipes[[#This Row],[Item 1]]&gt;Recipes[[#This Row],[Item 2]])+(Recipes[[#This Row],[Item 1]]&gt;Recipes[[#This Row],[Item 3]]) + Recipes[[#This Row],[Ingredient Count]]-2</f>
        <v>3</v>
      </c>
      <c r="AL23" s="40">
        <f>(Recipes[[#This Row],[Item 2]]&gt;Recipes[[#This Row],[Item 1]])+(Recipes[[#This Row],[Item 2]]&gt;Recipes[[#This Row],[Item 3]]) + Recipes[[#This Row],[Ingredient Count]]-2</f>
        <v>1</v>
      </c>
      <c r="AM23" s="40">
        <f>(Recipes[[#This Row],[Item 3]]&gt;Recipes[[#This Row],[Item 1]])+(Recipes[[#This Row],[Item 3]]&gt;Recipes[[#This Row],[Item 2]]) + Recipes[[#This Row],[Ingredient Count]]-2</f>
        <v>2</v>
      </c>
      <c r="AN23" s="40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Indigocap + Petals of Light + Amber</v>
      </c>
      <c r="AO23" s="40">
        <f>ROW(Recipes[[#This Row],[Row]])-ROW(Recipes[[#Headers],[Row]])</f>
        <v>19</v>
      </c>
      <c r="AP23" s="40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Q23" s="40" t="str" cm="1">
        <f t="array" ref="AQ23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4" spans="2:44" x14ac:dyDescent="0.25">
      <c r="B24" s="5" t="s">
        <v>57</v>
      </c>
      <c r="C24" s="5"/>
      <c r="F24" t="s">
        <v>91</v>
      </c>
      <c r="V24" s="26">
        <f>SUBTOTAL(103,Recipes[Potion])</f>
        <v>19</v>
      </c>
      <c r="W24" s="28"/>
      <c r="X24" s="29"/>
      <c r="Y24" s="29"/>
      <c r="Z24" s="29"/>
      <c r="AA24" s="32">
        <f>SUBTOTAL(101,Recipes[Ingredient Count])</f>
        <v>2.4736842105263159</v>
      </c>
      <c r="AC24" s="31">
        <f>SUBTOTAL(101,Recipes[Total Cost])</f>
        <v>220.78947368421052</v>
      </c>
      <c r="AD24" s="27">
        <f>SUBTOTAL(101,Recipes[Profit Margin])</f>
        <v>0.31119386158986412</v>
      </c>
    </row>
    <row r="25" spans="2:44" x14ac:dyDescent="0.25">
      <c r="V25" s="5" t="s">
        <v>93</v>
      </c>
    </row>
    <row r="26" spans="2:44" x14ac:dyDescent="0.25">
      <c r="V26" s="5"/>
    </row>
    <row r="29" spans="2:44" s="3" customFormat="1" ht="17.25" customHeight="1" x14ac:dyDescent="0.25">
      <c r="B29" s="5" t="s">
        <v>46</v>
      </c>
      <c r="C29" s="5"/>
      <c r="D29"/>
      <c r="E29"/>
      <c r="F29"/>
      <c r="G29"/>
      <c r="H29"/>
      <c r="K29"/>
      <c r="L29"/>
      <c r="M29"/>
      <c r="N29"/>
      <c r="O29"/>
      <c r="P29"/>
      <c r="Q29"/>
      <c r="R29"/>
      <c r="S29"/>
      <c r="V29"/>
      <c r="W29"/>
      <c r="X29" s="7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2:44" x14ac:dyDescent="0.25">
      <c r="B30" s="14" t="s">
        <v>90</v>
      </c>
      <c r="C30" s="14"/>
      <c r="D30">
        <f>ROWS(Ingredients[])</f>
        <v>18</v>
      </c>
    </row>
    <row r="31" spans="2:44" x14ac:dyDescent="0.25">
      <c r="B31" s="14" t="s">
        <v>58</v>
      </c>
      <c r="C31" s="14"/>
      <c r="D31">
        <f>COMBIN(ROWS(Ingredients[]), 2)</f>
        <v>153</v>
      </c>
      <c r="K31" s="3"/>
      <c r="L31" s="3"/>
      <c r="M31" s="3"/>
      <c r="N31" s="3"/>
      <c r="O31" s="3"/>
      <c r="P31" s="3"/>
      <c r="Q31" s="3"/>
      <c r="R31" s="3"/>
      <c r="S31" s="3"/>
      <c r="AK31" s="3"/>
    </row>
    <row r="32" spans="2:44" x14ac:dyDescent="0.25">
      <c r="B32" s="14" t="s">
        <v>59</v>
      </c>
      <c r="C32" s="14"/>
      <c r="D32">
        <f>COMBIN(ROWS(Ingredients[]), 3)</f>
        <v>816</v>
      </c>
      <c r="E32" s="3"/>
      <c r="F32" s="3"/>
      <c r="G32" s="3"/>
      <c r="H32" s="3"/>
    </row>
    <row r="33" spans="2:44" x14ac:dyDescent="0.25">
      <c r="B33" s="15" t="s">
        <v>60</v>
      </c>
      <c r="C33" s="15"/>
      <c r="D33" s="3">
        <f>SUM(D30:D32)</f>
        <v>987</v>
      </c>
      <c r="AR33" s="3"/>
    </row>
    <row r="35" spans="2:44" x14ac:dyDescent="0.25">
      <c r="B35" t="s">
        <v>73</v>
      </c>
      <c r="D35">
        <f>COUNTIF(Recipes[Same As?], "Unique")</f>
        <v>19</v>
      </c>
      <c r="V35" s="3"/>
      <c r="W35" s="3"/>
      <c r="X35" s="9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L35" s="3"/>
      <c r="AM35" s="3"/>
      <c r="AN35" s="3"/>
      <c r="AO35" s="3"/>
      <c r="AP35" s="3"/>
      <c r="AQ35" s="3"/>
    </row>
    <row r="36" spans="2:44" x14ac:dyDescent="0.25">
      <c r="B36" t="s">
        <v>72</v>
      </c>
      <c r="D36" s="16">
        <f>D35/D33</f>
        <v>1.9250253292806486E-2</v>
      </c>
    </row>
  </sheetData>
  <phoneticPr fontId="4" type="noConversion"/>
  <conditionalFormatting sqref="B5:E22">
    <cfRule type="expression" dxfId="50" priority="44">
      <formula>$E5=5</formula>
    </cfRule>
    <cfRule type="expression" dxfId="49" priority="45">
      <formula>$E5=4</formula>
    </cfRule>
    <cfRule type="expression" dxfId="48" priority="46">
      <formula>$E5=3</formula>
    </cfRule>
    <cfRule type="expression" dxfId="47" priority="47">
      <formula>$E5=2</formula>
    </cfRule>
    <cfRule type="expression" dxfId="46" priority="48">
      <formula>$E5=1</formula>
    </cfRule>
  </conditionalFormatting>
  <conditionalFormatting sqref="H5:H22">
    <cfRule type="cellIs" dxfId="45" priority="7" operator="lessThan">
      <formula>1</formula>
    </cfRule>
  </conditionalFormatting>
  <conditionalFormatting sqref="K5:K17 M5:N17">
    <cfRule type="expression" dxfId="44" priority="34">
      <formula>$N5=5</formula>
    </cfRule>
    <cfRule type="expression" dxfId="43" priority="35">
      <formula>$N5=4</formula>
    </cfRule>
    <cfRule type="expression" dxfId="42" priority="36">
      <formula>$N5=3</formula>
    </cfRule>
    <cfRule type="expression" dxfId="41" priority="37">
      <formula>$N5=2</formula>
    </cfRule>
    <cfRule type="expression" dxfId="40" priority="38">
      <formula>$N5=1</formula>
    </cfRule>
  </conditionalFormatting>
  <conditionalFormatting sqref="O5:O17">
    <cfRule type="cellIs" dxfId="39" priority="6" operator="lessThan">
      <formula>1</formula>
    </cfRule>
    <cfRule type="dataBar" priority="4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{037A0C64-7789-4D1F-A23D-D8BC497FBA7F}</x14:id>
        </ext>
      </extLst>
    </cfRule>
  </conditionalFormatting>
  <conditionalFormatting sqref="P5:R17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{C9FB3D57-A4BA-4975-A360-A529823EE890}</x14:id>
        </ext>
      </extLst>
    </cfRule>
  </conditionalFormatting>
  <conditionalFormatting sqref="Q5:Q17">
    <cfRule type="expression" dxfId="38" priority="13">
      <formula>Q5&gt;R5</formula>
    </cfRule>
  </conditionalFormatting>
  <conditionalFormatting sqref="S5:S17">
    <cfRule type="dataBar" priority="5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{9335A7AD-9DE9-4B27-A099-67B85F280E7B}</x14:id>
        </ext>
      </extLst>
    </cfRule>
  </conditionalFormatting>
  <conditionalFormatting sqref="V5:V23">
    <cfRule type="expression" dxfId="37" priority="18">
      <formula>INDEX(PotionRarity, AE5)="Legendary"</formula>
    </cfRule>
    <cfRule type="expression" dxfId="36" priority="19">
      <formula>INDEX(PotionRarity, AE5)="Epic"</formula>
    </cfRule>
    <cfRule type="expression" dxfId="35" priority="20">
      <formula>INDEX(PotionRarity, AE5)="Rare"</formula>
    </cfRule>
    <cfRule type="expression" dxfId="34" priority="21">
      <formula>INDEX(PotionRarity, AE5)="Uncommon"</formula>
    </cfRule>
    <cfRule type="expression" dxfId="33" priority="22">
      <formula>INDEX(PotionRarity, AE5)="Common"</formula>
    </cfRule>
  </conditionalFormatting>
  <conditionalFormatting sqref="X5:Z5">
    <cfRule type="duplicateValues" dxfId="32" priority="11"/>
  </conditionalFormatting>
  <conditionalFormatting sqref="X5:Z23">
    <cfRule type="expression" dxfId="31" priority="23">
      <formula>INDEX(IngredientRarity,AF5)="Legendary"</formula>
    </cfRule>
    <cfRule type="expression" dxfId="30" priority="24">
      <formula>INDEX(IngredientRarity,AF5)="Epic"</formula>
    </cfRule>
    <cfRule type="expression" dxfId="29" priority="25">
      <formula>INDEX(IngredientRarity,AF5)="Rare"</formula>
    </cfRule>
    <cfRule type="expression" dxfId="28" priority="26">
      <formula>INDEX(IngredientRarity,AF5)="Uncommon"</formula>
    </cfRule>
    <cfRule type="expression" dxfId="27" priority="27">
      <formula>INDEX(IngredientRarity,AF5)="Common"</formula>
    </cfRule>
  </conditionalFormatting>
  <conditionalFormatting sqref="Y5:Y23">
    <cfRule type="expression" dxfId="26" priority="10">
      <formula>Y5=X5</formula>
    </cfRule>
  </conditionalFormatting>
  <conditionalFormatting sqref="Z5:Z23">
    <cfRule type="expression" dxfId="25" priority="9">
      <formula>AND(Z5&lt;&gt;"", OR(Z5=Y5, Z5=X5))</formula>
    </cfRule>
  </conditionalFormatting>
  <conditionalFormatting sqref="AA5:AA23">
    <cfRule type="cellIs" dxfId="24" priority="230" operator="lessThan">
      <formula>2</formula>
    </cfRule>
    <cfRule type="dataBar" priority="2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{265428C5-BF75-4A21-92CC-EE4C315D5DC5}</x14:id>
        </ext>
      </extLst>
    </cfRule>
  </conditionalFormatting>
  <conditionalFormatting sqref="AB5:AB23">
    <cfRule type="cellIs" dxfId="23" priority="14" operator="equal">
      <formula>"Excessive"</formula>
    </cfRule>
    <cfRule type="cellIs" dxfId="22" priority="15" operator="equal">
      <formula>"Under"</formula>
    </cfRule>
    <cfRule type="cellIs" dxfId="21" priority="16" operator="equal">
      <formula>"Elevated"</formula>
    </cfRule>
    <cfRule type="cellIs" dxfId="20" priority="17" operator="equal">
      <formula>"Equal"</formula>
    </cfRule>
  </conditionalFormatting>
  <conditionalFormatting sqref="AC5:AC23">
    <cfRule type="dataBar" priority="2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{42FD5F13-D6DB-4218-B008-1A4C87F76A54}</x14:id>
        </ext>
      </extLst>
    </cfRule>
  </conditionalFormatting>
  <conditionalFormatting sqref="AD5:AD23">
    <cfRule type="dataBar" priority="23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{8DAE35F3-6BD8-413A-AA1F-F4A308241B35}</x14:id>
        </ext>
      </extLst>
    </cfRule>
  </conditionalFormatting>
  <conditionalFormatting sqref="AQ5:AQ23">
    <cfRule type="expression" dxfId="19" priority="58">
      <formula>$AP5&gt;0</formula>
    </cfRule>
    <cfRule type="cellIs" dxfId="18" priority="59" operator="equal">
      <formula>"Blank"</formula>
    </cfRule>
    <cfRule type="cellIs" dxfId="17" priority="60" operator="equal">
      <formula>"Unique"</formula>
    </cfRule>
  </conditionalFormatting>
  <conditionalFormatting sqref="J5:J10 G23 G5:H22">
    <cfRule type="dataBar" priority="2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{768DB3E6-322B-4675-A71C-0CC33BAE55BC}</x14:id>
        </ext>
      </extLst>
    </cfRule>
  </conditionalFormatting>
  <conditionalFormatting sqref="F5:F22">
    <cfRule type="dataBar" priority="2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{A6C1AAA3-E18E-435A-9D95-35F8312423EC}</x14:id>
        </ext>
      </extLst>
    </cfRule>
  </conditionalFormatting>
  <conditionalFormatting sqref="H5:H22 J5:J10">
    <cfRule type="dataBar" priority="24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{FBD79B31-C930-48AB-B939-9036E8D214D1}</x14:id>
        </ext>
      </extLst>
    </cfRule>
  </conditionalFormatting>
  <conditionalFormatting sqref="L5:L17">
    <cfRule type="expression" dxfId="9" priority="1">
      <formula>$E5=5</formula>
    </cfRule>
    <cfRule type="expression" dxfId="8" priority="2">
      <formula>$E5=4</formula>
    </cfRule>
    <cfRule type="expression" dxfId="7" priority="3">
      <formula>$E5=3</formula>
    </cfRule>
    <cfRule type="expression" dxfId="6" priority="4">
      <formula>$E5=2</formula>
    </cfRule>
    <cfRule type="expression" dxfId="5" priority="5">
      <formula>$E5=1</formula>
    </cfRule>
  </conditionalFormatting>
  <dataValidations count="3">
    <dataValidation type="list" allowBlank="1" showInputMessage="1" showErrorMessage="1" sqref="D5:D22 M5:M17" xr:uid="{9EEA8C00-4660-4074-A166-323023D3F1FE}">
      <formula1>INDIRECT("Rarities[Name]")</formula1>
    </dataValidation>
    <dataValidation type="list" allowBlank="1" showInputMessage="1" showErrorMessage="1" sqref="X5:Z23" xr:uid="{EEBB70AF-8542-4290-ACC3-4CDDF978BA3B}">
      <formula1>INDIRECT("Ingredients[Name]")</formula1>
    </dataValidation>
    <dataValidation type="list" allowBlank="1" showInputMessage="1" showErrorMessage="1" sqref="V5:V23" xr:uid="{41660AF6-554C-4002-AF79-2AE11B650C78}">
      <formula1>INDIRECT("Potions[Name]")</formula1>
    </dataValidation>
  </dataValidations>
  <pageMargins left="0.7" right="0.7" top="0.75" bottom="0.75" header="0.3" footer="0.3"/>
  <pageSetup orientation="portrait" horizontalDpi="360" verticalDpi="360" r:id="rId1"/>
  <drawing r:id="rId2"/>
  <legacyDrawing r:id="rId3"/>
  <tableParts count="3"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7A0C64-7789-4D1F-A23D-D8BC497FBA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O5:O17</xm:sqref>
        </x14:conditionalFormatting>
        <x14:conditionalFormatting xmlns:xm="http://schemas.microsoft.com/office/excel/2006/main">
          <x14:cfRule type="dataBar" id="{C9FB3D57-A4BA-4975-A360-A529823EE8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P5:R17</xm:sqref>
        </x14:conditionalFormatting>
        <x14:conditionalFormatting xmlns:xm="http://schemas.microsoft.com/office/excel/2006/main">
          <x14:cfRule type="dataBar" id="{9335A7AD-9DE9-4B27-A099-67B85F280E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S5:S17</xm:sqref>
        </x14:conditionalFormatting>
        <x14:conditionalFormatting xmlns:xm="http://schemas.microsoft.com/office/excel/2006/main">
          <x14:cfRule type="dataBar" id="{265428C5-BF75-4A21-92CC-EE4C315D5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AA5:AA23</xm:sqref>
        </x14:conditionalFormatting>
        <x14:conditionalFormatting xmlns:xm="http://schemas.microsoft.com/office/excel/2006/main">
          <x14:cfRule type="dataBar" id="{42FD5F13-D6DB-4218-B008-1A4C87F76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AC5:AC23</xm:sqref>
        </x14:conditionalFormatting>
        <x14:conditionalFormatting xmlns:xm="http://schemas.microsoft.com/office/excel/2006/main">
          <x14:cfRule type="dataBar" id="{8DAE35F3-6BD8-413A-AA1F-F4A308241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AD5:AD23</xm:sqref>
        </x14:conditionalFormatting>
        <x14:conditionalFormatting xmlns:xm="http://schemas.microsoft.com/office/excel/2006/main">
          <x14:cfRule type="dataBar" id="{768DB3E6-322B-4675-A71C-0CC33BAE55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J5:J10 G23 G5:H22</xm:sqref>
        </x14:conditionalFormatting>
        <x14:conditionalFormatting xmlns:xm="http://schemas.microsoft.com/office/excel/2006/main">
          <x14:cfRule type="dataBar" id="{A6C1AAA3-E18E-435A-9D95-35F8312423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F5:F22</xm:sqref>
        </x14:conditionalFormatting>
        <x14:conditionalFormatting xmlns:xm="http://schemas.microsoft.com/office/excel/2006/main">
          <x14:cfRule type="dataBar" id="{FBD79B31-C930-48AB-B939-9036E8D21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H5:H22 J5:J10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B542-DBA2-49EA-8647-F48D51F4F7FC}">
  <dimension ref="B3:J18"/>
  <sheetViews>
    <sheetView workbookViewId="0">
      <selection activeCell="L13" sqref="L13"/>
    </sheetView>
  </sheetViews>
  <sheetFormatPr defaultRowHeight="15" outlineLevelCol="1" x14ac:dyDescent="0.25"/>
  <cols>
    <col min="2" max="2" width="12.5703125" customWidth="1"/>
    <col min="3" max="4" width="14" customWidth="1"/>
    <col min="5" max="5" width="14" hidden="1" customWidth="1" outlineLevel="1"/>
    <col min="6" max="6" width="14" customWidth="1" collapsed="1"/>
    <col min="7" max="7" width="15.42578125" customWidth="1"/>
    <col min="8" max="8" width="15" customWidth="1"/>
    <col min="9" max="9" width="15.42578125" customWidth="1"/>
    <col min="11" max="11" width="13" customWidth="1"/>
  </cols>
  <sheetData>
    <row r="3" spans="2:10" x14ac:dyDescent="0.25">
      <c r="B3" s="5" t="s">
        <v>33</v>
      </c>
      <c r="C3" t="s">
        <v>39</v>
      </c>
    </row>
    <row r="4" spans="2:10" s="1" customFormat="1" ht="30" x14ac:dyDescent="0.25">
      <c r="B4" s="2" t="s">
        <v>20</v>
      </c>
      <c r="C4" s="10" t="s">
        <v>13</v>
      </c>
      <c r="D4" s="10" t="s">
        <v>14</v>
      </c>
      <c r="E4" s="10" t="s">
        <v>37</v>
      </c>
      <c r="F4" s="2" t="s">
        <v>34</v>
      </c>
      <c r="G4" s="2" t="s">
        <v>15</v>
      </c>
      <c r="H4" s="2" t="s">
        <v>21</v>
      </c>
      <c r="I4" s="2" t="s">
        <v>84</v>
      </c>
      <c r="J4" s="2" t="s">
        <v>85</v>
      </c>
    </row>
    <row r="5" spans="2:10" x14ac:dyDescent="0.25">
      <c r="B5" t="s">
        <v>6</v>
      </c>
      <c r="C5" s="4">
        <v>30</v>
      </c>
      <c r="D5" s="4">
        <v>50</v>
      </c>
      <c r="E5">
        <f>Rarities[[#This Row],[Most Expensive]]-Rarities[[#This Row],[Cheapest]]</f>
        <v>20</v>
      </c>
      <c r="F5" s="4">
        <v>1.2</v>
      </c>
      <c r="G5" s="13">
        <f>COUNTIF(Ingredients[Rarity], Rarities[[#This Row],[Name]])</f>
        <v>7</v>
      </c>
      <c r="H5" s="13">
        <f>COUNTIF(Potions[Rarity], Rarities[[#This Row],[Name]])</f>
        <v>4</v>
      </c>
      <c r="I5" s="35">
        <f>Rarities[[#This Row],[Ingredients]]/Rarities[[#Totals],[Ingredients]]</f>
        <v>0.3888888888888889</v>
      </c>
      <c r="J5" s="35">
        <f>Rarities[[#This Row],[Potions]]/Rarities[[#Totals],[Potions]]</f>
        <v>0.30769230769230771</v>
      </c>
    </row>
    <row r="6" spans="2:10" x14ac:dyDescent="0.25">
      <c r="B6" t="s">
        <v>7</v>
      </c>
      <c r="C6" s="4">
        <v>60</v>
      </c>
      <c r="D6" s="4">
        <v>120</v>
      </c>
      <c r="E6">
        <f>Rarities[[#This Row],[Most Expensive]]-Rarities[[#This Row],[Cheapest]]</f>
        <v>60</v>
      </c>
      <c r="F6" s="4">
        <v>1.3</v>
      </c>
      <c r="G6" s="4">
        <f>COUNTIF(Ingredients[Rarity], Rarities[[#This Row],[Name]])</f>
        <v>4</v>
      </c>
      <c r="H6" s="4">
        <f>COUNTIF(Potions[Rarity], Rarities[[#This Row],[Name]])</f>
        <v>5</v>
      </c>
      <c r="I6" s="36">
        <f>Rarities[[#This Row],[Ingredients]]/Rarities[[#Totals],[Ingredients]]</f>
        <v>0.22222222222222221</v>
      </c>
      <c r="J6" s="36">
        <f>Rarities[[#This Row],[Potions]]/Rarities[[#Totals],[Potions]]</f>
        <v>0.38461538461538464</v>
      </c>
    </row>
    <row r="7" spans="2:10" x14ac:dyDescent="0.25">
      <c r="B7" t="s">
        <v>8</v>
      </c>
      <c r="C7" s="4">
        <v>110</v>
      </c>
      <c r="D7" s="4">
        <v>200</v>
      </c>
      <c r="E7">
        <f>Rarities[[#This Row],[Most Expensive]]-Rarities[[#This Row],[Cheapest]]</f>
        <v>90</v>
      </c>
      <c r="F7" s="4">
        <v>1.35</v>
      </c>
      <c r="G7" s="4">
        <f>COUNTIF(Ingredients[Rarity], Rarities[[#This Row],[Name]])</f>
        <v>3</v>
      </c>
      <c r="H7" s="4">
        <f>COUNTIF(Potions[Rarity], Rarities[[#This Row],[Name]])</f>
        <v>3</v>
      </c>
      <c r="I7" s="36">
        <f>Rarities[[#This Row],[Ingredients]]/Rarities[[#Totals],[Ingredients]]</f>
        <v>0.16666666666666666</v>
      </c>
      <c r="J7" s="36">
        <f>Rarities[[#This Row],[Potions]]/Rarities[[#Totals],[Potions]]</f>
        <v>0.23076923076923078</v>
      </c>
    </row>
    <row r="8" spans="2:10" x14ac:dyDescent="0.25">
      <c r="B8" t="s">
        <v>10</v>
      </c>
      <c r="C8" s="4">
        <v>220</v>
      </c>
      <c r="D8" s="4">
        <v>400</v>
      </c>
      <c r="E8">
        <f>Rarities[[#This Row],[Most Expensive]]-Rarities[[#This Row],[Cheapest]]</f>
        <v>180</v>
      </c>
      <c r="F8" s="4">
        <v>1.4</v>
      </c>
      <c r="G8" s="4">
        <f>COUNTIF(Ingredients[Rarity], Rarities[[#This Row],[Name]])</f>
        <v>2</v>
      </c>
      <c r="H8" s="4">
        <f>COUNTIF(Potions[Rarity], Rarities[[#This Row],[Name]])</f>
        <v>1</v>
      </c>
      <c r="I8" s="36">
        <f>Rarities[[#This Row],[Ingredients]]/Rarities[[#Totals],[Ingredients]]</f>
        <v>0.1111111111111111</v>
      </c>
      <c r="J8" s="36">
        <f>Rarities[[#This Row],[Potions]]/Rarities[[#Totals],[Potions]]</f>
        <v>7.6923076923076927E-2</v>
      </c>
    </row>
    <row r="9" spans="2:10" x14ac:dyDescent="0.25">
      <c r="B9" t="s">
        <v>35</v>
      </c>
      <c r="C9" s="4">
        <v>350</v>
      </c>
      <c r="D9" s="4">
        <v>1000</v>
      </c>
      <c r="E9">
        <f>Rarities[[#This Row],[Most Expensive]]-Rarities[[#This Row],[Cheapest]]</f>
        <v>650</v>
      </c>
      <c r="F9" s="4">
        <v>1.4</v>
      </c>
      <c r="G9" s="11">
        <f>COUNTIF(Ingredients[Rarity], Rarities[[#This Row],[Name]])</f>
        <v>2</v>
      </c>
      <c r="H9" s="11">
        <f>COUNTIF(Potions[Rarity], Rarities[[#This Row],[Name]])</f>
        <v>0</v>
      </c>
      <c r="I9" s="37">
        <f>Rarities[[#This Row],[Ingredients]]/Rarities[[#Totals],[Ingredients]]</f>
        <v>0.1111111111111111</v>
      </c>
      <c r="J9" s="37">
        <f>Rarities[[#This Row],[Potions]]/Rarities[[#Totals],[Potions]]</f>
        <v>0</v>
      </c>
    </row>
    <row r="10" spans="2:10" x14ac:dyDescent="0.25">
      <c r="B10" t="s">
        <v>86</v>
      </c>
      <c r="G10">
        <f>SUBTOTAL(109,Rarities[Ingredients])</f>
        <v>18</v>
      </c>
      <c r="H10">
        <f>SUBTOTAL(109,Rarities[Potions])</f>
        <v>13</v>
      </c>
    </row>
    <row r="15" spans="2:10" x14ac:dyDescent="0.25">
      <c r="B15" s="5" t="s">
        <v>12</v>
      </c>
    </row>
    <row r="16" spans="2:10" x14ac:dyDescent="0.25">
      <c r="B16" s="38" t="s">
        <v>87</v>
      </c>
      <c r="C16" s="38">
        <f>COUNTIF(Recipes[Ingredient Count], 1)</f>
        <v>0</v>
      </c>
    </row>
    <row r="17" spans="2:3" x14ac:dyDescent="0.25">
      <c r="B17" s="38" t="s">
        <v>74</v>
      </c>
      <c r="C17" s="38">
        <f>COUNTIF(Recipes[Ingredient Count], 2)</f>
        <v>10</v>
      </c>
    </row>
    <row r="18" spans="2:3" x14ac:dyDescent="0.25">
      <c r="B18" s="38" t="s">
        <v>75</v>
      </c>
      <c r="C18" s="38">
        <f>COUNTIF(Recipes[Ingredient Count], 3)</f>
        <v>9</v>
      </c>
    </row>
  </sheetData>
  <conditionalFormatting sqref="B5:B9">
    <cfRule type="cellIs" dxfId="16" priority="4" operator="equal">
      <formula>"Legendary"</formula>
    </cfRule>
    <cfRule type="cellIs" dxfId="15" priority="5" operator="equal">
      <formula>"Epic"</formula>
    </cfRule>
    <cfRule type="cellIs" dxfId="14" priority="6" operator="equal">
      <formula>"Rare"</formula>
    </cfRule>
    <cfRule type="cellIs" dxfId="13" priority="7" operator="equal">
      <formula>"Uncommon"</formula>
    </cfRule>
    <cfRule type="cellIs" dxfId="12" priority="8" operator="equal">
      <formula>"Common"</formula>
    </cfRule>
  </conditionalFormatting>
  <conditionalFormatting sqref="C5:D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{6573F5E1-7CAF-4663-A7FD-2D46E1AD63B3}</x14:id>
        </ext>
      </extLst>
    </cfRule>
  </conditionalFormatting>
  <conditionalFormatting sqref="D5:D9">
    <cfRule type="expression" dxfId="11" priority="9">
      <formula>D5&lt;C5</formula>
    </cfRule>
  </conditionalFormatting>
  <conditionalFormatting sqref="F5:F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{A4D8915F-1388-47C4-9B51-1DFED2FFD05E}</x14:id>
        </ext>
      </extLst>
    </cfRule>
  </conditionalFormatting>
  <conditionalFormatting sqref="G5:G9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{63036B71-1C3F-4D0E-B912-0E160C9143F4}</x14:id>
        </ext>
      </extLst>
    </cfRule>
  </conditionalFormatting>
  <conditionalFormatting sqref="H5:H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{76FC9A67-AE4A-41B1-8F28-790E35AD554E}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73F5E1-7CAF-4663-A7FD-2D46E1AD63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C5:D9</xm:sqref>
        </x14:conditionalFormatting>
        <x14:conditionalFormatting xmlns:xm="http://schemas.microsoft.com/office/excel/2006/main">
          <x14:cfRule type="dataBar" id="{A4D8915F-1388-47C4-9B51-1DFED2FFD0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F5:F9</xm:sqref>
        </x14:conditionalFormatting>
        <x14:conditionalFormatting xmlns:xm="http://schemas.microsoft.com/office/excel/2006/main">
          <x14:cfRule type="dataBar" id="{63036B71-1C3F-4D0E-B912-0E160C9143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G5:G9</xm:sqref>
        </x14:conditionalFormatting>
        <x14:conditionalFormatting xmlns:xm="http://schemas.microsoft.com/office/excel/2006/main">
          <x14:cfRule type="dataBar" id="{76FC9A67-AE4A-41B1-8F28-790E35AD55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Potion Crafting</vt:lpstr>
      <vt:lpstr>Categories</vt:lpstr>
      <vt:lpstr>IngredientRarity</vt:lpstr>
      <vt:lpstr>PotionRarity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Potion Crafting Tuning Dashboard</dc:title>
  <dc:creator>Douglas Gregory</dc:creator>
  <cp:lastModifiedBy>Christian Salame</cp:lastModifiedBy>
  <dcterms:created xsi:type="dcterms:W3CDTF">2023-04-02T16:26:43Z</dcterms:created>
  <dcterms:modified xsi:type="dcterms:W3CDTF">2025-01-08T20:33:49Z</dcterms:modified>
</cp:coreProperties>
</file>