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tables/table8.xml" ContentType="application/vnd.openxmlformats-officedocument.spreadsheetml.table+xml"/>
  <Override PartName="/xl/comments3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ma\Dropbox\PLOS_MAP Update\Code and Results\code\"/>
    </mc:Choice>
  </mc:AlternateContent>
  <xr:revisionPtr revIDLastSave="0" documentId="8_{D88741B0-20C2-438B-8E68-AC825C7D370A}" xr6:coauthVersionLast="47" xr6:coauthVersionMax="47" xr10:uidLastSave="{00000000-0000-0000-0000-000000000000}"/>
  <bookViews>
    <workbookView xWindow="-120" yWindow="-120" windowWidth="38640" windowHeight="21120" activeTab="6" xr2:uid="{2BDF8E73-2199-4A10-8E98-2E699FC48605}"/>
  </bookViews>
  <sheets>
    <sheet name="interactive" sheetId="1" r:id="rId1"/>
    <sheet name="sources_notes" sheetId="2" r:id="rId2"/>
    <sheet name="global_pars" sheetId="3" r:id="rId3"/>
    <sheet name="LMICs" sheetId="4" r:id="rId4"/>
    <sheet name="Regions" sheetId="5" r:id="rId5"/>
    <sheet name="sens_costs_lmics" sheetId="6" r:id="rId6"/>
    <sheet name="sens_cost_regions" sheetId="7" r:id="rId7"/>
    <sheet name="data_raw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13" i="4" l="1"/>
  <c r="AA413" i="4"/>
  <c r="Z413" i="4"/>
  <c r="Y413" i="4"/>
  <c r="X413" i="4"/>
  <c r="W413" i="4"/>
  <c r="V413" i="4"/>
  <c r="M413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M412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M411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M410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M409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M408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M407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M406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M405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M404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M403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M402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M401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M400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M399" i="4"/>
  <c r="AB398" i="4"/>
  <c r="AA398" i="4"/>
  <c r="Z398" i="4"/>
  <c r="Y398" i="4"/>
  <c r="X398" i="4"/>
  <c r="W398" i="4"/>
  <c r="V398" i="4"/>
  <c r="M398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M397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M396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M395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M394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M393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M392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M391" i="4"/>
  <c r="M390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M389" i="4"/>
  <c r="AB388" i="4"/>
  <c r="AA388" i="4"/>
  <c r="Z388" i="4"/>
  <c r="Y388" i="4"/>
  <c r="X388" i="4"/>
  <c r="W388" i="4"/>
  <c r="V388" i="4"/>
  <c r="M388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M387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M386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M385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M384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M383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M382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M381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M380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M379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M378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M377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M376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M375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M374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M373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M371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M370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M369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M368" i="4"/>
  <c r="AB367" i="4"/>
  <c r="AA367" i="4"/>
  <c r="Z367" i="4"/>
  <c r="Y367" i="4"/>
  <c r="X367" i="4"/>
  <c r="W367" i="4"/>
  <c r="V367" i="4"/>
  <c r="M367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M366" i="4"/>
  <c r="U365" i="4"/>
  <c r="T365" i="4"/>
  <c r="S365" i="4"/>
  <c r="R365" i="4"/>
  <c r="Q365" i="4"/>
  <c r="M365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M364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M363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M362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M361" i="4"/>
  <c r="AB360" i="4"/>
  <c r="AA360" i="4"/>
  <c r="Z360" i="4"/>
  <c r="Y360" i="4"/>
  <c r="X360" i="4"/>
  <c r="W360" i="4"/>
  <c r="V360" i="4"/>
  <c r="M360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M359" i="4"/>
  <c r="AB358" i="4"/>
  <c r="AA358" i="4"/>
  <c r="Z358" i="4"/>
  <c r="Y358" i="4"/>
  <c r="X358" i="4"/>
  <c r="W358" i="4"/>
  <c r="V358" i="4"/>
  <c r="M358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M357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M356" i="4"/>
  <c r="AB355" i="4"/>
  <c r="AA355" i="4"/>
  <c r="Z355" i="4"/>
  <c r="Y355" i="4"/>
  <c r="X355" i="4"/>
  <c r="W355" i="4"/>
  <c r="V355" i="4"/>
  <c r="M355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M354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M353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M352" i="4"/>
  <c r="AB351" i="4"/>
  <c r="AA351" i="4"/>
  <c r="Z351" i="4"/>
  <c r="Y351" i="4"/>
  <c r="X351" i="4"/>
  <c r="W351" i="4"/>
  <c r="V351" i="4"/>
  <c r="M351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M350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M349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M348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M347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M346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M345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M344" i="4"/>
  <c r="AB343" i="4"/>
  <c r="AA343" i="4"/>
  <c r="Z343" i="4"/>
  <c r="Y343" i="4"/>
  <c r="X343" i="4"/>
  <c r="W343" i="4"/>
  <c r="V343" i="4"/>
  <c r="M343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M342" i="4"/>
  <c r="M341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M340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M339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M338" i="4"/>
  <c r="AB337" i="4"/>
  <c r="AA337" i="4"/>
  <c r="Z337" i="4"/>
  <c r="Y337" i="4"/>
  <c r="X337" i="4"/>
  <c r="W337" i="4"/>
  <c r="V337" i="4"/>
  <c r="M337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M336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M335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M334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M333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M332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M331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M330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M329" i="4"/>
  <c r="AB328" i="4"/>
  <c r="AA328" i="4"/>
  <c r="Z328" i="4"/>
  <c r="Y328" i="4"/>
  <c r="X328" i="4"/>
  <c r="W328" i="4"/>
  <c r="V328" i="4"/>
  <c r="M328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M327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M326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M325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M324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M323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M322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M321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M320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M319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M318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M317" i="4"/>
  <c r="AB316" i="4"/>
  <c r="AA316" i="4"/>
  <c r="Z316" i="4"/>
  <c r="Y316" i="4"/>
  <c r="X316" i="4"/>
  <c r="W316" i="4"/>
  <c r="V316" i="4"/>
  <c r="M316" i="4"/>
  <c r="AB315" i="4"/>
  <c r="AA315" i="4"/>
  <c r="Z315" i="4"/>
  <c r="Y315" i="4"/>
  <c r="X315" i="4"/>
  <c r="W315" i="4"/>
  <c r="V315" i="4"/>
  <c r="M315" i="4"/>
  <c r="AB314" i="4"/>
  <c r="AA314" i="4"/>
  <c r="Z314" i="4"/>
  <c r="Y314" i="4"/>
  <c r="X314" i="4"/>
  <c r="W314" i="4"/>
  <c r="V314" i="4"/>
  <c r="M314" i="4"/>
  <c r="AB313" i="4"/>
  <c r="AA313" i="4"/>
  <c r="Z313" i="4"/>
  <c r="Y313" i="4"/>
  <c r="X313" i="4"/>
  <c r="W313" i="4"/>
  <c r="V313" i="4"/>
  <c r="M313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M312" i="4"/>
  <c r="AB311" i="4"/>
  <c r="AA311" i="4"/>
  <c r="Z311" i="4"/>
  <c r="Y311" i="4"/>
  <c r="X311" i="4"/>
  <c r="W311" i="4"/>
  <c r="V311" i="4"/>
  <c r="M311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M310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M309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M308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M307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M306" i="4"/>
  <c r="AB305" i="4"/>
  <c r="AA305" i="4"/>
  <c r="Z305" i="4"/>
  <c r="Y305" i="4"/>
  <c r="X305" i="4"/>
  <c r="W305" i="4"/>
  <c r="V305" i="4"/>
  <c r="M305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M304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M303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M302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M301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M300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M299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M298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M297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M296" i="4"/>
  <c r="AB295" i="4"/>
  <c r="AA295" i="4"/>
  <c r="Z295" i="4"/>
  <c r="Y295" i="4"/>
  <c r="X295" i="4"/>
  <c r="W295" i="4"/>
  <c r="V295" i="4"/>
  <c r="M295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M294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M293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M292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M291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M290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M289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M288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M287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M286" i="4"/>
  <c r="AB285" i="4"/>
  <c r="AA285" i="4"/>
  <c r="Z285" i="4"/>
  <c r="Y285" i="4"/>
  <c r="X285" i="4"/>
  <c r="W285" i="4"/>
  <c r="V285" i="4"/>
  <c r="M285" i="4"/>
  <c r="AB284" i="4"/>
  <c r="AA284" i="4"/>
  <c r="Z284" i="4"/>
  <c r="Y284" i="4"/>
  <c r="X284" i="4"/>
  <c r="W284" i="4"/>
  <c r="V284" i="4"/>
  <c r="M284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M283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M282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M281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M280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M279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M278" i="4"/>
  <c r="AB275" i="4"/>
  <c r="AA275" i="4"/>
  <c r="Z275" i="4"/>
  <c r="Y275" i="4"/>
  <c r="X275" i="4"/>
  <c r="W275" i="4"/>
  <c r="V275" i="4"/>
  <c r="P275" i="4"/>
  <c r="O275" i="4"/>
  <c r="N275" i="4"/>
  <c r="M275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M266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AB260" i="4"/>
  <c r="AA260" i="4"/>
  <c r="Z260" i="4"/>
  <c r="Y260" i="4"/>
  <c r="X260" i="4"/>
  <c r="W260" i="4"/>
  <c r="V260" i="4"/>
  <c r="P260" i="4"/>
  <c r="O260" i="4"/>
  <c r="N260" i="4"/>
  <c r="M260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P252" i="4"/>
  <c r="O252" i="4"/>
  <c r="N252" i="4"/>
  <c r="M252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AB250" i="4"/>
  <c r="AA250" i="4"/>
  <c r="Z250" i="4"/>
  <c r="Y250" i="4"/>
  <c r="X250" i="4"/>
  <c r="W250" i="4"/>
  <c r="V250" i="4"/>
  <c r="P250" i="4"/>
  <c r="O250" i="4"/>
  <c r="N250" i="4"/>
  <c r="M250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M245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P234" i="4"/>
  <c r="O234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AB229" i="4"/>
  <c r="AA229" i="4"/>
  <c r="Z229" i="4"/>
  <c r="Y229" i="4"/>
  <c r="X229" i="4"/>
  <c r="W229" i="4"/>
  <c r="V229" i="4"/>
  <c r="P229" i="4"/>
  <c r="O229" i="4"/>
  <c r="N229" i="4"/>
  <c r="M229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U227" i="4"/>
  <c r="T227" i="4"/>
  <c r="S227" i="4"/>
  <c r="R227" i="4"/>
  <c r="Q227" i="4"/>
  <c r="P227" i="4"/>
  <c r="O227" i="4"/>
  <c r="M227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AB222" i="4"/>
  <c r="AA222" i="4"/>
  <c r="Z222" i="4"/>
  <c r="Y222" i="4"/>
  <c r="X222" i="4"/>
  <c r="W222" i="4"/>
  <c r="V222" i="4"/>
  <c r="P222" i="4"/>
  <c r="O222" i="4"/>
  <c r="N222" i="4"/>
  <c r="M222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AB220" i="4"/>
  <c r="AA220" i="4"/>
  <c r="Z220" i="4"/>
  <c r="Y220" i="4"/>
  <c r="X220" i="4"/>
  <c r="W220" i="4"/>
  <c r="V220" i="4"/>
  <c r="P220" i="4"/>
  <c r="O220" i="4"/>
  <c r="N220" i="4"/>
  <c r="M220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AB217" i="4"/>
  <c r="AA217" i="4"/>
  <c r="Z217" i="4"/>
  <c r="Y217" i="4"/>
  <c r="X217" i="4"/>
  <c r="W217" i="4"/>
  <c r="V217" i="4"/>
  <c r="P217" i="4"/>
  <c r="O217" i="4"/>
  <c r="N217" i="4"/>
  <c r="M217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M215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AB213" i="4"/>
  <c r="AA213" i="4"/>
  <c r="Z213" i="4"/>
  <c r="Y213" i="4"/>
  <c r="X213" i="4"/>
  <c r="W213" i="4"/>
  <c r="V213" i="4"/>
  <c r="P213" i="4"/>
  <c r="O213" i="4"/>
  <c r="N213" i="4"/>
  <c r="M213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AB205" i="4"/>
  <c r="AA205" i="4"/>
  <c r="Z205" i="4"/>
  <c r="Y205" i="4"/>
  <c r="X205" i="4"/>
  <c r="W205" i="4"/>
  <c r="V205" i="4"/>
  <c r="P205" i="4"/>
  <c r="O205" i="4"/>
  <c r="N205" i="4"/>
  <c r="M205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P203" i="4"/>
  <c r="O203" i="4"/>
  <c r="N203" i="4"/>
  <c r="M203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AB199" i="4"/>
  <c r="AA199" i="4"/>
  <c r="Z199" i="4"/>
  <c r="Y199" i="4"/>
  <c r="X199" i="4"/>
  <c r="W199" i="4"/>
  <c r="V199" i="4"/>
  <c r="P199" i="4"/>
  <c r="O199" i="4"/>
  <c r="N199" i="4"/>
  <c r="M199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AB190" i="4"/>
  <c r="AA190" i="4"/>
  <c r="Z190" i="4"/>
  <c r="Y190" i="4"/>
  <c r="X190" i="4"/>
  <c r="W190" i="4"/>
  <c r="V190" i="4"/>
  <c r="P190" i="4"/>
  <c r="O190" i="4"/>
  <c r="N190" i="4"/>
  <c r="M190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AB178" i="4"/>
  <c r="AA178" i="4"/>
  <c r="Z178" i="4"/>
  <c r="Y178" i="4"/>
  <c r="X178" i="4"/>
  <c r="W178" i="4"/>
  <c r="V178" i="4"/>
  <c r="P178" i="4"/>
  <c r="O178" i="4"/>
  <c r="N178" i="4"/>
  <c r="M178" i="4"/>
  <c r="AB177" i="4"/>
  <c r="AA177" i="4"/>
  <c r="Z177" i="4"/>
  <c r="Y177" i="4"/>
  <c r="X177" i="4"/>
  <c r="W177" i="4"/>
  <c r="V177" i="4"/>
  <c r="P177" i="4"/>
  <c r="O177" i="4"/>
  <c r="N177" i="4"/>
  <c r="M177" i="4"/>
  <c r="AB176" i="4"/>
  <c r="AA176" i="4"/>
  <c r="Z176" i="4"/>
  <c r="Y176" i="4"/>
  <c r="X176" i="4"/>
  <c r="W176" i="4"/>
  <c r="V176" i="4"/>
  <c r="P176" i="4"/>
  <c r="O176" i="4"/>
  <c r="N176" i="4"/>
  <c r="M176" i="4"/>
  <c r="AB175" i="4"/>
  <c r="AA175" i="4"/>
  <c r="Z175" i="4"/>
  <c r="Y175" i="4"/>
  <c r="X175" i="4"/>
  <c r="W175" i="4"/>
  <c r="V175" i="4"/>
  <c r="P175" i="4"/>
  <c r="O175" i="4"/>
  <c r="N175" i="4"/>
  <c r="M175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AB173" i="4"/>
  <c r="AA173" i="4"/>
  <c r="Z173" i="4"/>
  <c r="Y173" i="4"/>
  <c r="X173" i="4"/>
  <c r="W173" i="4"/>
  <c r="V173" i="4"/>
  <c r="P173" i="4"/>
  <c r="O173" i="4"/>
  <c r="M173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AB167" i="4"/>
  <c r="AA167" i="4"/>
  <c r="Z167" i="4"/>
  <c r="Y167" i="4"/>
  <c r="X167" i="4"/>
  <c r="W167" i="4"/>
  <c r="V167" i="4"/>
  <c r="P167" i="4"/>
  <c r="O167" i="4"/>
  <c r="N167" i="4"/>
  <c r="M167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AB157" i="4"/>
  <c r="AA157" i="4"/>
  <c r="Z157" i="4"/>
  <c r="Y157" i="4"/>
  <c r="X157" i="4"/>
  <c r="W157" i="4"/>
  <c r="V157" i="4"/>
  <c r="P157" i="4"/>
  <c r="O157" i="4"/>
  <c r="N157" i="4"/>
  <c r="M157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AB147" i="4"/>
  <c r="AA147" i="4"/>
  <c r="Z147" i="4"/>
  <c r="Y147" i="4"/>
  <c r="X147" i="4"/>
  <c r="W147" i="4"/>
  <c r="V147" i="4"/>
  <c r="P147" i="4"/>
  <c r="O147" i="4"/>
  <c r="N147" i="4"/>
  <c r="M147" i="4"/>
  <c r="AB146" i="4"/>
  <c r="AA146" i="4"/>
  <c r="Z146" i="4"/>
  <c r="Y146" i="4"/>
  <c r="X146" i="4"/>
  <c r="W146" i="4"/>
  <c r="V146" i="4"/>
  <c r="P146" i="4"/>
  <c r="O146" i="4"/>
  <c r="N146" i="4"/>
  <c r="M146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M3" i="4"/>
  <c r="N3" i="4"/>
  <c r="O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M4" i="4"/>
  <c r="N4" i="4"/>
  <c r="O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M5" i="4"/>
  <c r="N5" i="4"/>
  <c r="O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M6" i="4"/>
  <c r="N6" i="4"/>
  <c r="O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M7" i="4"/>
  <c r="N7" i="4"/>
  <c r="O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M8" i="4"/>
  <c r="N8" i="4"/>
  <c r="O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M9" i="4"/>
  <c r="N9" i="4"/>
  <c r="O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M10" i="4"/>
  <c r="N10" i="4"/>
  <c r="O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M11" i="4"/>
  <c r="N11" i="4"/>
  <c r="O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M12" i="4"/>
  <c r="N12" i="4"/>
  <c r="O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M13" i="4"/>
  <c r="N13" i="4"/>
  <c r="O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M14" i="4"/>
  <c r="N14" i="4"/>
  <c r="O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M15" i="4"/>
  <c r="N15" i="4"/>
  <c r="O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M16" i="4"/>
  <c r="N16" i="4"/>
  <c r="O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M17" i="4"/>
  <c r="N17" i="4"/>
  <c r="O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M18" i="4"/>
  <c r="N18" i="4"/>
  <c r="O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M19" i="4"/>
  <c r="N19" i="4"/>
  <c r="O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M20" i="4"/>
  <c r="N20" i="4"/>
  <c r="O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M21" i="4"/>
  <c r="N21" i="4"/>
  <c r="O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M22" i="4"/>
  <c r="N22" i="4"/>
  <c r="O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M23" i="4"/>
  <c r="N23" i="4"/>
  <c r="O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M24" i="4"/>
  <c r="N24" i="4"/>
  <c r="O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M25" i="4"/>
  <c r="N25" i="4"/>
  <c r="O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M26" i="4"/>
  <c r="N26" i="4"/>
  <c r="O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M27" i="4"/>
  <c r="N27" i="4"/>
  <c r="O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M28" i="4"/>
  <c r="N28" i="4"/>
  <c r="O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M29" i="4"/>
  <c r="N29" i="4"/>
  <c r="O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M30" i="4"/>
  <c r="N30" i="4"/>
  <c r="O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M31" i="4"/>
  <c r="N31" i="4"/>
  <c r="O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M32" i="4"/>
  <c r="N32" i="4"/>
  <c r="O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M33" i="4"/>
  <c r="N33" i="4"/>
  <c r="O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M34" i="4"/>
  <c r="N34" i="4"/>
  <c r="O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M35" i="4"/>
  <c r="O35" i="4"/>
  <c r="V35" i="4"/>
  <c r="W35" i="4"/>
  <c r="X35" i="4"/>
  <c r="Y35" i="4"/>
  <c r="Z35" i="4"/>
  <c r="AA35" i="4"/>
  <c r="AB35" i="4"/>
  <c r="M36" i="4"/>
  <c r="N36" i="4"/>
  <c r="O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M37" i="4"/>
  <c r="N37" i="4"/>
  <c r="O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M38" i="4"/>
  <c r="N38" i="4"/>
  <c r="O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M39" i="4"/>
  <c r="N39" i="4"/>
  <c r="O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M40" i="4"/>
  <c r="N40" i="4"/>
  <c r="O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M41" i="4"/>
  <c r="N41" i="4"/>
  <c r="O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M42" i="4"/>
  <c r="N42" i="4"/>
  <c r="O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M43" i="4"/>
  <c r="N43" i="4"/>
  <c r="O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M44" i="4"/>
  <c r="N44" i="4"/>
  <c r="O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M45" i="4"/>
  <c r="N45" i="4"/>
  <c r="O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M46" i="4"/>
  <c r="N46" i="4"/>
  <c r="O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M47" i="4"/>
  <c r="N47" i="4"/>
  <c r="O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M48" i="4"/>
  <c r="N48" i="4"/>
  <c r="O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M49" i="4"/>
  <c r="N49" i="4"/>
  <c r="O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M50" i="4"/>
  <c r="N50" i="4"/>
  <c r="O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M51" i="4"/>
  <c r="N51" i="4"/>
  <c r="O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M52" i="4"/>
  <c r="N52" i="4"/>
  <c r="O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M53" i="4"/>
  <c r="N53" i="4"/>
  <c r="O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M54" i="4"/>
  <c r="N54" i="4"/>
  <c r="O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M55" i="4"/>
  <c r="N55" i="4"/>
  <c r="O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M56" i="4"/>
  <c r="N56" i="4"/>
  <c r="O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M57" i="4"/>
  <c r="N57" i="4"/>
  <c r="O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M58" i="4"/>
  <c r="N58" i="4"/>
  <c r="O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M59" i="4"/>
  <c r="N59" i="4"/>
  <c r="O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M60" i="4"/>
  <c r="N60" i="4"/>
  <c r="O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M61" i="4"/>
  <c r="N61" i="4"/>
  <c r="O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M62" i="4"/>
  <c r="N62" i="4"/>
  <c r="O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M63" i="4"/>
  <c r="N63" i="4"/>
  <c r="O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M64" i="4"/>
  <c r="N64" i="4"/>
  <c r="O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M65" i="4"/>
  <c r="N65" i="4"/>
  <c r="O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M66" i="4"/>
  <c r="N66" i="4"/>
  <c r="O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M67" i="4"/>
  <c r="N67" i="4"/>
  <c r="O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M68" i="4"/>
  <c r="N68" i="4"/>
  <c r="O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M69" i="4"/>
  <c r="N69" i="4"/>
  <c r="O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M70" i="4"/>
  <c r="N70" i="4"/>
  <c r="O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M71" i="4"/>
  <c r="N71" i="4"/>
  <c r="O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M72" i="4"/>
  <c r="N72" i="4"/>
  <c r="O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M73" i="4"/>
  <c r="N73" i="4"/>
  <c r="O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M74" i="4"/>
  <c r="N74" i="4"/>
  <c r="O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M75" i="4"/>
  <c r="N75" i="4"/>
  <c r="O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M76" i="4"/>
  <c r="N76" i="4"/>
  <c r="O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M77" i="4"/>
  <c r="O77" i="4"/>
  <c r="Q77" i="4"/>
  <c r="R77" i="4"/>
  <c r="S77" i="4"/>
  <c r="T77" i="4"/>
  <c r="U77" i="4"/>
  <c r="V77" i="4"/>
  <c r="W77" i="4"/>
  <c r="X77" i="4"/>
  <c r="Y77" i="4"/>
  <c r="Z77" i="4"/>
  <c r="AA77" i="4"/>
  <c r="AB77" i="4"/>
  <c r="M78" i="4"/>
  <c r="N78" i="4"/>
  <c r="O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M79" i="4"/>
  <c r="N79" i="4"/>
  <c r="O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M80" i="4"/>
  <c r="N80" i="4"/>
  <c r="O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M81" i="4"/>
  <c r="N81" i="4"/>
  <c r="O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M82" i="4"/>
  <c r="N82" i="4"/>
  <c r="O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M83" i="4"/>
  <c r="N83" i="4"/>
  <c r="O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M84" i="4"/>
  <c r="N84" i="4"/>
  <c r="O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M85" i="4"/>
  <c r="N85" i="4"/>
  <c r="O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M86" i="4"/>
  <c r="N86" i="4"/>
  <c r="O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M87" i="4"/>
  <c r="N87" i="4"/>
  <c r="O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M88" i="4"/>
  <c r="N88" i="4"/>
  <c r="O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M89" i="4"/>
  <c r="O89" i="4"/>
  <c r="Q89" i="4"/>
  <c r="R89" i="4"/>
  <c r="S89" i="4"/>
  <c r="T89" i="4"/>
  <c r="U89" i="4"/>
  <c r="M90" i="4"/>
  <c r="N90" i="4"/>
  <c r="O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M91" i="4"/>
  <c r="N91" i="4"/>
  <c r="O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M92" i="4"/>
  <c r="N92" i="4"/>
  <c r="O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M93" i="4"/>
  <c r="N93" i="4"/>
  <c r="O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M94" i="4"/>
  <c r="N94" i="4"/>
  <c r="O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M95" i="4"/>
  <c r="N95" i="4"/>
  <c r="O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O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M97" i="4"/>
  <c r="N97" i="4"/>
  <c r="O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M98" i="4"/>
  <c r="N98" i="4"/>
  <c r="O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M99" i="4"/>
  <c r="N99" i="4"/>
  <c r="O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M100" i="4"/>
  <c r="N100" i="4"/>
  <c r="O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M101" i="4"/>
  <c r="N101" i="4"/>
  <c r="O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M102" i="4"/>
  <c r="N102" i="4"/>
  <c r="O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M103" i="4"/>
  <c r="N103" i="4"/>
  <c r="O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M104" i="4"/>
  <c r="N104" i="4"/>
  <c r="O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M105" i="4"/>
  <c r="N105" i="4"/>
  <c r="O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M106" i="4"/>
  <c r="N106" i="4"/>
  <c r="O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M107" i="4"/>
  <c r="O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M108" i="4"/>
  <c r="N108" i="4"/>
  <c r="O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M109" i="4"/>
  <c r="N109" i="4"/>
  <c r="O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M110" i="4"/>
  <c r="N110" i="4"/>
  <c r="O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M111" i="4"/>
  <c r="N111" i="4"/>
  <c r="O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M112" i="4"/>
  <c r="N112" i="4"/>
  <c r="O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M113" i="4"/>
  <c r="N113" i="4"/>
  <c r="O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M114" i="4"/>
  <c r="N114" i="4"/>
  <c r="O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M115" i="4"/>
  <c r="N115" i="4"/>
  <c r="O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M116" i="4"/>
  <c r="N116" i="4"/>
  <c r="O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M117" i="4"/>
  <c r="N117" i="4"/>
  <c r="O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M118" i="4"/>
  <c r="N118" i="4"/>
  <c r="O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M119" i="4"/>
  <c r="N119" i="4"/>
  <c r="O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M120" i="4"/>
  <c r="N120" i="4"/>
  <c r="O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M121" i="4"/>
  <c r="N121" i="4"/>
  <c r="O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M122" i="4"/>
  <c r="N122" i="4"/>
  <c r="O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M123" i="4"/>
  <c r="N123" i="4"/>
  <c r="O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M124" i="4"/>
  <c r="N124" i="4"/>
  <c r="O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M125" i="4"/>
  <c r="N125" i="4"/>
  <c r="O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M126" i="4"/>
  <c r="N126" i="4"/>
  <c r="O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M127" i="4"/>
  <c r="N127" i="4"/>
  <c r="O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M128" i="4"/>
  <c r="O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M129" i="4"/>
  <c r="N129" i="4"/>
  <c r="O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M130" i="4"/>
  <c r="N130" i="4"/>
  <c r="O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M131" i="4"/>
  <c r="N131" i="4"/>
  <c r="O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M132" i="4"/>
  <c r="N132" i="4"/>
  <c r="O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M133" i="4"/>
  <c r="N133" i="4"/>
  <c r="O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M134" i="4"/>
  <c r="N134" i="4"/>
  <c r="O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M135" i="4"/>
  <c r="N135" i="4"/>
  <c r="O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M136" i="4"/>
  <c r="N136" i="4"/>
  <c r="O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M137" i="4"/>
  <c r="N137" i="4"/>
  <c r="O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S2" i="4"/>
  <c r="R2" i="4"/>
  <c r="Q2" i="4"/>
  <c r="O2" i="4"/>
  <c r="N2" i="4"/>
  <c r="M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AF137" i="6"/>
  <c r="H2" i="6"/>
  <c r="AJ2" i="6" s="1"/>
  <c r="H3" i="6"/>
  <c r="AJ3" i="6" s="1"/>
  <c r="H4" i="6"/>
  <c r="AJ4" i="6" s="1"/>
  <c r="H5" i="6"/>
  <c r="AJ5" i="6" s="1"/>
  <c r="H6" i="6"/>
  <c r="AJ6" i="6" s="1"/>
  <c r="H7" i="6"/>
  <c r="AJ7" i="6" s="1"/>
  <c r="H8" i="6"/>
  <c r="AJ8" i="6" s="1"/>
  <c r="H9" i="6"/>
  <c r="AJ9" i="6" s="1"/>
  <c r="H10" i="6"/>
  <c r="AJ10" i="6" s="1"/>
  <c r="H11" i="6"/>
  <c r="AJ11" i="6" s="1"/>
  <c r="H12" i="6"/>
  <c r="AJ12" i="6" s="1"/>
  <c r="H13" i="6"/>
  <c r="AJ13" i="6" s="1"/>
  <c r="H14" i="6"/>
  <c r="AJ14" i="6" s="1"/>
  <c r="H15" i="6"/>
  <c r="AJ15" i="6" s="1"/>
  <c r="H16" i="6"/>
  <c r="AJ16" i="6" s="1"/>
  <c r="H17" i="6"/>
  <c r="AJ17" i="6" s="1"/>
  <c r="H18" i="6"/>
  <c r="AJ18" i="6" s="1"/>
  <c r="H19" i="6"/>
  <c r="AJ19" i="6" s="1"/>
  <c r="H20" i="6"/>
  <c r="AJ20" i="6" s="1"/>
  <c r="H21" i="6"/>
  <c r="AJ21" i="6" s="1"/>
  <c r="H22" i="6"/>
  <c r="AJ22" i="6" s="1"/>
  <c r="H23" i="6"/>
  <c r="AJ23" i="6" s="1"/>
  <c r="H24" i="6"/>
  <c r="AJ24" i="6" s="1"/>
  <c r="H25" i="6"/>
  <c r="AJ25" i="6" s="1"/>
  <c r="H26" i="6"/>
  <c r="AJ26" i="6" s="1"/>
  <c r="H27" i="6"/>
  <c r="AJ27" i="6" s="1"/>
  <c r="H28" i="6"/>
  <c r="AJ28" i="6" s="1"/>
  <c r="H29" i="6"/>
  <c r="AJ29" i="6" s="1"/>
  <c r="H30" i="6"/>
  <c r="AJ30" i="6" s="1"/>
  <c r="H31" i="6"/>
  <c r="AJ31" i="6" s="1"/>
  <c r="H32" i="6"/>
  <c r="AJ32" i="6" s="1"/>
  <c r="H33" i="6"/>
  <c r="AJ33" i="6" s="1"/>
  <c r="H34" i="6"/>
  <c r="AJ34" i="6" s="1"/>
  <c r="H35" i="6"/>
  <c r="AJ35" i="6" s="1"/>
  <c r="H36" i="6"/>
  <c r="AJ36" i="6" s="1"/>
  <c r="H37" i="6"/>
  <c r="AJ37" i="6" s="1"/>
  <c r="H38" i="6"/>
  <c r="AJ38" i="6" s="1"/>
  <c r="H39" i="6"/>
  <c r="AJ39" i="6" s="1"/>
  <c r="H40" i="6"/>
  <c r="AJ40" i="6" s="1"/>
  <c r="H41" i="6"/>
  <c r="AJ41" i="6" s="1"/>
  <c r="H42" i="6"/>
  <c r="AJ42" i="6" s="1"/>
  <c r="H43" i="6"/>
  <c r="AJ43" i="6" s="1"/>
  <c r="H44" i="6"/>
  <c r="AJ44" i="6" s="1"/>
  <c r="H45" i="6"/>
  <c r="AJ45" i="6" s="1"/>
  <c r="H46" i="6"/>
  <c r="AJ46" i="6" s="1"/>
  <c r="H47" i="6"/>
  <c r="AJ47" i="6" s="1"/>
  <c r="H48" i="6"/>
  <c r="AJ48" i="6" s="1"/>
  <c r="H49" i="6"/>
  <c r="AJ49" i="6" s="1"/>
  <c r="H50" i="6"/>
  <c r="AJ50" i="6" s="1"/>
  <c r="H51" i="6"/>
  <c r="AJ51" i="6" s="1"/>
  <c r="H52" i="6"/>
  <c r="AJ52" i="6" s="1"/>
  <c r="H53" i="6"/>
  <c r="AJ53" i="6" s="1"/>
  <c r="H54" i="6"/>
  <c r="AJ54" i="6" s="1"/>
  <c r="H55" i="6"/>
  <c r="AJ55" i="6" s="1"/>
  <c r="H56" i="6"/>
  <c r="AJ56" i="6" s="1"/>
  <c r="H57" i="6"/>
  <c r="AJ57" i="6" s="1"/>
  <c r="H58" i="6"/>
  <c r="AJ58" i="6" s="1"/>
  <c r="H59" i="6"/>
  <c r="AJ59" i="6" s="1"/>
  <c r="H60" i="6"/>
  <c r="AJ60" i="6" s="1"/>
  <c r="H61" i="6"/>
  <c r="AJ61" i="6" s="1"/>
  <c r="H62" i="6"/>
  <c r="AJ62" i="6" s="1"/>
  <c r="H63" i="6"/>
  <c r="AJ63" i="6" s="1"/>
  <c r="H64" i="6"/>
  <c r="AJ64" i="6" s="1"/>
  <c r="H65" i="6"/>
  <c r="AJ65" i="6" s="1"/>
  <c r="H66" i="6"/>
  <c r="AJ66" i="6" s="1"/>
  <c r="H67" i="6"/>
  <c r="AJ67" i="6" s="1"/>
  <c r="H68" i="6"/>
  <c r="AJ68" i="6" s="1"/>
  <c r="H69" i="6"/>
  <c r="AJ69" i="6" s="1"/>
  <c r="H70" i="6"/>
  <c r="AJ70" i="6" s="1"/>
  <c r="H71" i="6"/>
  <c r="AJ71" i="6" s="1"/>
  <c r="H72" i="6"/>
  <c r="AJ72" i="6" s="1"/>
  <c r="H73" i="6"/>
  <c r="AJ73" i="6" s="1"/>
  <c r="H74" i="6"/>
  <c r="AJ74" i="6" s="1"/>
  <c r="H75" i="6"/>
  <c r="AJ75" i="6" s="1"/>
  <c r="H76" i="6"/>
  <c r="AJ76" i="6" s="1"/>
  <c r="H77" i="6"/>
  <c r="AJ77" i="6" s="1"/>
  <c r="H78" i="6"/>
  <c r="AJ78" i="6" s="1"/>
  <c r="H79" i="6"/>
  <c r="AJ79" i="6" s="1"/>
  <c r="H80" i="6"/>
  <c r="AJ80" i="6" s="1"/>
  <c r="H81" i="6"/>
  <c r="AJ81" i="6" s="1"/>
  <c r="H82" i="6"/>
  <c r="AJ82" i="6" s="1"/>
  <c r="H83" i="6"/>
  <c r="AJ83" i="6" s="1"/>
  <c r="H84" i="6"/>
  <c r="AJ84" i="6" s="1"/>
  <c r="H85" i="6"/>
  <c r="AJ85" i="6" s="1"/>
  <c r="H86" i="6"/>
  <c r="AJ86" i="6" s="1"/>
  <c r="H87" i="6"/>
  <c r="AJ87" i="6" s="1"/>
  <c r="H88" i="6"/>
  <c r="AJ88" i="6" s="1"/>
  <c r="H89" i="6"/>
  <c r="AJ89" i="6" s="1"/>
  <c r="H90" i="6"/>
  <c r="AJ90" i="6" s="1"/>
  <c r="H91" i="6"/>
  <c r="AJ91" i="6" s="1"/>
  <c r="H92" i="6"/>
  <c r="AJ92" i="6" s="1"/>
  <c r="H93" i="6"/>
  <c r="AJ93" i="6" s="1"/>
  <c r="H94" i="6"/>
  <c r="AJ94" i="6" s="1"/>
  <c r="H95" i="6"/>
  <c r="AJ95" i="6" s="1"/>
  <c r="H96" i="6"/>
  <c r="AJ96" i="6" s="1"/>
  <c r="H97" i="6"/>
  <c r="AJ97" i="6" s="1"/>
  <c r="H98" i="6"/>
  <c r="AJ98" i="6" s="1"/>
  <c r="H99" i="6"/>
  <c r="AJ99" i="6" s="1"/>
  <c r="H100" i="6"/>
  <c r="AJ100" i="6" s="1"/>
  <c r="H101" i="6"/>
  <c r="AJ101" i="6" s="1"/>
  <c r="H102" i="6"/>
  <c r="AJ102" i="6" s="1"/>
  <c r="H103" i="6"/>
  <c r="AJ103" i="6" s="1"/>
  <c r="H104" i="6"/>
  <c r="AJ104" i="6" s="1"/>
  <c r="H105" i="6"/>
  <c r="AJ105" i="6" s="1"/>
  <c r="H106" i="6"/>
  <c r="AJ106" i="6" s="1"/>
  <c r="H107" i="6"/>
  <c r="AJ107" i="6" s="1"/>
  <c r="H108" i="6"/>
  <c r="AJ108" i="6" s="1"/>
  <c r="H109" i="6"/>
  <c r="AJ109" i="6" s="1"/>
  <c r="H110" i="6"/>
  <c r="AJ110" i="6" s="1"/>
  <c r="H111" i="6"/>
  <c r="AJ111" i="6" s="1"/>
  <c r="H112" i="6"/>
  <c r="AJ112" i="6" s="1"/>
  <c r="H113" i="6"/>
  <c r="AJ113" i="6" s="1"/>
  <c r="H114" i="6"/>
  <c r="AJ114" i="6" s="1"/>
  <c r="H115" i="6"/>
  <c r="AJ115" i="6" s="1"/>
  <c r="H116" i="6"/>
  <c r="AJ116" i="6" s="1"/>
  <c r="H117" i="6"/>
  <c r="AJ117" i="6" s="1"/>
  <c r="H118" i="6"/>
  <c r="AJ118" i="6" s="1"/>
  <c r="H119" i="6"/>
  <c r="AJ119" i="6" s="1"/>
  <c r="H120" i="6"/>
  <c r="AJ120" i="6" s="1"/>
  <c r="H121" i="6"/>
  <c r="AJ121" i="6" s="1"/>
  <c r="H122" i="6"/>
  <c r="AJ122" i="6" s="1"/>
  <c r="H123" i="6"/>
  <c r="AJ123" i="6" s="1"/>
  <c r="H124" i="6"/>
  <c r="AJ124" i="6" s="1"/>
  <c r="H125" i="6"/>
  <c r="AJ125" i="6" s="1"/>
  <c r="H126" i="6"/>
  <c r="AJ126" i="6" s="1"/>
  <c r="H127" i="6"/>
  <c r="AJ127" i="6" s="1"/>
  <c r="H128" i="6"/>
  <c r="AJ128" i="6" s="1"/>
  <c r="H129" i="6"/>
  <c r="AJ129" i="6" s="1"/>
  <c r="H130" i="6"/>
  <c r="AJ130" i="6" s="1"/>
  <c r="H131" i="6"/>
  <c r="AJ131" i="6" s="1"/>
  <c r="H132" i="6"/>
  <c r="AJ132" i="6" s="1"/>
  <c r="H133" i="6"/>
  <c r="AJ133" i="6" s="1"/>
  <c r="H134" i="6"/>
  <c r="AJ134" i="6" s="1"/>
  <c r="H135" i="6"/>
  <c r="AJ135" i="6" s="1"/>
  <c r="H136" i="6"/>
  <c r="AJ136" i="6" s="1"/>
  <c r="H137" i="6"/>
  <c r="AJ137" i="6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K2" i="4"/>
  <c r="AY2" i="4" s="1"/>
  <c r="K3" i="4"/>
  <c r="AY3" i="4" s="1"/>
  <c r="K4" i="4"/>
  <c r="AY4" i="4" s="1"/>
  <c r="K5" i="4"/>
  <c r="AY5" i="4" s="1"/>
  <c r="K6" i="4"/>
  <c r="AY6" i="4" s="1"/>
  <c r="K7" i="4"/>
  <c r="AY7" i="4" s="1"/>
  <c r="K8" i="4"/>
  <c r="AY8" i="4" s="1"/>
  <c r="K9" i="4"/>
  <c r="AY9" i="4" s="1"/>
  <c r="K10" i="4"/>
  <c r="AY10" i="4" s="1"/>
  <c r="K11" i="4"/>
  <c r="AY11" i="4" s="1"/>
  <c r="K12" i="4"/>
  <c r="AY12" i="4" s="1"/>
  <c r="K13" i="4"/>
  <c r="AY13" i="4" s="1"/>
  <c r="K14" i="4"/>
  <c r="AY14" i="4" s="1"/>
  <c r="K15" i="4"/>
  <c r="AY15" i="4" s="1"/>
  <c r="K16" i="4"/>
  <c r="AY16" i="4" s="1"/>
  <c r="K17" i="4"/>
  <c r="AY17" i="4" s="1"/>
  <c r="K18" i="4"/>
  <c r="AY18" i="4" s="1"/>
  <c r="K19" i="4"/>
  <c r="AY19" i="4" s="1"/>
  <c r="K20" i="4"/>
  <c r="AY20" i="4" s="1"/>
  <c r="K21" i="4"/>
  <c r="AY21" i="4" s="1"/>
  <c r="K22" i="4"/>
  <c r="AY22" i="4" s="1"/>
  <c r="K23" i="4"/>
  <c r="AY23" i="4" s="1"/>
  <c r="K24" i="4"/>
  <c r="AY24" i="4" s="1"/>
  <c r="K25" i="4"/>
  <c r="AY25" i="4" s="1"/>
  <c r="K26" i="4"/>
  <c r="AY26" i="4" s="1"/>
  <c r="K27" i="4"/>
  <c r="AY27" i="4" s="1"/>
  <c r="K28" i="4"/>
  <c r="AY28" i="4" s="1"/>
  <c r="K29" i="4"/>
  <c r="AY29" i="4" s="1"/>
  <c r="K30" i="4"/>
  <c r="AY30" i="4" s="1"/>
  <c r="K31" i="4"/>
  <c r="AY31" i="4" s="1"/>
  <c r="K32" i="4"/>
  <c r="AY32" i="4" s="1"/>
  <c r="K33" i="4"/>
  <c r="AY33" i="4" s="1"/>
  <c r="K34" i="4"/>
  <c r="AY34" i="4" s="1"/>
  <c r="K35" i="4"/>
  <c r="AY35" i="4" s="1"/>
  <c r="K36" i="4"/>
  <c r="AY36" i="4" s="1"/>
  <c r="K37" i="4"/>
  <c r="AY37" i="4" s="1"/>
  <c r="K38" i="4"/>
  <c r="AY38" i="4" s="1"/>
  <c r="K39" i="4"/>
  <c r="AY39" i="4" s="1"/>
  <c r="K40" i="4"/>
  <c r="AY40" i="4" s="1"/>
  <c r="K41" i="4"/>
  <c r="AY41" i="4" s="1"/>
  <c r="K42" i="4"/>
  <c r="AY42" i="4" s="1"/>
  <c r="K43" i="4"/>
  <c r="AY43" i="4" s="1"/>
  <c r="K44" i="4"/>
  <c r="AY44" i="4" s="1"/>
  <c r="K45" i="4"/>
  <c r="AY45" i="4" s="1"/>
  <c r="K46" i="4"/>
  <c r="AY46" i="4" s="1"/>
  <c r="K47" i="4"/>
  <c r="AY47" i="4" s="1"/>
  <c r="K48" i="4"/>
  <c r="AY48" i="4" s="1"/>
  <c r="K49" i="4"/>
  <c r="AY49" i="4" s="1"/>
  <c r="K50" i="4"/>
  <c r="AY50" i="4" s="1"/>
  <c r="K51" i="4"/>
  <c r="AY51" i="4" s="1"/>
  <c r="K52" i="4"/>
  <c r="AY52" i="4" s="1"/>
  <c r="K53" i="4"/>
  <c r="AY53" i="4" s="1"/>
  <c r="K54" i="4"/>
  <c r="AY54" i="4" s="1"/>
  <c r="K55" i="4"/>
  <c r="AY55" i="4" s="1"/>
  <c r="K56" i="4"/>
  <c r="AY56" i="4" s="1"/>
  <c r="K57" i="4"/>
  <c r="AY57" i="4" s="1"/>
  <c r="K58" i="4"/>
  <c r="AY58" i="4" s="1"/>
  <c r="K59" i="4"/>
  <c r="AY59" i="4" s="1"/>
  <c r="K60" i="4"/>
  <c r="AY60" i="4" s="1"/>
  <c r="K61" i="4"/>
  <c r="AY61" i="4" s="1"/>
  <c r="K62" i="4"/>
  <c r="AY62" i="4" s="1"/>
  <c r="K63" i="4"/>
  <c r="AY63" i="4" s="1"/>
  <c r="K64" i="4"/>
  <c r="AY64" i="4" s="1"/>
  <c r="K65" i="4"/>
  <c r="AY65" i="4" s="1"/>
  <c r="K66" i="4"/>
  <c r="AY66" i="4" s="1"/>
  <c r="K67" i="4"/>
  <c r="AY67" i="4" s="1"/>
  <c r="K68" i="4"/>
  <c r="AY68" i="4" s="1"/>
  <c r="K69" i="4"/>
  <c r="AY69" i="4" s="1"/>
  <c r="K70" i="4"/>
  <c r="AY70" i="4" s="1"/>
  <c r="K71" i="4"/>
  <c r="AY71" i="4" s="1"/>
  <c r="K72" i="4"/>
  <c r="AY72" i="4" s="1"/>
  <c r="K73" i="4"/>
  <c r="AY73" i="4" s="1"/>
  <c r="K74" i="4"/>
  <c r="AY74" i="4" s="1"/>
  <c r="K75" i="4"/>
  <c r="AY75" i="4" s="1"/>
  <c r="K76" i="4"/>
  <c r="AY76" i="4" s="1"/>
  <c r="K77" i="4"/>
  <c r="AY77" i="4" s="1"/>
  <c r="K78" i="4"/>
  <c r="AY78" i="4" s="1"/>
  <c r="K79" i="4"/>
  <c r="AY79" i="4" s="1"/>
  <c r="K80" i="4"/>
  <c r="AY80" i="4" s="1"/>
  <c r="K81" i="4"/>
  <c r="AY81" i="4" s="1"/>
  <c r="K82" i="4"/>
  <c r="AY82" i="4" s="1"/>
  <c r="K83" i="4"/>
  <c r="AY83" i="4" s="1"/>
  <c r="K84" i="4"/>
  <c r="AY84" i="4" s="1"/>
  <c r="K85" i="4"/>
  <c r="AY85" i="4" s="1"/>
  <c r="K86" i="4"/>
  <c r="AY86" i="4" s="1"/>
  <c r="K87" i="4"/>
  <c r="AY87" i="4" s="1"/>
  <c r="K88" i="4"/>
  <c r="AY88" i="4" s="1"/>
  <c r="K89" i="4"/>
  <c r="AY89" i="4" s="1"/>
  <c r="K90" i="4"/>
  <c r="AY90" i="4" s="1"/>
  <c r="K91" i="4"/>
  <c r="AY91" i="4" s="1"/>
  <c r="K92" i="4"/>
  <c r="AY92" i="4" s="1"/>
  <c r="K93" i="4"/>
  <c r="AY93" i="4" s="1"/>
  <c r="K94" i="4"/>
  <c r="AY94" i="4" s="1"/>
  <c r="K95" i="4"/>
  <c r="AY95" i="4" s="1"/>
  <c r="K96" i="4"/>
  <c r="AY96" i="4" s="1"/>
  <c r="K97" i="4"/>
  <c r="AY97" i="4" s="1"/>
  <c r="K98" i="4"/>
  <c r="AY98" i="4" s="1"/>
  <c r="K99" i="4"/>
  <c r="AY99" i="4" s="1"/>
  <c r="K100" i="4"/>
  <c r="AY100" i="4" s="1"/>
  <c r="K101" i="4"/>
  <c r="AY101" i="4" s="1"/>
  <c r="K102" i="4"/>
  <c r="AY102" i="4" s="1"/>
  <c r="K103" i="4"/>
  <c r="AY103" i="4" s="1"/>
  <c r="K104" i="4"/>
  <c r="AY104" i="4" s="1"/>
  <c r="K105" i="4"/>
  <c r="AY105" i="4" s="1"/>
  <c r="K106" i="4"/>
  <c r="AY106" i="4" s="1"/>
  <c r="K107" i="4"/>
  <c r="AY107" i="4" s="1"/>
  <c r="K108" i="4"/>
  <c r="AY108" i="4" s="1"/>
  <c r="K109" i="4"/>
  <c r="AY109" i="4" s="1"/>
  <c r="K110" i="4"/>
  <c r="AY110" i="4" s="1"/>
  <c r="K111" i="4"/>
  <c r="AY111" i="4" s="1"/>
  <c r="K112" i="4"/>
  <c r="AY112" i="4" s="1"/>
  <c r="K113" i="4"/>
  <c r="AY113" i="4" s="1"/>
  <c r="K114" i="4"/>
  <c r="AY114" i="4" s="1"/>
  <c r="K115" i="4"/>
  <c r="AY115" i="4" s="1"/>
  <c r="K116" i="4"/>
  <c r="AY116" i="4" s="1"/>
  <c r="K117" i="4"/>
  <c r="AY117" i="4" s="1"/>
  <c r="K118" i="4"/>
  <c r="AY118" i="4" s="1"/>
  <c r="K119" i="4"/>
  <c r="AY119" i="4" s="1"/>
  <c r="K120" i="4"/>
  <c r="AY120" i="4" s="1"/>
  <c r="K121" i="4"/>
  <c r="AY121" i="4" s="1"/>
  <c r="K122" i="4"/>
  <c r="AY122" i="4" s="1"/>
  <c r="K123" i="4"/>
  <c r="AY123" i="4" s="1"/>
  <c r="K124" i="4"/>
  <c r="AY124" i="4" s="1"/>
  <c r="K125" i="4"/>
  <c r="AY125" i="4" s="1"/>
  <c r="K126" i="4"/>
  <c r="AY126" i="4" s="1"/>
  <c r="K127" i="4"/>
  <c r="AY127" i="4" s="1"/>
  <c r="K128" i="4"/>
  <c r="AY128" i="4" s="1"/>
  <c r="K129" i="4"/>
  <c r="AY129" i="4" s="1"/>
  <c r="K130" i="4"/>
  <c r="AY130" i="4" s="1"/>
  <c r="K131" i="4"/>
  <c r="AY131" i="4" s="1"/>
  <c r="K132" i="4"/>
  <c r="AY132" i="4" s="1"/>
  <c r="K133" i="4"/>
  <c r="AY133" i="4" s="1"/>
  <c r="K134" i="4"/>
  <c r="AY134" i="4" s="1"/>
  <c r="K135" i="4"/>
  <c r="AY135" i="4" s="1"/>
  <c r="K136" i="4"/>
  <c r="AY136" i="4" s="1"/>
  <c r="K137" i="4"/>
  <c r="AY137" i="4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K8" i="5" a="1"/>
  <c r="K8" i="5" s="1"/>
  <c r="L8" i="5" a="1"/>
  <c r="L8" i="5" s="1"/>
  <c r="N8" i="5" a="1"/>
  <c r="N8" i="5" s="1"/>
  <c r="O8" i="5" a="1"/>
  <c r="O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AA8" i="5" a="1"/>
  <c r="AA8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H8" i="5" a="1"/>
  <c r="AH8" i="5" s="1"/>
  <c r="AI8" i="5" a="1"/>
  <c r="AI8" i="5" s="1"/>
  <c r="AJ8" i="5" a="1"/>
  <c r="AJ8" i="5" s="1"/>
  <c r="AK8" i="5" a="1"/>
  <c r="AK8" i="5" s="1"/>
  <c r="AL8" i="5" a="1"/>
  <c r="AL8" i="5" s="1"/>
  <c r="AM8" i="5" a="1"/>
  <c r="AM8" i="5" s="1"/>
  <c r="AN8" i="5" a="1"/>
  <c r="AN8" i="5" s="1"/>
  <c r="AO8" i="5" a="1"/>
  <c r="AO8" i="5" s="1"/>
  <c r="AP8" i="5" a="1"/>
  <c r="AP8" i="5" s="1"/>
  <c r="AQ8" i="5" a="1"/>
  <c r="AQ8" i="5" s="1"/>
  <c r="AR8" i="5" a="1"/>
  <c r="AR8" i="5" s="1"/>
  <c r="AS8" i="5" a="1"/>
  <c r="AS8" i="5" s="1"/>
  <c r="AT8" i="5" a="1"/>
  <c r="AT8" i="5" s="1"/>
  <c r="AU8" i="5" a="1"/>
  <c r="AU8" i="5" s="1"/>
  <c r="AV8" i="5" a="1"/>
  <c r="AV8" i="5" s="1"/>
  <c r="AW8" i="5" a="1"/>
  <c r="AW8" i="5" s="1"/>
  <c r="AX8" i="5" a="1"/>
  <c r="AX8" i="5" s="1"/>
  <c r="J2" i="5" a="1"/>
  <c r="J2" i="5" s="1"/>
  <c r="J3" i="5" a="1"/>
  <c r="J3" i="5" s="1"/>
  <c r="J49" i="4" s="1"/>
  <c r="J4" i="5" a="1"/>
  <c r="J4" i="5" s="1"/>
  <c r="J5" i="5" a="1"/>
  <c r="J5" i="5" s="1"/>
  <c r="J6" i="5" a="1"/>
  <c r="J6" i="5" s="1"/>
  <c r="J7" i="5" a="1"/>
  <c r="J7" i="5" s="1"/>
  <c r="J8" i="5" a="1"/>
  <c r="J8" i="5" s="1"/>
  <c r="K2" i="5" a="1"/>
  <c r="K2" i="5" s="1"/>
  <c r="L2" i="5" a="1"/>
  <c r="L2" i="5" s="1"/>
  <c r="N2" i="5" a="1"/>
  <c r="N2" i="5" s="1"/>
  <c r="N107" i="4" s="1"/>
  <c r="O2" i="5" a="1"/>
  <c r="O2" i="5" s="1"/>
  <c r="Q2" i="5" a="1"/>
  <c r="Q2" i="5" s="1"/>
  <c r="Q29" i="4" s="1"/>
  <c r="R2" i="5" a="1"/>
  <c r="R2" i="5" s="1"/>
  <c r="R114" i="4" s="1"/>
  <c r="S2" i="5" a="1"/>
  <c r="S2" i="5" s="1"/>
  <c r="S114" i="4" s="1"/>
  <c r="T2" i="5" a="1"/>
  <c r="T2" i="5" s="1"/>
  <c r="T79" i="4" s="1"/>
  <c r="U2" i="5" a="1"/>
  <c r="U2" i="5" s="1"/>
  <c r="U79" i="4" s="1"/>
  <c r="V2" i="5" a="1"/>
  <c r="V2" i="5" s="1"/>
  <c r="V114" i="4" s="1"/>
  <c r="W2" i="5" a="1"/>
  <c r="W2" i="5" s="1"/>
  <c r="W114" i="4" s="1"/>
  <c r="X2" i="5" a="1"/>
  <c r="X2" i="5" s="1"/>
  <c r="X114" i="4" s="1"/>
  <c r="Y2" i="5" a="1"/>
  <c r="Y2" i="5" s="1"/>
  <c r="Y114" i="4" s="1"/>
  <c r="Z2" i="5" a="1"/>
  <c r="Z2" i="5" s="1"/>
  <c r="Z114" i="4" s="1"/>
  <c r="AA2" i="5" a="1"/>
  <c r="AA2" i="5" s="1"/>
  <c r="AA114" i="4" s="1"/>
  <c r="AB2" i="5" a="1"/>
  <c r="AB2" i="5" s="1"/>
  <c r="AB114" i="4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H2" i="5" a="1"/>
  <c r="AH2" i="5" s="1"/>
  <c r="AI2" i="5" a="1"/>
  <c r="AI2" i="5" s="1"/>
  <c r="AJ2" i="5" a="1"/>
  <c r="AJ2" i="5" s="1"/>
  <c r="AK2" i="5" a="1"/>
  <c r="AK2" i="5" s="1"/>
  <c r="AL2" i="5" a="1"/>
  <c r="AL2" i="5" s="1"/>
  <c r="AM2" i="5" a="1"/>
  <c r="AM2" i="5" s="1"/>
  <c r="AN2" i="5" a="1"/>
  <c r="AN2" i="5" s="1"/>
  <c r="AO2" i="5" a="1"/>
  <c r="AO2" i="5" s="1"/>
  <c r="AP2" i="5" a="1"/>
  <c r="AP2" i="5" s="1"/>
  <c r="AQ2" i="5" a="1"/>
  <c r="AQ2" i="5" s="1"/>
  <c r="AR2" i="5" a="1"/>
  <c r="AR2" i="5" s="1"/>
  <c r="AS2" i="5" a="1"/>
  <c r="AS2" i="5" s="1"/>
  <c r="AT2" i="5" a="1"/>
  <c r="AT2" i="5" s="1"/>
  <c r="AU2" i="5" a="1"/>
  <c r="AU2" i="5" s="1"/>
  <c r="AV2" i="5" a="1"/>
  <c r="AV2" i="5" s="1"/>
  <c r="AW2" i="5" a="1"/>
  <c r="AW2" i="5" s="1"/>
  <c r="AX2" i="5" a="1"/>
  <c r="AX2" i="5" s="1"/>
  <c r="K3" i="5" a="1"/>
  <c r="K3" i="5" s="1"/>
  <c r="L3" i="5" a="1"/>
  <c r="L3" i="5" s="1"/>
  <c r="N3" i="5" a="1"/>
  <c r="N3" i="5" s="1"/>
  <c r="N35" i="4" s="1"/>
  <c r="O3" i="5" a="1"/>
  <c r="O3" i="5" s="1"/>
  <c r="Q3" i="5" a="1"/>
  <c r="Q3" i="5" s="1"/>
  <c r="Q37" i="4" s="1"/>
  <c r="R3" i="5" a="1"/>
  <c r="R3" i="5" s="1"/>
  <c r="R37" i="4" s="1"/>
  <c r="S3" i="5" a="1"/>
  <c r="S3" i="5" s="1"/>
  <c r="S37" i="4" s="1"/>
  <c r="T3" i="5" a="1"/>
  <c r="T3" i="5" s="1"/>
  <c r="T39" i="4" s="1"/>
  <c r="U3" i="5" a="1"/>
  <c r="U3" i="5" s="1"/>
  <c r="U39" i="4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C35" i="4" s="1"/>
  <c r="AD3" i="5" a="1"/>
  <c r="AD3" i="5" s="1"/>
  <c r="AD35" i="4" s="1"/>
  <c r="AE3" i="5" a="1"/>
  <c r="AE3" i="5" s="1"/>
  <c r="AE35" i="4" s="1"/>
  <c r="AF3" i="5" a="1"/>
  <c r="AF3" i="5" s="1"/>
  <c r="AF35" i="4" s="1"/>
  <c r="AG3" i="5" a="1"/>
  <c r="AG3" i="5" s="1"/>
  <c r="AG35" i="4" s="1"/>
  <c r="AH3" i="5" a="1"/>
  <c r="AH3" i="5" s="1"/>
  <c r="AH35" i="4" s="1"/>
  <c r="AI3" i="5" a="1"/>
  <c r="AI3" i="5" s="1"/>
  <c r="AI35" i="4" s="1"/>
  <c r="AJ3" i="5" a="1"/>
  <c r="AJ3" i="5" s="1"/>
  <c r="AJ35" i="4" s="1"/>
  <c r="AK3" i="5" a="1"/>
  <c r="AK3" i="5" s="1"/>
  <c r="AK35" i="4" s="1"/>
  <c r="AL3" i="5" a="1"/>
  <c r="AL3" i="5" s="1"/>
  <c r="AL35" i="4" s="1"/>
  <c r="AM3" i="5" a="1"/>
  <c r="AM3" i="5" s="1"/>
  <c r="AM35" i="4" s="1"/>
  <c r="AN3" i="5" a="1"/>
  <c r="AN3" i="5" s="1"/>
  <c r="AN35" i="4" s="1"/>
  <c r="AO3" i="5" a="1"/>
  <c r="AO3" i="5" s="1"/>
  <c r="AO35" i="4" s="1"/>
  <c r="AP3" i="5" a="1"/>
  <c r="AP3" i="5" s="1"/>
  <c r="AP35" i="4" s="1"/>
  <c r="AQ3" i="5" a="1"/>
  <c r="AQ3" i="5" s="1"/>
  <c r="AQ35" i="4" s="1"/>
  <c r="AR3" i="5" a="1"/>
  <c r="AR3" i="5" s="1"/>
  <c r="AR35" i="4" s="1"/>
  <c r="AS3" i="5" a="1"/>
  <c r="AS3" i="5" s="1"/>
  <c r="AS35" i="4" s="1"/>
  <c r="AT3" i="5" a="1"/>
  <c r="AT3" i="5" s="1"/>
  <c r="AT35" i="4" s="1"/>
  <c r="AU3" i="5" a="1"/>
  <c r="AU3" i="5" s="1"/>
  <c r="AU35" i="4" s="1"/>
  <c r="AV3" i="5" a="1"/>
  <c r="AV3" i="5" s="1"/>
  <c r="AV35" i="4" s="1"/>
  <c r="AW3" i="5" a="1"/>
  <c r="AW3" i="5" s="1"/>
  <c r="AW35" i="4" s="1"/>
  <c r="AX3" i="5" a="1"/>
  <c r="AX3" i="5" s="1"/>
  <c r="AX35" i="4" s="1"/>
  <c r="K4" i="5" a="1"/>
  <c r="K4" i="5" s="1"/>
  <c r="L4" i="5" a="1"/>
  <c r="L4" i="5" s="1"/>
  <c r="N4" i="5" a="1"/>
  <c r="N4" i="5" s="1"/>
  <c r="N96" i="4" s="1"/>
  <c r="O4" i="5" a="1"/>
  <c r="O4" i="5" s="1"/>
  <c r="Q4" i="5" a="1"/>
  <c r="Q4" i="5" s="1"/>
  <c r="Q61" i="4" s="1"/>
  <c r="R4" i="5" a="1"/>
  <c r="R4" i="5" s="1"/>
  <c r="R61" i="4" s="1"/>
  <c r="S4" i="5" a="1"/>
  <c r="S4" i="5" s="1"/>
  <c r="S61" i="4" s="1"/>
  <c r="T4" i="5" a="1"/>
  <c r="T4" i="5" s="1"/>
  <c r="T61" i="4" s="1"/>
  <c r="U4" i="5" a="1"/>
  <c r="U4" i="5" s="1"/>
  <c r="U61" i="4" s="1"/>
  <c r="V4" i="5" a="1"/>
  <c r="V4" i="5" s="1"/>
  <c r="V96" i="4" s="1"/>
  <c r="W4" i="5" a="1"/>
  <c r="W4" i="5" s="1"/>
  <c r="W96" i="4" s="1"/>
  <c r="X4" i="5" a="1"/>
  <c r="X4" i="5" s="1"/>
  <c r="X96" i="4" s="1"/>
  <c r="Y4" i="5" a="1"/>
  <c r="Y4" i="5" s="1"/>
  <c r="Y96" i="4" s="1"/>
  <c r="Z4" i="5" a="1"/>
  <c r="Z4" i="5" s="1"/>
  <c r="Z96" i="4" s="1"/>
  <c r="AA4" i="5" a="1"/>
  <c r="AA4" i="5" s="1"/>
  <c r="AA96" i="4" s="1"/>
  <c r="AB4" i="5" a="1"/>
  <c r="AB4" i="5" s="1"/>
  <c r="AB96" i="4" s="1"/>
  <c r="AC4" i="5" a="1"/>
  <c r="AC4" i="5" s="1"/>
  <c r="AD4" i="5" a="1"/>
  <c r="AD4" i="5" s="1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 s="1"/>
  <c r="AK4" i="5" a="1"/>
  <c r="AK4" i="5" s="1"/>
  <c r="AL4" i="5" a="1"/>
  <c r="AL4" i="5" s="1"/>
  <c r="AM4" i="5" a="1"/>
  <c r="AM4" i="5" s="1"/>
  <c r="AN4" i="5" a="1"/>
  <c r="AN4" i="5" s="1"/>
  <c r="AO4" i="5" a="1"/>
  <c r="AO4" i="5" s="1"/>
  <c r="AP4" i="5" a="1"/>
  <c r="AP4" i="5" s="1"/>
  <c r="AQ4" i="5" a="1"/>
  <c r="AQ4" i="5" s="1"/>
  <c r="AR4" i="5" a="1"/>
  <c r="AR4" i="5" s="1"/>
  <c r="AS4" i="5" a="1"/>
  <c r="AS4" i="5" s="1"/>
  <c r="AT4" i="5" a="1"/>
  <c r="AT4" i="5" s="1"/>
  <c r="AU4" i="5" a="1"/>
  <c r="AU4" i="5" s="1"/>
  <c r="AV4" i="5" a="1"/>
  <c r="AV4" i="5" s="1"/>
  <c r="AW4" i="5" a="1"/>
  <c r="AW4" i="5" s="1"/>
  <c r="AX4" i="5" a="1"/>
  <c r="AX4" i="5" s="1"/>
  <c r="K5" i="5" a="1"/>
  <c r="K5" i="5" s="1"/>
  <c r="L5" i="5" a="1"/>
  <c r="L5" i="5" s="1"/>
  <c r="N5" i="5" a="1"/>
  <c r="N5" i="5" s="1"/>
  <c r="O5" i="5" a="1"/>
  <c r="O5" i="5" s="1"/>
  <c r="Q5" i="5" a="1"/>
  <c r="Q5" i="5" s="1"/>
  <c r="Q8" i="4" s="1"/>
  <c r="R5" i="5" a="1"/>
  <c r="R5" i="5" s="1"/>
  <c r="R82" i="4" s="1"/>
  <c r="S5" i="5" a="1"/>
  <c r="S5" i="5" s="1"/>
  <c r="S82" i="4" s="1"/>
  <c r="T5" i="5" a="1"/>
  <c r="T5" i="5" s="1"/>
  <c r="T82" i="4" s="1"/>
  <c r="U5" i="5" a="1"/>
  <c r="U5" i="5" s="1"/>
  <c r="U82" i="4" s="1"/>
  <c r="V5" i="5" a="1"/>
  <c r="V5" i="5" s="1"/>
  <c r="W5" i="5" a="1"/>
  <c r="W5" i="5" s="1"/>
  <c r="X5" i="5" a="1"/>
  <c r="X5" i="5" s="1"/>
  <c r="Y5" i="5" a="1"/>
  <c r="Y5" i="5" s="1"/>
  <c r="Z5" i="5" a="1"/>
  <c r="Z5" i="5" s="1"/>
  <c r="AA5" i="5" a="1"/>
  <c r="AA5" i="5" s="1"/>
  <c r="AB5" i="5" a="1"/>
  <c r="AB5" i="5" s="1"/>
  <c r="AC5" i="5" a="1"/>
  <c r="AC5" i="5" s="1"/>
  <c r="AD5" i="5" a="1"/>
  <c r="AD5" i="5" s="1"/>
  <c r="AE5" i="5" a="1"/>
  <c r="AE5" i="5" s="1"/>
  <c r="AF5" i="5" a="1"/>
  <c r="AF5" i="5" s="1"/>
  <c r="AG5" i="5" a="1"/>
  <c r="AG5" i="5" s="1"/>
  <c r="AH5" i="5" a="1"/>
  <c r="AH5" i="5" s="1"/>
  <c r="AI5" i="5" a="1"/>
  <c r="AI5" i="5" s="1"/>
  <c r="AJ5" i="5" a="1"/>
  <c r="AJ5" i="5" s="1"/>
  <c r="AK5" i="5" a="1"/>
  <c r="AK5" i="5" s="1"/>
  <c r="AL5" i="5" a="1"/>
  <c r="AL5" i="5" s="1"/>
  <c r="AM5" i="5" a="1"/>
  <c r="AM5" i="5" s="1"/>
  <c r="AN5" i="5" a="1"/>
  <c r="AN5" i="5" s="1"/>
  <c r="AO5" i="5" a="1"/>
  <c r="AO5" i="5" s="1"/>
  <c r="AP5" i="5" a="1"/>
  <c r="AP5" i="5" s="1"/>
  <c r="AQ5" i="5" a="1"/>
  <c r="AQ5" i="5" s="1"/>
  <c r="AR5" i="5" a="1"/>
  <c r="AR5" i="5" s="1"/>
  <c r="AS5" i="5" a="1"/>
  <c r="AS5" i="5" s="1"/>
  <c r="AT5" i="5" a="1"/>
  <c r="AT5" i="5" s="1"/>
  <c r="AU5" i="5" a="1"/>
  <c r="AU5" i="5" s="1"/>
  <c r="AV5" i="5" a="1"/>
  <c r="AV5" i="5" s="1"/>
  <c r="AW5" i="5" a="1"/>
  <c r="AW5" i="5" s="1"/>
  <c r="AX5" i="5" a="1"/>
  <c r="AX5" i="5" s="1"/>
  <c r="K6" i="5" a="1"/>
  <c r="K6" i="5" s="1"/>
  <c r="L6" i="5" a="1"/>
  <c r="L6" i="5" s="1"/>
  <c r="N6" i="5" a="1"/>
  <c r="N6" i="5" s="1"/>
  <c r="O6" i="5" a="1"/>
  <c r="O6" i="5" s="1"/>
  <c r="Q6" i="5" a="1"/>
  <c r="Q6" i="5" s="1"/>
  <c r="Q75" i="4" s="1"/>
  <c r="R6" i="5" a="1"/>
  <c r="R6" i="5" s="1"/>
  <c r="R122" i="4" s="1"/>
  <c r="S6" i="5" a="1"/>
  <c r="S6" i="5" s="1"/>
  <c r="S122" i="4" s="1"/>
  <c r="T6" i="5" a="1"/>
  <c r="T6" i="5" s="1"/>
  <c r="T122" i="4" s="1"/>
  <c r="U6" i="5" a="1"/>
  <c r="U6" i="5" s="1"/>
  <c r="U122" i="4" s="1"/>
  <c r="V6" i="5" a="1"/>
  <c r="V6" i="5" s="1"/>
  <c r="V65" i="4" s="1"/>
  <c r="W6" i="5" a="1"/>
  <c r="W6" i="5" s="1"/>
  <c r="W65" i="4" s="1"/>
  <c r="X6" i="5" a="1"/>
  <c r="X6" i="5" s="1"/>
  <c r="X65" i="4" s="1"/>
  <c r="Y6" i="5" a="1"/>
  <c r="Y6" i="5" s="1"/>
  <c r="Y65" i="4" s="1"/>
  <c r="Z6" i="5" a="1"/>
  <c r="Z6" i="5" s="1"/>
  <c r="Z65" i="4" s="1"/>
  <c r="AA6" i="5" a="1"/>
  <c r="AA6" i="5" s="1"/>
  <c r="AA65" i="4" s="1"/>
  <c r="AB6" i="5" a="1"/>
  <c r="AB6" i="5" s="1"/>
  <c r="AB65" i="4" s="1"/>
  <c r="AC6" i="5" a="1"/>
  <c r="AC6" i="5" s="1"/>
  <c r="AD6" i="5" a="1"/>
  <c r="AD6" i="5" s="1"/>
  <c r="AE6" i="5" a="1"/>
  <c r="AE6" i="5" s="1"/>
  <c r="AF6" i="5" a="1"/>
  <c r="AF6" i="5" s="1"/>
  <c r="AG6" i="5" a="1"/>
  <c r="AG6" i="5" s="1"/>
  <c r="AH6" i="5" a="1"/>
  <c r="AH6" i="5" s="1"/>
  <c r="AI6" i="5" a="1"/>
  <c r="AI6" i="5" s="1"/>
  <c r="AJ6" i="5" a="1"/>
  <c r="AJ6" i="5" s="1"/>
  <c r="AK6" i="5" a="1"/>
  <c r="AK6" i="5" s="1"/>
  <c r="AL6" i="5" a="1"/>
  <c r="AL6" i="5" s="1"/>
  <c r="AM6" i="5" a="1"/>
  <c r="AM6" i="5" s="1"/>
  <c r="AN6" i="5" a="1"/>
  <c r="AN6" i="5" s="1"/>
  <c r="AO6" i="5" a="1"/>
  <c r="AO6" i="5" s="1"/>
  <c r="AP6" i="5" a="1"/>
  <c r="AP6" i="5" s="1"/>
  <c r="AQ6" i="5" a="1"/>
  <c r="AQ6" i="5" s="1"/>
  <c r="AR6" i="5" a="1"/>
  <c r="AR6" i="5" s="1"/>
  <c r="AS6" i="5" a="1"/>
  <c r="AS6" i="5" s="1"/>
  <c r="AT6" i="5" a="1"/>
  <c r="AT6" i="5" s="1"/>
  <c r="AU6" i="5" a="1"/>
  <c r="AU6" i="5" s="1"/>
  <c r="AV6" i="5" a="1"/>
  <c r="AV6" i="5" s="1"/>
  <c r="AW6" i="5" a="1"/>
  <c r="AW6" i="5" s="1"/>
  <c r="AX6" i="5" a="1"/>
  <c r="AX6" i="5" s="1"/>
  <c r="K7" i="5" a="1"/>
  <c r="K7" i="5" s="1"/>
  <c r="L7" i="5" a="1"/>
  <c r="L7" i="5" s="1"/>
  <c r="N7" i="5" a="1"/>
  <c r="N7" i="5" s="1"/>
  <c r="N128" i="4" s="1"/>
  <c r="O7" i="5" a="1"/>
  <c r="O7" i="5" s="1"/>
  <c r="Q7" i="5" a="1"/>
  <c r="Q7" i="5" s="1"/>
  <c r="Q67" i="4" s="1"/>
  <c r="R7" i="5" a="1"/>
  <c r="R7" i="5" s="1"/>
  <c r="R67" i="4" s="1"/>
  <c r="S7" i="5" a="1"/>
  <c r="S7" i="5" s="1"/>
  <c r="S67" i="4" s="1"/>
  <c r="T7" i="5" a="1"/>
  <c r="T7" i="5" s="1"/>
  <c r="T67" i="4" s="1"/>
  <c r="U7" i="5" a="1"/>
  <c r="U7" i="5" s="1"/>
  <c r="U67" i="4" s="1"/>
  <c r="V7" i="5" a="1"/>
  <c r="V7" i="5" s="1"/>
  <c r="V89" i="4" s="1"/>
  <c r="W7" i="5" a="1"/>
  <c r="W7" i="5" s="1"/>
  <c r="W89" i="4" s="1"/>
  <c r="X7" i="5" a="1"/>
  <c r="X7" i="5" s="1"/>
  <c r="X89" i="4" s="1"/>
  <c r="Y7" i="5" a="1"/>
  <c r="Y7" i="5" s="1"/>
  <c r="Y89" i="4" s="1"/>
  <c r="Z7" i="5" a="1"/>
  <c r="Z7" i="5" s="1"/>
  <c r="Z89" i="4" s="1"/>
  <c r="AA7" i="5" a="1"/>
  <c r="AA7" i="5" s="1"/>
  <c r="AA89" i="4" s="1"/>
  <c r="AB7" i="5" a="1"/>
  <c r="AB7" i="5" s="1"/>
  <c r="AB89" i="4" s="1"/>
  <c r="AC7" i="5" a="1"/>
  <c r="AC7" i="5" s="1"/>
  <c r="AC89" i="4" s="1"/>
  <c r="AD7" i="5" a="1"/>
  <c r="AD7" i="5" s="1"/>
  <c r="AD128" i="4" s="1"/>
  <c r="AE7" i="5" a="1"/>
  <c r="AE7" i="5" s="1"/>
  <c r="AE128" i="4" s="1"/>
  <c r="AF7" i="5" a="1"/>
  <c r="AF7" i="5" s="1"/>
  <c r="AF77" i="4" s="1"/>
  <c r="AG7" i="5" a="1"/>
  <c r="AG7" i="5" s="1"/>
  <c r="AG77" i="4" s="1"/>
  <c r="AH7" i="5" a="1"/>
  <c r="AH7" i="5" s="1"/>
  <c r="AH77" i="4" s="1"/>
  <c r="AI7" i="5" a="1"/>
  <c r="AI7" i="5" s="1"/>
  <c r="AI77" i="4" s="1"/>
  <c r="AJ7" i="5" a="1"/>
  <c r="AJ7" i="5" s="1"/>
  <c r="AJ77" i="4" s="1"/>
  <c r="AK7" i="5" a="1"/>
  <c r="AK7" i="5" s="1"/>
  <c r="AK77" i="4" s="1"/>
  <c r="AL7" i="5" a="1"/>
  <c r="AL7" i="5" s="1"/>
  <c r="AL77" i="4" s="1"/>
  <c r="AM7" i="5" a="1"/>
  <c r="AM7" i="5" s="1"/>
  <c r="AM77" i="4" s="1"/>
  <c r="AN7" i="5" a="1"/>
  <c r="AN7" i="5" s="1"/>
  <c r="AN89" i="4" s="1"/>
  <c r="AO7" i="5" a="1"/>
  <c r="AO7" i="5" s="1"/>
  <c r="AO89" i="4" s="1"/>
  <c r="AP7" i="5" a="1"/>
  <c r="AP7" i="5" s="1"/>
  <c r="AP89" i="4" s="1"/>
  <c r="AQ7" i="5" a="1"/>
  <c r="AQ7" i="5" s="1"/>
  <c r="AQ89" i="4" s="1"/>
  <c r="AR7" i="5" a="1"/>
  <c r="AR7" i="5" s="1"/>
  <c r="AR89" i="4" s="1"/>
  <c r="AS7" i="5" a="1"/>
  <c r="AS7" i="5" s="1"/>
  <c r="AS89" i="4" s="1"/>
  <c r="AT7" i="5" a="1"/>
  <c r="AT7" i="5" s="1"/>
  <c r="AT128" i="4" s="1"/>
  <c r="AU7" i="5" a="1"/>
  <c r="AU7" i="5" s="1"/>
  <c r="AU128" i="4" s="1"/>
  <c r="AV7" i="5" a="1"/>
  <c r="AV7" i="5" s="1"/>
  <c r="AV77" i="4" s="1"/>
  <c r="AW7" i="5" a="1"/>
  <c r="AW7" i="5" s="1"/>
  <c r="AW77" i="4" s="1"/>
  <c r="AX7" i="5" a="1"/>
  <c r="AX7" i="5" s="1"/>
  <c r="AX77" i="4" s="1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H2" i="5" a="1"/>
  <c r="H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P278" i="8"/>
  <c r="P278" i="4" s="1"/>
  <c r="P279" i="8"/>
  <c r="P279" i="4" s="1"/>
  <c r="P280" i="8"/>
  <c r="P280" i="4" s="1"/>
  <c r="P281" i="8"/>
  <c r="P281" i="4" s="1"/>
  <c r="P282" i="8"/>
  <c r="P282" i="4" s="1"/>
  <c r="P283" i="8"/>
  <c r="P283" i="4" s="1"/>
  <c r="P284" i="8"/>
  <c r="P284" i="4" s="1"/>
  <c r="P285" i="8"/>
  <c r="P285" i="4" s="1"/>
  <c r="P286" i="8"/>
  <c r="P286" i="4" s="1"/>
  <c r="P287" i="8"/>
  <c r="P287" i="4" s="1"/>
  <c r="P288" i="8"/>
  <c r="P288" i="4" s="1"/>
  <c r="P289" i="8"/>
  <c r="P289" i="4" s="1"/>
  <c r="P290" i="8"/>
  <c r="P290" i="4" s="1"/>
  <c r="P291" i="8"/>
  <c r="P291" i="4" s="1"/>
  <c r="P292" i="8"/>
  <c r="P292" i="4" s="1"/>
  <c r="P293" i="8"/>
  <c r="P293" i="4" s="1"/>
  <c r="P294" i="8"/>
  <c r="P294" i="4" s="1"/>
  <c r="P295" i="8"/>
  <c r="P295" i="4" s="1"/>
  <c r="P296" i="8"/>
  <c r="P296" i="4" s="1"/>
  <c r="P297" i="8"/>
  <c r="P297" i="4" s="1"/>
  <c r="P298" i="8"/>
  <c r="P298" i="4" s="1"/>
  <c r="P299" i="8"/>
  <c r="P299" i="4" s="1"/>
  <c r="P300" i="8"/>
  <c r="P300" i="4" s="1"/>
  <c r="P301" i="8"/>
  <c r="P301" i="4" s="1"/>
  <c r="P302" i="8"/>
  <c r="P302" i="4" s="1"/>
  <c r="P303" i="8"/>
  <c r="P303" i="4" s="1"/>
  <c r="P304" i="8"/>
  <c r="P304" i="4" s="1"/>
  <c r="P305" i="8"/>
  <c r="P305" i="4" s="1"/>
  <c r="P306" i="8"/>
  <c r="P306" i="4" s="1"/>
  <c r="P307" i="8"/>
  <c r="P307" i="4" s="1"/>
  <c r="P308" i="8"/>
  <c r="P308" i="4" s="1"/>
  <c r="P309" i="8"/>
  <c r="P309" i="4" s="1"/>
  <c r="P310" i="8"/>
  <c r="P310" i="4" s="1"/>
  <c r="P311" i="8"/>
  <c r="P311" i="4" s="1"/>
  <c r="P312" i="8"/>
  <c r="P312" i="4" s="1"/>
  <c r="P313" i="8"/>
  <c r="P313" i="4" s="1"/>
  <c r="P314" i="8"/>
  <c r="P314" i="4" s="1"/>
  <c r="P315" i="8"/>
  <c r="P315" i="4" s="1"/>
  <c r="P316" i="8"/>
  <c r="P316" i="4" s="1"/>
  <c r="P317" i="8"/>
  <c r="P317" i="4" s="1"/>
  <c r="P318" i="8"/>
  <c r="P318" i="4" s="1"/>
  <c r="P319" i="8"/>
  <c r="P319" i="4" s="1"/>
  <c r="P320" i="8"/>
  <c r="P320" i="4" s="1"/>
  <c r="P321" i="8"/>
  <c r="P321" i="4" s="1"/>
  <c r="P322" i="8"/>
  <c r="P322" i="4" s="1"/>
  <c r="P323" i="8"/>
  <c r="P323" i="4" s="1"/>
  <c r="P324" i="8"/>
  <c r="P324" i="4" s="1"/>
  <c r="P325" i="8"/>
  <c r="P325" i="4" s="1"/>
  <c r="P326" i="8"/>
  <c r="P326" i="4" s="1"/>
  <c r="P327" i="8"/>
  <c r="P327" i="4" s="1"/>
  <c r="P328" i="8"/>
  <c r="P328" i="4" s="1"/>
  <c r="P329" i="8"/>
  <c r="P329" i="4" s="1"/>
  <c r="P330" i="8"/>
  <c r="P330" i="4" s="1"/>
  <c r="P331" i="8"/>
  <c r="P331" i="4" s="1"/>
  <c r="P332" i="8"/>
  <c r="P332" i="4" s="1"/>
  <c r="P333" i="8"/>
  <c r="P333" i="4" s="1"/>
  <c r="P334" i="8"/>
  <c r="P334" i="4" s="1"/>
  <c r="P335" i="8"/>
  <c r="P335" i="4" s="1"/>
  <c r="P336" i="8"/>
  <c r="P336" i="4" s="1"/>
  <c r="P337" i="8"/>
  <c r="P337" i="4" s="1"/>
  <c r="P338" i="8"/>
  <c r="P338" i="4" s="1"/>
  <c r="P339" i="8"/>
  <c r="P339" i="4" s="1"/>
  <c r="P340" i="8"/>
  <c r="P340" i="4" s="1"/>
  <c r="P341" i="8"/>
  <c r="P341" i="4" s="1"/>
  <c r="P342" i="8"/>
  <c r="P342" i="4" s="1"/>
  <c r="P343" i="8"/>
  <c r="P343" i="4" s="1"/>
  <c r="P344" i="8"/>
  <c r="P344" i="4" s="1"/>
  <c r="P345" i="8"/>
  <c r="P345" i="4" s="1"/>
  <c r="P346" i="8"/>
  <c r="P346" i="4" s="1"/>
  <c r="P347" i="8"/>
  <c r="P347" i="4" s="1"/>
  <c r="P348" i="8"/>
  <c r="P348" i="4" s="1"/>
  <c r="P349" i="8"/>
  <c r="P349" i="4" s="1"/>
  <c r="P350" i="8"/>
  <c r="P350" i="4" s="1"/>
  <c r="P351" i="8"/>
  <c r="P351" i="4" s="1"/>
  <c r="P352" i="8"/>
  <c r="P352" i="4" s="1"/>
  <c r="P353" i="8"/>
  <c r="P353" i="4" s="1"/>
  <c r="P354" i="8"/>
  <c r="P354" i="4" s="1"/>
  <c r="P355" i="8"/>
  <c r="P355" i="4" s="1"/>
  <c r="P356" i="8"/>
  <c r="P356" i="4" s="1"/>
  <c r="P357" i="8"/>
  <c r="P357" i="4" s="1"/>
  <c r="P358" i="8"/>
  <c r="P358" i="4" s="1"/>
  <c r="P359" i="8"/>
  <c r="P359" i="4" s="1"/>
  <c r="P360" i="8"/>
  <c r="P360" i="4" s="1"/>
  <c r="P361" i="8"/>
  <c r="P361" i="4" s="1"/>
  <c r="P362" i="8"/>
  <c r="P362" i="4" s="1"/>
  <c r="P363" i="8"/>
  <c r="P363" i="4" s="1"/>
  <c r="P364" i="8"/>
  <c r="P364" i="4" s="1"/>
  <c r="P365" i="8"/>
  <c r="P365" i="4" s="1"/>
  <c r="P366" i="8"/>
  <c r="P366" i="4" s="1"/>
  <c r="P367" i="8"/>
  <c r="P367" i="4" s="1"/>
  <c r="P368" i="8"/>
  <c r="P368" i="4" s="1"/>
  <c r="P369" i="8"/>
  <c r="P369" i="4" s="1"/>
  <c r="P370" i="8"/>
  <c r="P370" i="4" s="1"/>
  <c r="P371" i="8"/>
  <c r="P371" i="4" s="1"/>
  <c r="P372" i="8"/>
  <c r="P372" i="4" s="1"/>
  <c r="P373" i="8"/>
  <c r="P373" i="4" s="1"/>
  <c r="P374" i="8"/>
  <c r="P374" i="4" s="1"/>
  <c r="P375" i="8"/>
  <c r="P375" i="4" s="1"/>
  <c r="P376" i="8"/>
  <c r="P376" i="4" s="1"/>
  <c r="P377" i="8"/>
  <c r="P377" i="4" s="1"/>
  <c r="P378" i="8"/>
  <c r="P378" i="4" s="1"/>
  <c r="P379" i="8"/>
  <c r="P379" i="4" s="1"/>
  <c r="P380" i="8"/>
  <c r="P380" i="4" s="1"/>
  <c r="P381" i="8"/>
  <c r="P381" i="4" s="1"/>
  <c r="P382" i="8"/>
  <c r="P382" i="4" s="1"/>
  <c r="P383" i="8"/>
  <c r="P383" i="4" s="1"/>
  <c r="P384" i="8"/>
  <c r="P384" i="4" s="1"/>
  <c r="P385" i="8"/>
  <c r="P385" i="4" s="1"/>
  <c r="P386" i="8"/>
  <c r="P386" i="4" s="1"/>
  <c r="P387" i="8"/>
  <c r="P387" i="4" s="1"/>
  <c r="P388" i="8"/>
  <c r="P388" i="4" s="1"/>
  <c r="P389" i="8"/>
  <c r="P389" i="4" s="1"/>
  <c r="P390" i="8"/>
  <c r="P390" i="4" s="1"/>
  <c r="P391" i="8"/>
  <c r="P391" i="4" s="1"/>
  <c r="P392" i="8"/>
  <c r="P392" i="4" s="1"/>
  <c r="P393" i="8"/>
  <c r="P393" i="4" s="1"/>
  <c r="P394" i="8"/>
  <c r="P394" i="4" s="1"/>
  <c r="P395" i="8"/>
  <c r="P395" i="4" s="1"/>
  <c r="P396" i="8"/>
  <c r="P396" i="4" s="1"/>
  <c r="P397" i="8"/>
  <c r="P397" i="4" s="1"/>
  <c r="P398" i="8"/>
  <c r="P398" i="4" s="1"/>
  <c r="P399" i="8"/>
  <c r="P399" i="4" s="1"/>
  <c r="P400" i="8"/>
  <c r="P400" i="4" s="1"/>
  <c r="P401" i="8"/>
  <c r="P401" i="4" s="1"/>
  <c r="P402" i="8"/>
  <c r="P402" i="4" s="1"/>
  <c r="P403" i="8"/>
  <c r="P403" i="4" s="1"/>
  <c r="P404" i="8"/>
  <c r="P404" i="4" s="1"/>
  <c r="P405" i="8"/>
  <c r="P405" i="4" s="1"/>
  <c r="P406" i="8"/>
  <c r="P406" i="4" s="1"/>
  <c r="P407" i="8"/>
  <c r="P407" i="4" s="1"/>
  <c r="P408" i="8"/>
  <c r="P408" i="4" s="1"/>
  <c r="P409" i="8"/>
  <c r="P409" i="4" s="1"/>
  <c r="P410" i="8"/>
  <c r="P410" i="4" s="1"/>
  <c r="P411" i="8"/>
  <c r="P411" i="4" s="1"/>
  <c r="P412" i="8"/>
  <c r="P412" i="4" s="1"/>
  <c r="P413" i="8"/>
  <c r="P413" i="4" s="1"/>
  <c r="O278" i="8"/>
  <c r="O278" i="4" s="1"/>
  <c r="O279" i="8"/>
  <c r="O279" i="4" s="1"/>
  <c r="O280" i="8"/>
  <c r="O280" i="4" s="1"/>
  <c r="O281" i="8"/>
  <c r="O281" i="4" s="1"/>
  <c r="O282" i="8"/>
  <c r="O282" i="4" s="1"/>
  <c r="O283" i="8"/>
  <c r="O283" i="4" s="1"/>
  <c r="O284" i="8"/>
  <c r="O284" i="4" s="1"/>
  <c r="O285" i="8"/>
  <c r="O285" i="4" s="1"/>
  <c r="O286" i="8"/>
  <c r="O286" i="4" s="1"/>
  <c r="O287" i="8"/>
  <c r="O287" i="4" s="1"/>
  <c r="O288" i="8"/>
  <c r="O288" i="4" s="1"/>
  <c r="O289" i="8"/>
  <c r="O289" i="4" s="1"/>
  <c r="O290" i="8"/>
  <c r="O290" i="4" s="1"/>
  <c r="O291" i="8"/>
  <c r="O291" i="4" s="1"/>
  <c r="O292" i="8"/>
  <c r="O292" i="4" s="1"/>
  <c r="O293" i="8"/>
  <c r="O293" i="4" s="1"/>
  <c r="O294" i="8"/>
  <c r="O294" i="4" s="1"/>
  <c r="O295" i="8"/>
  <c r="O295" i="4" s="1"/>
  <c r="O296" i="8"/>
  <c r="O296" i="4" s="1"/>
  <c r="O297" i="8"/>
  <c r="O297" i="4" s="1"/>
  <c r="O298" i="8"/>
  <c r="O298" i="4" s="1"/>
  <c r="O299" i="8"/>
  <c r="O299" i="4" s="1"/>
  <c r="O300" i="8"/>
  <c r="O300" i="4" s="1"/>
  <c r="O301" i="8"/>
  <c r="O301" i="4" s="1"/>
  <c r="O302" i="8"/>
  <c r="O302" i="4" s="1"/>
  <c r="O303" i="8"/>
  <c r="O303" i="4" s="1"/>
  <c r="O304" i="8"/>
  <c r="O304" i="4" s="1"/>
  <c r="O305" i="8"/>
  <c r="O305" i="4" s="1"/>
  <c r="O306" i="8"/>
  <c r="O306" i="4" s="1"/>
  <c r="O307" i="8"/>
  <c r="O307" i="4" s="1"/>
  <c r="O308" i="8"/>
  <c r="O308" i="4" s="1"/>
  <c r="O309" i="8"/>
  <c r="O309" i="4" s="1"/>
  <c r="O310" i="8"/>
  <c r="O310" i="4" s="1"/>
  <c r="O311" i="8"/>
  <c r="O311" i="4" s="1"/>
  <c r="O312" i="8"/>
  <c r="O312" i="4" s="1"/>
  <c r="O313" i="8"/>
  <c r="O313" i="4" s="1"/>
  <c r="O314" i="8"/>
  <c r="O314" i="4" s="1"/>
  <c r="O315" i="8"/>
  <c r="O315" i="4" s="1"/>
  <c r="O316" i="8"/>
  <c r="O316" i="4" s="1"/>
  <c r="O317" i="8"/>
  <c r="O317" i="4" s="1"/>
  <c r="O318" i="8"/>
  <c r="O318" i="4" s="1"/>
  <c r="O319" i="8"/>
  <c r="O319" i="4" s="1"/>
  <c r="O320" i="8"/>
  <c r="O320" i="4" s="1"/>
  <c r="O321" i="8"/>
  <c r="O321" i="4" s="1"/>
  <c r="O322" i="8"/>
  <c r="O322" i="4" s="1"/>
  <c r="O323" i="8"/>
  <c r="O323" i="4" s="1"/>
  <c r="O324" i="8"/>
  <c r="O324" i="4" s="1"/>
  <c r="O325" i="8"/>
  <c r="O325" i="4" s="1"/>
  <c r="O326" i="8"/>
  <c r="O326" i="4" s="1"/>
  <c r="O327" i="8"/>
  <c r="O327" i="4" s="1"/>
  <c r="O328" i="8"/>
  <c r="O328" i="4" s="1"/>
  <c r="O329" i="8"/>
  <c r="O329" i="4" s="1"/>
  <c r="O330" i="8"/>
  <c r="O330" i="4" s="1"/>
  <c r="O331" i="8"/>
  <c r="O331" i="4" s="1"/>
  <c r="O332" i="8"/>
  <c r="O332" i="4" s="1"/>
  <c r="O333" i="8"/>
  <c r="O333" i="4" s="1"/>
  <c r="O334" i="8"/>
  <c r="O334" i="4" s="1"/>
  <c r="O335" i="8"/>
  <c r="O335" i="4" s="1"/>
  <c r="O336" i="8"/>
  <c r="O336" i="4" s="1"/>
  <c r="O337" i="8"/>
  <c r="O337" i="4" s="1"/>
  <c r="O338" i="8"/>
  <c r="O338" i="4" s="1"/>
  <c r="O339" i="8"/>
  <c r="O339" i="4" s="1"/>
  <c r="O340" i="8"/>
  <c r="O340" i="4" s="1"/>
  <c r="O341" i="8"/>
  <c r="O341" i="4" s="1"/>
  <c r="O342" i="8"/>
  <c r="O342" i="4" s="1"/>
  <c r="O343" i="8"/>
  <c r="O343" i="4" s="1"/>
  <c r="O344" i="8"/>
  <c r="O344" i="4" s="1"/>
  <c r="O345" i="8"/>
  <c r="O345" i="4" s="1"/>
  <c r="O346" i="8"/>
  <c r="O346" i="4" s="1"/>
  <c r="O347" i="8"/>
  <c r="O347" i="4" s="1"/>
  <c r="O348" i="8"/>
  <c r="O348" i="4" s="1"/>
  <c r="O349" i="8"/>
  <c r="O349" i="4" s="1"/>
  <c r="O350" i="8"/>
  <c r="O350" i="4" s="1"/>
  <c r="O351" i="8"/>
  <c r="O351" i="4" s="1"/>
  <c r="O352" i="8"/>
  <c r="O352" i="4" s="1"/>
  <c r="O353" i="8"/>
  <c r="O353" i="4" s="1"/>
  <c r="O354" i="8"/>
  <c r="O354" i="4" s="1"/>
  <c r="O355" i="8"/>
  <c r="O355" i="4" s="1"/>
  <c r="O356" i="8"/>
  <c r="O356" i="4" s="1"/>
  <c r="O357" i="8"/>
  <c r="O357" i="4" s="1"/>
  <c r="O358" i="8"/>
  <c r="O358" i="4" s="1"/>
  <c r="O359" i="8"/>
  <c r="O359" i="4" s="1"/>
  <c r="O360" i="8"/>
  <c r="O360" i="4" s="1"/>
  <c r="O361" i="8"/>
  <c r="O361" i="4" s="1"/>
  <c r="O362" i="8"/>
  <c r="O362" i="4" s="1"/>
  <c r="O363" i="8"/>
  <c r="O363" i="4" s="1"/>
  <c r="O364" i="8"/>
  <c r="O364" i="4" s="1"/>
  <c r="O365" i="8"/>
  <c r="O365" i="4" s="1"/>
  <c r="O366" i="8"/>
  <c r="O366" i="4" s="1"/>
  <c r="O367" i="8"/>
  <c r="O367" i="4" s="1"/>
  <c r="O368" i="8"/>
  <c r="O368" i="4" s="1"/>
  <c r="O369" i="8"/>
  <c r="O369" i="4" s="1"/>
  <c r="O370" i="8"/>
  <c r="O370" i="4" s="1"/>
  <c r="O371" i="8"/>
  <c r="O371" i="4" s="1"/>
  <c r="O372" i="8"/>
  <c r="O372" i="4" s="1"/>
  <c r="O373" i="8"/>
  <c r="O373" i="4" s="1"/>
  <c r="O374" i="8"/>
  <c r="O374" i="4" s="1"/>
  <c r="O375" i="8"/>
  <c r="O375" i="4" s="1"/>
  <c r="O376" i="8"/>
  <c r="O376" i="4" s="1"/>
  <c r="O377" i="8"/>
  <c r="O377" i="4" s="1"/>
  <c r="O378" i="8"/>
  <c r="O378" i="4" s="1"/>
  <c r="O379" i="8"/>
  <c r="O379" i="4" s="1"/>
  <c r="O380" i="8"/>
  <c r="O380" i="4" s="1"/>
  <c r="O381" i="8"/>
  <c r="O381" i="4" s="1"/>
  <c r="O382" i="8"/>
  <c r="O382" i="4" s="1"/>
  <c r="O383" i="8"/>
  <c r="O383" i="4" s="1"/>
  <c r="O384" i="8"/>
  <c r="O384" i="4" s="1"/>
  <c r="O385" i="8"/>
  <c r="O385" i="4" s="1"/>
  <c r="O386" i="8"/>
  <c r="O386" i="4" s="1"/>
  <c r="O387" i="8"/>
  <c r="O387" i="4" s="1"/>
  <c r="O388" i="8"/>
  <c r="O388" i="4" s="1"/>
  <c r="O389" i="8"/>
  <c r="O389" i="4" s="1"/>
  <c r="O390" i="8"/>
  <c r="O390" i="4" s="1"/>
  <c r="O391" i="8"/>
  <c r="O391" i="4" s="1"/>
  <c r="O392" i="8"/>
  <c r="O392" i="4" s="1"/>
  <c r="O393" i="8"/>
  <c r="O393" i="4" s="1"/>
  <c r="O394" i="8"/>
  <c r="O394" i="4" s="1"/>
  <c r="O395" i="8"/>
  <c r="O395" i="4" s="1"/>
  <c r="O396" i="8"/>
  <c r="O396" i="4" s="1"/>
  <c r="O397" i="8"/>
  <c r="O397" i="4" s="1"/>
  <c r="O398" i="8"/>
  <c r="O398" i="4" s="1"/>
  <c r="O399" i="8"/>
  <c r="O399" i="4" s="1"/>
  <c r="O400" i="8"/>
  <c r="O400" i="4" s="1"/>
  <c r="O401" i="8"/>
  <c r="O401" i="4" s="1"/>
  <c r="O402" i="8"/>
  <c r="O402" i="4" s="1"/>
  <c r="O403" i="8"/>
  <c r="O403" i="4" s="1"/>
  <c r="O404" i="8"/>
  <c r="O404" i="4" s="1"/>
  <c r="O405" i="8"/>
  <c r="O405" i="4" s="1"/>
  <c r="O406" i="8"/>
  <c r="O406" i="4" s="1"/>
  <c r="O407" i="8"/>
  <c r="O407" i="4" s="1"/>
  <c r="O408" i="8"/>
  <c r="O408" i="4" s="1"/>
  <c r="O409" i="8"/>
  <c r="O409" i="4" s="1"/>
  <c r="O410" i="8"/>
  <c r="O410" i="4" s="1"/>
  <c r="O411" i="8"/>
  <c r="O411" i="4" s="1"/>
  <c r="O412" i="8"/>
  <c r="O412" i="4" s="1"/>
  <c r="O413" i="8"/>
  <c r="O413" i="4" s="1"/>
  <c r="N278" i="8"/>
  <c r="N278" i="4" s="1"/>
  <c r="N279" i="8"/>
  <c r="N279" i="4" s="1"/>
  <c r="N280" i="8"/>
  <c r="N280" i="4" s="1"/>
  <c r="N281" i="8"/>
  <c r="N281" i="4" s="1"/>
  <c r="N282" i="8"/>
  <c r="N282" i="4" s="1"/>
  <c r="N283" i="8"/>
  <c r="N283" i="4" s="1"/>
  <c r="N284" i="8"/>
  <c r="N284" i="4" s="1"/>
  <c r="N285" i="8"/>
  <c r="N285" i="4" s="1"/>
  <c r="N286" i="8"/>
  <c r="N286" i="4" s="1"/>
  <c r="N287" i="8"/>
  <c r="N287" i="4" s="1"/>
  <c r="N288" i="8"/>
  <c r="N288" i="4" s="1"/>
  <c r="N289" i="8"/>
  <c r="N289" i="4" s="1"/>
  <c r="N290" i="8"/>
  <c r="N290" i="4" s="1"/>
  <c r="N291" i="8"/>
  <c r="N291" i="4" s="1"/>
  <c r="N292" i="8"/>
  <c r="N292" i="4" s="1"/>
  <c r="N293" i="8"/>
  <c r="N293" i="4" s="1"/>
  <c r="N294" i="8"/>
  <c r="N294" i="4" s="1"/>
  <c r="N295" i="8"/>
  <c r="N295" i="4" s="1"/>
  <c r="N296" i="8"/>
  <c r="N296" i="4" s="1"/>
  <c r="N297" i="8"/>
  <c r="N297" i="4" s="1"/>
  <c r="N298" i="8"/>
  <c r="N298" i="4" s="1"/>
  <c r="N299" i="8"/>
  <c r="N299" i="4" s="1"/>
  <c r="N300" i="8"/>
  <c r="N300" i="4" s="1"/>
  <c r="N301" i="8"/>
  <c r="N301" i="4" s="1"/>
  <c r="N302" i="8"/>
  <c r="N302" i="4" s="1"/>
  <c r="N303" i="8"/>
  <c r="N303" i="4" s="1"/>
  <c r="N304" i="8"/>
  <c r="N304" i="4" s="1"/>
  <c r="N305" i="8"/>
  <c r="N305" i="4" s="1"/>
  <c r="N306" i="8"/>
  <c r="N306" i="4" s="1"/>
  <c r="N307" i="8"/>
  <c r="N307" i="4" s="1"/>
  <c r="N308" i="8"/>
  <c r="N308" i="4" s="1"/>
  <c r="N309" i="8"/>
  <c r="N309" i="4" s="1"/>
  <c r="N310" i="8"/>
  <c r="N310" i="4" s="1"/>
  <c r="N311" i="8"/>
  <c r="N312" i="8"/>
  <c r="N312" i="4" s="1"/>
  <c r="N313" i="8"/>
  <c r="N313" i="4" s="1"/>
  <c r="N314" i="8"/>
  <c r="N314" i="4" s="1"/>
  <c r="N315" i="8"/>
  <c r="N315" i="4" s="1"/>
  <c r="N316" i="8"/>
  <c r="N316" i="4" s="1"/>
  <c r="N317" i="8"/>
  <c r="N317" i="4" s="1"/>
  <c r="N318" i="8"/>
  <c r="N318" i="4" s="1"/>
  <c r="N319" i="8"/>
  <c r="N319" i="4" s="1"/>
  <c r="N320" i="8"/>
  <c r="N320" i="4" s="1"/>
  <c r="N321" i="8"/>
  <c r="N321" i="4" s="1"/>
  <c r="N322" i="8"/>
  <c r="N322" i="4" s="1"/>
  <c r="N323" i="8"/>
  <c r="N323" i="4" s="1"/>
  <c r="N324" i="8"/>
  <c r="N324" i="4" s="1"/>
  <c r="N325" i="8"/>
  <c r="N325" i="4" s="1"/>
  <c r="N326" i="8"/>
  <c r="N326" i="4" s="1"/>
  <c r="N327" i="8"/>
  <c r="N327" i="4" s="1"/>
  <c r="N328" i="8"/>
  <c r="N328" i="4" s="1"/>
  <c r="N329" i="8"/>
  <c r="N329" i="4" s="1"/>
  <c r="N330" i="8"/>
  <c r="N330" i="4" s="1"/>
  <c r="N331" i="8"/>
  <c r="N331" i="4" s="1"/>
  <c r="N332" i="8"/>
  <c r="N332" i="4" s="1"/>
  <c r="N333" i="8"/>
  <c r="N333" i="4" s="1"/>
  <c r="N334" i="8"/>
  <c r="N334" i="4" s="1"/>
  <c r="N335" i="8"/>
  <c r="N335" i="4" s="1"/>
  <c r="N336" i="8"/>
  <c r="N336" i="4" s="1"/>
  <c r="N337" i="8"/>
  <c r="N337" i="4" s="1"/>
  <c r="N338" i="8"/>
  <c r="N338" i="4" s="1"/>
  <c r="N339" i="8"/>
  <c r="N339" i="4" s="1"/>
  <c r="N340" i="8"/>
  <c r="N340" i="4" s="1"/>
  <c r="N341" i="8"/>
  <c r="N341" i="4" s="1"/>
  <c r="N342" i="8"/>
  <c r="N342" i="4" s="1"/>
  <c r="N343" i="8"/>
  <c r="N343" i="4" s="1"/>
  <c r="N344" i="8"/>
  <c r="N344" i="4" s="1"/>
  <c r="N345" i="8"/>
  <c r="N345" i="4" s="1"/>
  <c r="N346" i="8"/>
  <c r="N346" i="4" s="1"/>
  <c r="N347" i="8"/>
  <c r="N347" i="4" s="1"/>
  <c r="N348" i="8"/>
  <c r="N348" i="4" s="1"/>
  <c r="N349" i="8"/>
  <c r="N349" i="4" s="1"/>
  <c r="N350" i="8"/>
  <c r="N350" i="4" s="1"/>
  <c r="N351" i="8"/>
  <c r="N351" i="4" s="1"/>
  <c r="N352" i="8"/>
  <c r="N352" i="4" s="1"/>
  <c r="N353" i="8"/>
  <c r="N354" i="8"/>
  <c r="N354" i="4" s="1"/>
  <c r="N355" i="8"/>
  <c r="N355" i="4" s="1"/>
  <c r="N356" i="8"/>
  <c r="N356" i="4" s="1"/>
  <c r="N357" i="8"/>
  <c r="N357" i="4" s="1"/>
  <c r="N358" i="8"/>
  <c r="N358" i="4" s="1"/>
  <c r="N359" i="8"/>
  <c r="N359" i="4" s="1"/>
  <c r="N360" i="8"/>
  <c r="N360" i="4" s="1"/>
  <c r="N361" i="8"/>
  <c r="N361" i="4" s="1"/>
  <c r="N362" i="8"/>
  <c r="N362" i="4" s="1"/>
  <c r="N363" i="8"/>
  <c r="N363" i="4" s="1"/>
  <c r="N364" i="8"/>
  <c r="N364" i="4" s="1"/>
  <c r="N365" i="8"/>
  <c r="N366" i="8"/>
  <c r="N366" i="4" s="1"/>
  <c r="N367" i="8"/>
  <c r="N367" i="4" s="1"/>
  <c r="N368" i="8"/>
  <c r="N368" i="4" s="1"/>
  <c r="N369" i="8"/>
  <c r="N369" i="4" s="1"/>
  <c r="N370" i="8"/>
  <c r="N370" i="4" s="1"/>
  <c r="N371" i="8"/>
  <c r="N371" i="4" s="1"/>
  <c r="N372" i="8"/>
  <c r="N373" i="8"/>
  <c r="N373" i="4" s="1"/>
  <c r="N374" i="8"/>
  <c r="N374" i="4" s="1"/>
  <c r="N375" i="8"/>
  <c r="N375" i="4" s="1"/>
  <c r="N376" i="8"/>
  <c r="N376" i="4" s="1"/>
  <c r="N377" i="8"/>
  <c r="N377" i="4" s="1"/>
  <c r="N378" i="8"/>
  <c r="N378" i="4" s="1"/>
  <c r="N379" i="8"/>
  <c r="N379" i="4" s="1"/>
  <c r="N380" i="8"/>
  <c r="N380" i="4" s="1"/>
  <c r="N381" i="8"/>
  <c r="N381" i="4" s="1"/>
  <c r="N382" i="8"/>
  <c r="N382" i="4" s="1"/>
  <c r="N383" i="8"/>
  <c r="N384" i="8"/>
  <c r="N384" i="4" s="1"/>
  <c r="N385" i="8"/>
  <c r="N385" i="4" s="1"/>
  <c r="N386" i="8"/>
  <c r="N386" i="4" s="1"/>
  <c r="N387" i="8"/>
  <c r="N387" i="4" s="1"/>
  <c r="N388" i="8"/>
  <c r="N388" i="4" s="1"/>
  <c r="N389" i="8"/>
  <c r="N389" i="4" s="1"/>
  <c r="N390" i="8"/>
  <c r="N390" i="4" s="1"/>
  <c r="N391" i="8"/>
  <c r="N391" i="4" s="1"/>
  <c r="N392" i="8"/>
  <c r="N392" i="4" s="1"/>
  <c r="N393" i="8"/>
  <c r="N393" i="4" s="1"/>
  <c r="N394" i="8"/>
  <c r="N394" i="4" s="1"/>
  <c r="N395" i="8"/>
  <c r="N395" i="4" s="1"/>
  <c r="N396" i="8"/>
  <c r="N396" i="4" s="1"/>
  <c r="N397" i="8"/>
  <c r="N397" i="4" s="1"/>
  <c r="N398" i="8"/>
  <c r="N398" i="4" s="1"/>
  <c r="N399" i="8"/>
  <c r="N399" i="4" s="1"/>
  <c r="N400" i="8"/>
  <c r="N400" i="4" s="1"/>
  <c r="N401" i="8"/>
  <c r="N401" i="4" s="1"/>
  <c r="N402" i="8"/>
  <c r="N402" i="4" s="1"/>
  <c r="N403" i="8"/>
  <c r="N403" i="4" s="1"/>
  <c r="N404" i="8"/>
  <c r="N405" i="8"/>
  <c r="N405" i="4" s="1"/>
  <c r="N406" i="8"/>
  <c r="N406" i="4" s="1"/>
  <c r="N407" i="8"/>
  <c r="N407" i="4" s="1"/>
  <c r="N408" i="8"/>
  <c r="N408" i="4" s="1"/>
  <c r="N409" i="8"/>
  <c r="N409" i="4" s="1"/>
  <c r="N410" i="8"/>
  <c r="N410" i="4" s="1"/>
  <c r="N411" i="8"/>
  <c r="N411" i="4" s="1"/>
  <c r="N412" i="8"/>
  <c r="N412" i="4" s="1"/>
  <c r="N413" i="8"/>
  <c r="N413" i="4" s="1"/>
  <c r="AX278" i="8"/>
  <c r="AX278" i="4" s="1"/>
  <c r="AX279" i="8"/>
  <c r="AX279" i="4" s="1"/>
  <c r="AX280" i="8"/>
  <c r="AX280" i="4" s="1"/>
  <c r="AX281" i="8"/>
  <c r="AX281" i="4" s="1"/>
  <c r="AX282" i="8"/>
  <c r="AX282" i="4" s="1"/>
  <c r="AX283" i="8"/>
  <c r="AX283" i="4" s="1"/>
  <c r="AX284" i="8"/>
  <c r="AX284" i="4" s="1"/>
  <c r="AX285" i="8"/>
  <c r="AX285" i="4" s="1"/>
  <c r="AX286" i="8"/>
  <c r="AX286" i="4" s="1"/>
  <c r="AX287" i="8"/>
  <c r="AX287" i="4" s="1"/>
  <c r="AX288" i="8"/>
  <c r="AX288" i="4" s="1"/>
  <c r="AX289" i="8"/>
  <c r="AX289" i="4" s="1"/>
  <c r="AX290" i="8"/>
  <c r="AX290" i="4" s="1"/>
  <c r="AX291" i="8"/>
  <c r="AX291" i="4" s="1"/>
  <c r="AX292" i="8"/>
  <c r="AX292" i="4" s="1"/>
  <c r="AX293" i="8"/>
  <c r="AX293" i="4" s="1"/>
  <c r="AX294" i="8"/>
  <c r="AX294" i="4" s="1"/>
  <c r="AX295" i="8"/>
  <c r="AX295" i="4" s="1"/>
  <c r="AX296" i="8"/>
  <c r="AX296" i="4" s="1"/>
  <c r="AX297" i="8"/>
  <c r="AX297" i="4" s="1"/>
  <c r="AX298" i="8"/>
  <c r="AX298" i="4" s="1"/>
  <c r="AX299" i="8"/>
  <c r="AX299" i="4" s="1"/>
  <c r="AX300" i="8"/>
  <c r="AX300" i="4" s="1"/>
  <c r="AX301" i="8"/>
  <c r="AX301" i="4" s="1"/>
  <c r="AX302" i="8"/>
  <c r="AX302" i="4" s="1"/>
  <c r="AX303" i="8"/>
  <c r="AX303" i="4" s="1"/>
  <c r="AX304" i="8"/>
  <c r="AX304" i="4" s="1"/>
  <c r="AX305" i="8"/>
  <c r="AX305" i="4" s="1"/>
  <c r="AX306" i="8"/>
  <c r="AX306" i="4" s="1"/>
  <c r="AX307" i="8"/>
  <c r="AX307" i="4" s="1"/>
  <c r="AX308" i="8"/>
  <c r="AX308" i="4" s="1"/>
  <c r="AX309" i="8"/>
  <c r="AX309" i="4" s="1"/>
  <c r="AX310" i="8"/>
  <c r="AX310" i="4" s="1"/>
  <c r="AX311" i="8"/>
  <c r="AX312" i="8"/>
  <c r="AX312" i="4" s="1"/>
  <c r="AX313" i="8"/>
  <c r="AX313" i="4" s="1"/>
  <c r="AX314" i="8"/>
  <c r="AX314" i="4" s="1"/>
  <c r="AX315" i="8"/>
  <c r="AX315" i="4" s="1"/>
  <c r="AX316" i="8"/>
  <c r="AX316" i="4" s="1"/>
  <c r="AX317" i="8"/>
  <c r="AX317" i="4" s="1"/>
  <c r="AX318" i="8"/>
  <c r="AX318" i="4" s="1"/>
  <c r="AX319" i="8"/>
  <c r="AX319" i="4" s="1"/>
  <c r="AX320" i="8"/>
  <c r="AX320" i="4" s="1"/>
  <c r="AX321" i="8"/>
  <c r="AX321" i="4" s="1"/>
  <c r="AX322" i="8"/>
  <c r="AX322" i="4" s="1"/>
  <c r="AX323" i="8"/>
  <c r="AX323" i="4" s="1"/>
  <c r="AX324" i="8"/>
  <c r="AX324" i="4" s="1"/>
  <c r="AX325" i="8"/>
  <c r="AX325" i="4" s="1"/>
  <c r="AX326" i="8"/>
  <c r="AX326" i="4" s="1"/>
  <c r="AX327" i="8"/>
  <c r="AX327" i="4" s="1"/>
  <c r="AX328" i="8"/>
  <c r="AX328" i="4" s="1"/>
  <c r="AX329" i="8"/>
  <c r="AX329" i="4" s="1"/>
  <c r="AX330" i="8"/>
  <c r="AX330" i="4" s="1"/>
  <c r="AX331" i="8"/>
  <c r="AX331" i="4" s="1"/>
  <c r="AX332" i="8"/>
  <c r="AX332" i="4" s="1"/>
  <c r="AX333" i="8"/>
  <c r="AX333" i="4" s="1"/>
  <c r="AX334" i="8"/>
  <c r="AX334" i="4" s="1"/>
  <c r="AX335" i="8"/>
  <c r="AX335" i="4" s="1"/>
  <c r="AX336" i="8"/>
  <c r="AX336" i="4" s="1"/>
  <c r="AX337" i="8"/>
  <c r="AX337" i="4" s="1"/>
  <c r="AX338" i="8"/>
  <c r="AX338" i="4" s="1"/>
  <c r="AX339" i="8"/>
  <c r="AX339" i="4" s="1"/>
  <c r="AX340" i="8"/>
  <c r="AX340" i="4" s="1"/>
  <c r="AX341" i="8"/>
  <c r="AX341" i="4" s="1"/>
  <c r="AX342" i="8"/>
  <c r="AX342" i="4" s="1"/>
  <c r="AX343" i="8"/>
  <c r="AX343" i="4" s="1"/>
  <c r="AX344" i="8"/>
  <c r="AX344" i="4" s="1"/>
  <c r="AX345" i="8"/>
  <c r="AX345" i="4" s="1"/>
  <c r="AX346" i="8"/>
  <c r="AX346" i="4" s="1"/>
  <c r="AX347" i="8"/>
  <c r="AX347" i="4" s="1"/>
  <c r="AX348" i="8"/>
  <c r="AX348" i="4" s="1"/>
  <c r="AX349" i="8"/>
  <c r="AX349" i="4" s="1"/>
  <c r="AX350" i="8"/>
  <c r="AX350" i="4" s="1"/>
  <c r="AX351" i="8"/>
  <c r="AX351" i="4" s="1"/>
  <c r="AX352" i="8"/>
  <c r="AX352" i="4" s="1"/>
  <c r="AX353" i="8"/>
  <c r="AX354" i="8"/>
  <c r="AX354" i="4" s="1"/>
  <c r="AX355" i="8"/>
  <c r="AX355" i="4" s="1"/>
  <c r="AX356" i="8"/>
  <c r="AX356" i="4" s="1"/>
  <c r="AX357" i="8"/>
  <c r="AX357" i="4" s="1"/>
  <c r="AX358" i="8"/>
  <c r="AX358" i="4" s="1"/>
  <c r="AX359" i="8"/>
  <c r="AX359" i="4" s="1"/>
  <c r="AX360" i="8"/>
  <c r="AX360" i="4" s="1"/>
  <c r="AX361" i="8"/>
  <c r="AX361" i="4" s="1"/>
  <c r="AX362" i="8"/>
  <c r="AX362" i="4" s="1"/>
  <c r="AX363" i="8"/>
  <c r="AX363" i="4" s="1"/>
  <c r="AX364" i="8"/>
  <c r="AX364" i="4" s="1"/>
  <c r="AX365" i="8"/>
  <c r="AX366" i="8"/>
  <c r="AX366" i="4" s="1"/>
  <c r="AX367" i="8"/>
  <c r="AX367" i="4" s="1"/>
  <c r="AX368" i="8"/>
  <c r="AX368" i="4" s="1"/>
  <c r="AX369" i="8"/>
  <c r="AX369" i="4" s="1"/>
  <c r="AX370" i="8"/>
  <c r="AX370" i="4" s="1"/>
  <c r="AX371" i="8"/>
  <c r="AX371" i="4" s="1"/>
  <c r="AX372" i="8"/>
  <c r="AX372" i="4" s="1"/>
  <c r="AX373" i="8"/>
  <c r="AX373" i="4" s="1"/>
  <c r="AX374" i="8"/>
  <c r="AX374" i="4" s="1"/>
  <c r="AX375" i="8"/>
  <c r="AX375" i="4" s="1"/>
  <c r="AX376" i="8"/>
  <c r="AX376" i="4" s="1"/>
  <c r="AX377" i="8"/>
  <c r="AX377" i="4" s="1"/>
  <c r="AX378" i="8"/>
  <c r="AX378" i="4" s="1"/>
  <c r="AX379" i="8"/>
  <c r="AX379" i="4" s="1"/>
  <c r="AX380" i="8"/>
  <c r="AX380" i="4" s="1"/>
  <c r="AX381" i="8"/>
  <c r="AX381" i="4" s="1"/>
  <c r="AX382" i="8"/>
  <c r="AX382" i="4" s="1"/>
  <c r="AX383" i="8"/>
  <c r="AX383" i="4" s="1"/>
  <c r="AX384" i="8"/>
  <c r="AX384" i="4" s="1"/>
  <c r="AX385" i="8"/>
  <c r="AX385" i="4" s="1"/>
  <c r="AX386" i="8"/>
  <c r="AX386" i="4" s="1"/>
  <c r="AX387" i="8"/>
  <c r="AX387" i="4" s="1"/>
  <c r="AX388" i="8"/>
  <c r="AX388" i="4" s="1"/>
  <c r="AX389" i="8"/>
  <c r="AX389" i="4" s="1"/>
  <c r="AX390" i="8"/>
  <c r="AX390" i="4" s="1"/>
  <c r="AX391" i="8"/>
  <c r="AX391" i="4" s="1"/>
  <c r="AX392" i="8"/>
  <c r="AX392" i="4" s="1"/>
  <c r="AX393" i="8"/>
  <c r="AX393" i="4" s="1"/>
  <c r="AX394" i="8"/>
  <c r="AX394" i="4" s="1"/>
  <c r="AX395" i="8"/>
  <c r="AX395" i="4" s="1"/>
  <c r="AX396" i="8"/>
  <c r="AX396" i="4" s="1"/>
  <c r="AX397" i="8"/>
  <c r="AX397" i="4" s="1"/>
  <c r="AX398" i="8"/>
  <c r="AX398" i="4" s="1"/>
  <c r="AX399" i="8"/>
  <c r="AX399" i="4" s="1"/>
  <c r="AX400" i="8"/>
  <c r="AX400" i="4" s="1"/>
  <c r="AX401" i="8"/>
  <c r="AX401" i="4" s="1"/>
  <c r="AX402" i="8"/>
  <c r="AX402" i="4" s="1"/>
  <c r="AX403" i="8"/>
  <c r="AX403" i="4" s="1"/>
  <c r="AX404" i="8"/>
  <c r="AX405" i="8"/>
  <c r="AX405" i="4" s="1"/>
  <c r="AX406" i="8"/>
  <c r="AX406" i="4" s="1"/>
  <c r="AX407" i="8"/>
  <c r="AX407" i="4" s="1"/>
  <c r="AX408" i="8"/>
  <c r="AX408" i="4" s="1"/>
  <c r="AX409" i="8"/>
  <c r="AX409" i="4" s="1"/>
  <c r="AX410" i="8"/>
  <c r="AX410" i="4" s="1"/>
  <c r="AX411" i="8"/>
  <c r="AX411" i="4" s="1"/>
  <c r="AX412" i="8"/>
  <c r="AX412" i="4" s="1"/>
  <c r="AX413" i="8"/>
  <c r="AX413" i="4" s="1"/>
  <c r="AW278" i="8"/>
  <c r="AW278" i="4" s="1"/>
  <c r="AW279" i="8"/>
  <c r="AW279" i="4" s="1"/>
  <c r="AW280" i="8"/>
  <c r="AW280" i="4" s="1"/>
  <c r="AW281" i="8"/>
  <c r="AW281" i="4" s="1"/>
  <c r="AW282" i="8"/>
  <c r="AW282" i="4" s="1"/>
  <c r="AW283" i="8"/>
  <c r="AW283" i="4" s="1"/>
  <c r="AW284" i="8"/>
  <c r="AW284" i="4" s="1"/>
  <c r="AW285" i="8"/>
  <c r="AW285" i="4" s="1"/>
  <c r="AW286" i="8"/>
  <c r="AW286" i="4" s="1"/>
  <c r="AW287" i="8"/>
  <c r="AW287" i="4" s="1"/>
  <c r="AW288" i="8"/>
  <c r="AW288" i="4" s="1"/>
  <c r="AW289" i="8"/>
  <c r="AW289" i="4" s="1"/>
  <c r="AW290" i="8"/>
  <c r="AW290" i="4" s="1"/>
  <c r="AW291" i="8"/>
  <c r="AW291" i="4" s="1"/>
  <c r="AW292" i="8"/>
  <c r="AW292" i="4" s="1"/>
  <c r="AW293" i="8"/>
  <c r="AW293" i="4" s="1"/>
  <c r="AW294" i="8"/>
  <c r="AW294" i="4" s="1"/>
  <c r="AW295" i="8"/>
  <c r="AW295" i="4" s="1"/>
  <c r="AW296" i="8"/>
  <c r="AW296" i="4" s="1"/>
  <c r="AW297" i="8"/>
  <c r="AW297" i="4" s="1"/>
  <c r="AW298" i="8"/>
  <c r="AW298" i="4" s="1"/>
  <c r="AW299" i="8"/>
  <c r="AW299" i="4" s="1"/>
  <c r="AW300" i="8"/>
  <c r="AW300" i="4" s="1"/>
  <c r="AW301" i="8"/>
  <c r="AW301" i="4" s="1"/>
  <c r="AW302" i="8"/>
  <c r="AW302" i="4" s="1"/>
  <c r="AW303" i="8"/>
  <c r="AW303" i="4" s="1"/>
  <c r="AW304" i="8"/>
  <c r="AW304" i="4" s="1"/>
  <c r="AW305" i="8"/>
  <c r="AW305" i="4" s="1"/>
  <c r="AW306" i="8"/>
  <c r="AW306" i="4" s="1"/>
  <c r="AW307" i="8"/>
  <c r="AW307" i="4" s="1"/>
  <c r="AW308" i="8"/>
  <c r="AW308" i="4" s="1"/>
  <c r="AW309" i="8"/>
  <c r="AW309" i="4" s="1"/>
  <c r="AW310" i="8"/>
  <c r="AW310" i="4" s="1"/>
  <c r="AW311" i="8"/>
  <c r="AW312" i="8"/>
  <c r="AW312" i="4" s="1"/>
  <c r="AW313" i="8"/>
  <c r="AW313" i="4" s="1"/>
  <c r="AW314" i="8"/>
  <c r="AW314" i="4" s="1"/>
  <c r="AW315" i="8"/>
  <c r="AW315" i="4" s="1"/>
  <c r="AW316" i="8"/>
  <c r="AW316" i="4" s="1"/>
  <c r="AW317" i="8"/>
  <c r="AW317" i="4" s="1"/>
  <c r="AW318" i="8"/>
  <c r="AW318" i="4" s="1"/>
  <c r="AW319" i="8"/>
  <c r="AW319" i="4" s="1"/>
  <c r="AW320" i="8"/>
  <c r="AW320" i="4" s="1"/>
  <c r="AW321" i="8"/>
  <c r="AW321" i="4" s="1"/>
  <c r="AW322" i="8"/>
  <c r="AW322" i="4" s="1"/>
  <c r="AW323" i="8"/>
  <c r="AW323" i="4" s="1"/>
  <c r="AW324" i="8"/>
  <c r="AW324" i="4" s="1"/>
  <c r="AW325" i="8"/>
  <c r="AW325" i="4" s="1"/>
  <c r="AW326" i="8"/>
  <c r="AW326" i="4" s="1"/>
  <c r="AW327" i="8"/>
  <c r="AW327" i="4" s="1"/>
  <c r="AW328" i="8"/>
  <c r="AW328" i="4" s="1"/>
  <c r="AW329" i="8"/>
  <c r="AW329" i="4" s="1"/>
  <c r="AW330" i="8"/>
  <c r="AW330" i="4" s="1"/>
  <c r="AW331" i="8"/>
  <c r="AW331" i="4" s="1"/>
  <c r="AW332" i="8"/>
  <c r="AW332" i="4" s="1"/>
  <c r="AW333" i="8"/>
  <c r="AW333" i="4" s="1"/>
  <c r="AW334" i="8"/>
  <c r="AW334" i="4" s="1"/>
  <c r="AW335" i="8"/>
  <c r="AW335" i="4" s="1"/>
  <c r="AW336" i="8"/>
  <c r="AW336" i="4" s="1"/>
  <c r="AW337" i="8"/>
  <c r="AW337" i="4" s="1"/>
  <c r="AW338" i="8"/>
  <c r="AW338" i="4" s="1"/>
  <c r="AW339" i="8"/>
  <c r="AW339" i="4" s="1"/>
  <c r="AW340" i="8"/>
  <c r="AW340" i="4" s="1"/>
  <c r="AW341" i="8"/>
  <c r="AW341" i="4" s="1"/>
  <c r="AW342" i="8"/>
  <c r="AW342" i="4" s="1"/>
  <c r="AW343" i="8"/>
  <c r="AW343" i="4" s="1"/>
  <c r="AW344" i="8"/>
  <c r="AW344" i="4" s="1"/>
  <c r="AW345" i="8"/>
  <c r="AW345" i="4" s="1"/>
  <c r="AW346" i="8"/>
  <c r="AW346" i="4" s="1"/>
  <c r="AW347" i="8"/>
  <c r="AW347" i="4" s="1"/>
  <c r="AW348" i="8"/>
  <c r="AW348" i="4" s="1"/>
  <c r="AW349" i="8"/>
  <c r="AW349" i="4" s="1"/>
  <c r="AW350" i="8"/>
  <c r="AW350" i="4" s="1"/>
  <c r="AW351" i="8"/>
  <c r="AW351" i="4" s="1"/>
  <c r="AW352" i="8"/>
  <c r="AW352" i="4" s="1"/>
  <c r="AW353" i="8"/>
  <c r="AW354" i="8"/>
  <c r="AW354" i="4" s="1"/>
  <c r="AW355" i="8"/>
  <c r="AW355" i="4" s="1"/>
  <c r="AW356" i="8"/>
  <c r="AW356" i="4" s="1"/>
  <c r="AW357" i="8"/>
  <c r="AW357" i="4" s="1"/>
  <c r="AW358" i="8"/>
  <c r="AW358" i="4" s="1"/>
  <c r="AW359" i="8"/>
  <c r="AW359" i="4" s="1"/>
  <c r="AW360" i="8"/>
  <c r="AW360" i="4" s="1"/>
  <c r="AW361" i="8"/>
  <c r="AW361" i="4" s="1"/>
  <c r="AW362" i="8"/>
  <c r="AW362" i="4" s="1"/>
  <c r="AW363" i="8"/>
  <c r="AW363" i="4" s="1"/>
  <c r="AW364" i="8"/>
  <c r="AW364" i="4" s="1"/>
  <c r="AW365" i="8"/>
  <c r="AW366" i="8"/>
  <c r="AW366" i="4" s="1"/>
  <c r="AW367" i="8"/>
  <c r="AW367" i="4" s="1"/>
  <c r="AW368" i="8"/>
  <c r="AW368" i="4" s="1"/>
  <c r="AW369" i="8"/>
  <c r="AW369" i="4" s="1"/>
  <c r="AW370" i="8"/>
  <c r="AW370" i="4" s="1"/>
  <c r="AW371" i="8"/>
  <c r="AW371" i="4" s="1"/>
  <c r="AW372" i="8"/>
  <c r="AW372" i="4" s="1"/>
  <c r="AW373" i="8"/>
  <c r="AW373" i="4" s="1"/>
  <c r="AW374" i="8"/>
  <c r="AW374" i="4" s="1"/>
  <c r="AW375" i="8"/>
  <c r="AW375" i="4" s="1"/>
  <c r="AW376" i="8"/>
  <c r="AW376" i="4" s="1"/>
  <c r="AW377" i="8"/>
  <c r="AW377" i="4" s="1"/>
  <c r="AW378" i="8"/>
  <c r="AW378" i="4" s="1"/>
  <c r="AW379" i="8"/>
  <c r="AW379" i="4" s="1"/>
  <c r="AW380" i="8"/>
  <c r="AW380" i="4" s="1"/>
  <c r="AW381" i="8"/>
  <c r="AW381" i="4" s="1"/>
  <c r="AW382" i="8"/>
  <c r="AW382" i="4" s="1"/>
  <c r="AW383" i="8"/>
  <c r="AW383" i="4" s="1"/>
  <c r="AW384" i="8"/>
  <c r="AW384" i="4" s="1"/>
  <c r="AW385" i="8"/>
  <c r="AW385" i="4" s="1"/>
  <c r="AW386" i="8"/>
  <c r="AW386" i="4" s="1"/>
  <c r="AW387" i="8"/>
  <c r="AW387" i="4" s="1"/>
  <c r="AW388" i="8"/>
  <c r="AW388" i="4" s="1"/>
  <c r="AW389" i="8"/>
  <c r="AW389" i="4" s="1"/>
  <c r="AW390" i="8"/>
  <c r="AW390" i="4" s="1"/>
  <c r="AW391" i="8"/>
  <c r="AW391" i="4" s="1"/>
  <c r="AW392" i="8"/>
  <c r="AW392" i="4" s="1"/>
  <c r="AW393" i="8"/>
  <c r="AW393" i="4" s="1"/>
  <c r="AW394" i="8"/>
  <c r="AW394" i="4" s="1"/>
  <c r="AW395" i="8"/>
  <c r="AW395" i="4" s="1"/>
  <c r="AW396" i="8"/>
  <c r="AW396" i="4" s="1"/>
  <c r="AW397" i="8"/>
  <c r="AW397" i="4" s="1"/>
  <c r="AW398" i="8"/>
  <c r="AW398" i="4" s="1"/>
  <c r="AW399" i="8"/>
  <c r="AW399" i="4" s="1"/>
  <c r="AW400" i="8"/>
  <c r="AW400" i="4" s="1"/>
  <c r="AW401" i="8"/>
  <c r="AW401" i="4" s="1"/>
  <c r="AW402" i="8"/>
  <c r="AW402" i="4" s="1"/>
  <c r="AW403" i="8"/>
  <c r="AW403" i="4" s="1"/>
  <c r="AW404" i="8"/>
  <c r="AW405" i="8"/>
  <c r="AW405" i="4" s="1"/>
  <c r="AW406" i="8"/>
  <c r="AW406" i="4" s="1"/>
  <c r="AW407" i="8"/>
  <c r="AW407" i="4" s="1"/>
  <c r="AW408" i="8"/>
  <c r="AW408" i="4" s="1"/>
  <c r="AW409" i="8"/>
  <c r="AW409" i="4" s="1"/>
  <c r="AW410" i="8"/>
  <c r="AW410" i="4" s="1"/>
  <c r="AW411" i="8"/>
  <c r="AW411" i="4" s="1"/>
  <c r="AW412" i="8"/>
  <c r="AW412" i="4" s="1"/>
  <c r="AW413" i="8"/>
  <c r="AW413" i="4" s="1"/>
  <c r="AV278" i="8"/>
  <c r="AV278" i="4" s="1"/>
  <c r="AV279" i="8"/>
  <c r="AV279" i="4" s="1"/>
  <c r="AV280" i="8"/>
  <c r="AV280" i="4" s="1"/>
  <c r="AV281" i="8"/>
  <c r="AV281" i="4" s="1"/>
  <c r="AV282" i="8"/>
  <c r="AV282" i="4" s="1"/>
  <c r="AV283" i="8"/>
  <c r="AV283" i="4" s="1"/>
  <c r="AV284" i="8"/>
  <c r="AV284" i="4" s="1"/>
  <c r="AV285" i="8"/>
  <c r="AV285" i="4" s="1"/>
  <c r="AV286" i="8"/>
  <c r="AV286" i="4" s="1"/>
  <c r="AV287" i="8"/>
  <c r="AV287" i="4" s="1"/>
  <c r="AV288" i="8"/>
  <c r="AV288" i="4" s="1"/>
  <c r="AV289" i="8"/>
  <c r="AV289" i="4" s="1"/>
  <c r="AV290" i="8"/>
  <c r="AV290" i="4" s="1"/>
  <c r="AV291" i="8"/>
  <c r="AV291" i="4" s="1"/>
  <c r="AV292" i="8"/>
  <c r="AV292" i="4" s="1"/>
  <c r="AV293" i="8"/>
  <c r="AV293" i="4" s="1"/>
  <c r="AV294" i="8"/>
  <c r="AV294" i="4" s="1"/>
  <c r="AV295" i="8"/>
  <c r="AV295" i="4" s="1"/>
  <c r="AV296" i="8"/>
  <c r="AV296" i="4" s="1"/>
  <c r="AV297" i="8"/>
  <c r="AV297" i="4" s="1"/>
  <c r="AV298" i="8"/>
  <c r="AV298" i="4" s="1"/>
  <c r="AV299" i="8"/>
  <c r="AV299" i="4" s="1"/>
  <c r="AV300" i="8"/>
  <c r="AV300" i="4" s="1"/>
  <c r="AV301" i="8"/>
  <c r="AV301" i="4" s="1"/>
  <c r="AV302" i="8"/>
  <c r="AV302" i="4" s="1"/>
  <c r="AV303" i="8"/>
  <c r="AV303" i="4" s="1"/>
  <c r="AV304" i="8"/>
  <c r="AV304" i="4" s="1"/>
  <c r="AV305" i="8"/>
  <c r="AV305" i="4" s="1"/>
  <c r="AV306" i="8"/>
  <c r="AV306" i="4" s="1"/>
  <c r="AV307" i="8"/>
  <c r="AV307" i="4" s="1"/>
  <c r="AV308" i="8"/>
  <c r="AV308" i="4" s="1"/>
  <c r="AV309" i="8"/>
  <c r="AV309" i="4" s="1"/>
  <c r="AV310" i="8"/>
  <c r="AV310" i="4" s="1"/>
  <c r="AV311" i="8"/>
  <c r="AV312" i="8"/>
  <c r="AV312" i="4" s="1"/>
  <c r="AV313" i="8"/>
  <c r="AV313" i="4" s="1"/>
  <c r="AV314" i="8"/>
  <c r="AV314" i="4" s="1"/>
  <c r="AV315" i="8"/>
  <c r="AV315" i="4" s="1"/>
  <c r="AV316" i="8"/>
  <c r="AV316" i="4" s="1"/>
  <c r="AV317" i="8"/>
  <c r="AV317" i="4" s="1"/>
  <c r="AV318" i="8"/>
  <c r="AV318" i="4" s="1"/>
  <c r="AV319" i="8"/>
  <c r="AV319" i="4" s="1"/>
  <c r="AV320" i="8"/>
  <c r="AV320" i="4" s="1"/>
  <c r="AV321" i="8"/>
  <c r="AV321" i="4" s="1"/>
  <c r="AV322" i="8"/>
  <c r="AV322" i="4" s="1"/>
  <c r="AV323" i="8"/>
  <c r="AV323" i="4" s="1"/>
  <c r="AV324" i="8"/>
  <c r="AV324" i="4" s="1"/>
  <c r="AV325" i="8"/>
  <c r="AV325" i="4" s="1"/>
  <c r="AV326" i="8"/>
  <c r="AV326" i="4" s="1"/>
  <c r="AV327" i="8"/>
  <c r="AV327" i="4" s="1"/>
  <c r="AV328" i="8"/>
  <c r="AV328" i="4" s="1"/>
  <c r="AV329" i="8"/>
  <c r="AV329" i="4" s="1"/>
  <c r="AV330" i="8"/>
  <c r="AV330" i="4" s="1"/>
  <c r="AV331" i="8"/>
  <c r="AV331" i="4" s="1"/>
  <c r="AV332" i="8"/>
  <c r="AV332" i="4" s="1"/>
  <c r="AV333" i="8"/>
  <c r="AV333" i="4" s="1"/>
  <c r="AV334" i="8"/>
  <c r="AV334" i="4" s="1"/>
  <c r="AV335" i="8"/>
  <c r="AV335" i="4" s="1"/>
  <c r="AV336" i="8"/>
  <c r="AV336" i="4" s="1"/>
  <c r="AV337" i="8"/>
  <c r="AV337" i="4" s="1"/>
  <c r="AV338" i="8"/>
  <c r="AV338" i="4" s="1"/>
  <c r="AV339" i="8"/>
  <c r="AV339" i="4" s="1"/>
  <c r="AV340" i="8"/>
  <c r="AV340" i="4" s="1"/>
  <c r="AV341" i="8"/>
  <c r="AV341" i="4" s="1"/>
  <c r="AV342" i="8"/>
  <c r="AV342" i="4" s="1"/>
  <c r="AV343" i="8"/>
  <c r="AV343" i="4" s="1"/>
  <c r="AV344" i="8"/>
  <c r="AV344" i="4" s="1"/>
  <c r="AV345" i="8"/>
  <c r="AV345" i="4" s="1"/>
  <c r="AV346" i="8"/>
  <c r="AV346" i="4" s="1"/>
  <c r="AV347" i="8"/>
  <c r="AV347" i="4" s="1"/>
  <c r="AV348" i="8"/>
  <c r="AV348" i="4" s="1"/>
  <c r="AV349" i="8"/>
  <c r="AV349" i="4" s="1"/>
  <c r="AV350" i="8"/>
  <c r="AV350" i="4" s="1"/>
  <c r="AV351" i="8"/>
  <c r="AV351" i="4" s="1"/>
  <c r="AV352" i="8"/>
  <c r="AV352" i="4" s="1"/>
  <c r="AV353" i="8"/>
  <c r="AV354" i="8"/>
  <c r="AV354" i="4" s="1"/>
  <c r="AV355" i="8"/>
  <c r="AV355" i="4" s="1"/>
  <c r="AV356" i="8"/>
  <c r="AV356" i="4" s="1"/>
  <c r="AV357" i="8"/>
  <c r="AV357" i="4" s="1"/>
  <c r="AV358" i="8"/>
  <c r="AV358" i="4" s="1"/>
  <c r="AV359" i="8"/>
  <c r="AV359" i="4" s="1"/>
  <c r="AV360" i="8"/>
  <c r="AV360" i="4" s="1"/>
  <c r="AV361" i="8"/>
  <c r="AV361" i="4" s="1"/>
  <c r="AV362" i="8"/>
  <c r="AV362" i="4" s="1"/>
  <c r="AV363" i="8"/>
  <c r="AV363" i="4" s="1"/>
  <c r="AV364" i="8"/>
  <c r="AV364" i="4" s="1"/>
  <c r="AV365" i="8"/>
  <c r="AV366" i="8"/>
  <c r="AV366" i="4" s="1"/>
  <c r="AV367" i="8"/>
  <c r="AV367" i="4" s="1"/>
  <c r="AV368" i="8"/>
  <c r="AV368" i="4" s="1"/>
  <c r="AV369" i="8"/>
  <c r="AV369" i="4" s="1"/>
  <c r="AV370" i="8"/>
  <c r="AV370" i="4" s="1"/>
  <c r="AV371" i="8"/>
  <c r="AV371" i="4" s="1"/>
  <c r="AV372" i="8"/>
  <c r="AV372" i="4" s="1"/>
  <c r="AV373" i="8"/>
  <c r="AV373" i="4" s="1"/>
  <c r="AV374" i="8"/>
  <c r="AV374" i="4" s="1"/>
  <c r="AV375" i="8"/>
  <c r="AV375" i="4" s="1"/>
  <c r="AV376" i="8"/>
  <c r="AV376" i="4" s="1"/>
  <c r="AV377" i="8"/>
  <c r="AV377" i="4" s="1"/>
  <c r="AV378" i="8"/>
  <c r="AV378" i="4" s="1"/>
  <c r="AV379" i="8"/>
  <c r="AV379" i="4" s="1"/>
  <c r="AV380" i="8"/>
  <c r="AV380" i="4" s="1"/>
  <c r="AV381" i="8"/>
  <c r="AV381" i="4" s="1"/>
  <c r="AV382" i="8"/>
  <c r="AV382" i="4" s="1"/>
  <c r="AV383" i="8"/>
  <c r="AV383" i="4" s="1"/>
  <c r="AV384" i="8"/>
  <c r="AV384" i="4" s="1"/>
  <c r="AV385" i="8"/>
  <c r="AV385" i="4" s="1"/>
  <c r="AV386" i="8"/>
  <c r="AV386" i="4" s="1"/>
  <c r="AV387" i="8"/>
  <c r="AV387" i="4" s="1"/>
  <c r="AV388" i="8"/>
  <c r="AV388" i="4" s="1"/>
  <c r="AV389" i="8"/>
  <c r="AV389" i="4" s="1"/>
  <c r="AV390" i="8"/>
  <c r="AV390" i="4" s="1"/>
  <c r="AV391" i="8"/>
  <c r="AV391" i="4" s="1"/>
  <c r="AV392" i="8"/>
  <c r="AV392" i="4" s="1"/>
  <c r="AV393" i="8"/>
  <c r="AV393" i="4" s="1"/>
  <c r="AV394" i="8"/>
  <c r="AV394" i="4" s="1"/>
  <c r="AV395" i="8"/>
  <c r="AV395" i="4" s="1"/>
  <c r="AV396" i="8"/>
  <c r="AV396" i="4" s="1"/>
  <c r="AV397" i="8"/>
  <c r="AV397" i="4" s="1"/>
  <c r="AV398" i="8"/>
  <c r="AV398" i="4" s="1"/>
  <c r="AV399" i="8"/>
  <c r="AV399" i="4" s="1"/>
  <c r="AV400" i="8"/>
  <c r="AV400" i="4" s="1"/>
  <c r="AV401" i="8"/>
  <c r="AV401" i="4" s="1"/>
  <c r="AV402" i="8"/>
  <c r="AV402" i="4" s="1"/>
  <c r="AV403" i="8"/>
  <c r="AV403" i="4" s="1"/>
  <c r="AV404" i="8"/>
  <c r="AV405" i="8"/>
  <c r="AV405" i="4" s="1"/>
  <c r="AV406" i="8"/>
  <c r="AV406" i="4" s="1"/>
  <c r="AV407" i="8"/>
  <c r="AV407" i="4" s="1"/>
  <c r="AV408" i="8"/>
  <c r="AV408" i="4" s="1"/>
  <c r="AV409" i="8"/>
  <c r="AV409" i="4" s="1"/>
  <c r="AV410" i="8"/>
  <c r="AV410" i="4" s="1"/>
  <c r="AV411" i="8"/>
  <c r="AV411" i="4" s="1"/>
  <c r="AV412" i="8"/>
  <c r="AV412" i="4" s="1"/>
  <c r="AV413" i="8"/>
  <c r="AV413" i="4" s="1"/>
  <c r="AU278" i="8"/>
  <c r="AU278" i="4" s="1"/>
  <c r="AU279" i="8"/>
  <c r="AU279" i="4" s="1"/>
  <c r="AU280" i="8"/>
  <c r="AU280" i="4" s="1"/>
  <c r="AU281" i="8"/>
  <c r="AU281" i="4" s="1"/>
  <c r="AU282" i="8"/>
  <c r="AU282" i="4" s="1"/>
  <c r="AU283" i="8"/>
  <c r="AU283" i="4" s="1"/>
  <c r="AU284" i="8"/>
  <c r="AU284" i="4" s="1"/>
  <c r="AU285" i="8"/>
  <c r="AU285" i="4" s="1"/>
  <c r="AU286" i="8"/>
  <c r="AU286" i="4" s="1"/>
  <c r="AU287" i="8"/>
  <c r="AU287" i="4" s="1"/>
  <c r="AU288" i="8"/>
  <c r="AU288" i="4" s="1"/>
  <c r="AU289" i="8"/>
  <c r="AU289" i="4" s="1"/>
  <c r="AU290" i="8"/>
  <c r="AU290" i="4" s="1"/>
  <c r="AU291" i="8"/>
  <c r="AU291" i="4" s="1"/>
  <c r="AU292" i="8"/>
  <c r="AU292" i="4" s="1"/>
  <c r="AU293" i="8"/>
  <c r="AU293" i="4" s="1"/>
  <c r="AU294" i="8"/>
  <c r="AU294" i="4" s="1"/>
  <c r="AU295" i="8"/>
  <c r="AU295" i="4" s="1"/>
  <c r="AU296" i="8"/>
  <c r="AU296" i="4" s="1"/>
  <c r="AU297" i="8"/>
  <c r="AU297" i="4" s="1"/>
  <c r="AU298" i="8"/>
  <c r="AU298" i="4" s="1"/>
  <c r="AU299" i="8"/>
  <c r="AU299" i="4" s="1"/>
  <c r="AU300" i="8"/>
  <c r="AU300" i="4" s="1"/>
  <c r="AU301" i="8"/>
  <c r="AU301" i="4" s="1"/>
  <c r="AU302" i="8"/>
  <c r="AU302" i="4" s="1"/>
  <c r="AU303" i="8"/>
  <c r="AU303" i="4" s="1"/>
  <c r="AU304" i="8"/>
  <c r="AU304" i="4" s="1"/>
  <c r="AU305" i="8"/>
  <c r="AU305" i="4" s="1"/>
  <c r="AU306" i="8"/>
  <c r="AU306" i="4" s="1"/>
  <c r="AU307" i="8"/>
  <c r="AU307" i="4" s="1"/>
  <c r="AU308" i="8"/>
  <c r="AU308" i="4" s="1"/>
  <c r="AU309" i="8"/>
  <c r="AU309" i="4" s="1"/>
  <c r="AU310" i="8"/>
  <c r="AU310" i="4" s="1"/>
  <c r="AU311" i="8"/>
  <c r="AU312" i="8"/>
  <c r="AU312" i="4" s="1"/>
  <c r="AU313" i="8"/>
  <c r="AU313" i="4" s="1"/>
  <c r="AU314" i="8"/>
  <c r="AU314" i="4" s="1"/>
  <c r="AU315" i="8"/>
  <c r="AU315" i="4" s="1"/>
  <c r="AU316" i="8"/>
  <c r="AU316" i="4" s="1"/>
  <c r="AU317" i="8"/>
  <c r="AU317" i="4" s="1"/>
  <c r="AU318" i="8"/>
  <c r="AU318" i="4" s="1"/>
  <c r="AU319" i="8"/>
  <c r="AU319" i="4" s="1"/>
  <c r="AU320" i="8"/>
  <c r="AU320" i="4" s="1"/>
  <c r="AU321" i="8"/>
  <c r="AU321" i="4" s="1"/>
  <c r="AU322" i="8"/>
  <c r="AU322" i="4" s="1"/>
  <c r="AU323" i="8"/>
  <c r="AU323" i="4" s="1"/>
  <c r="AU324" i="8"/>
  <c r="AU324" i="4" s="1"/>
  <c r="AU325" i="8"/>
  <c r="AU325" i="4" s="1"/>
  <c r="AU326" i="8"/>
  <c r="AU326" i="4" s="1"/>
  <c r="AU327" i="8"/>
  <c r="AU327" i="4" s="1"/>
  <c r="AU328" i="8"/>
  <c r="AU328" i="4" s="1"/>
  <c r="AU329" i="8"/>
  <c r="AU329" i="4" s="1"/>
  <c r="AU330" i="8"/>
  <c r="AU330" i="4" s="1"/>
  <c r="AU331" i="8"/>
  <c r="AU331" i="4" s="1"/>
  <c r="AU332" i="8"/>
  <c r="AU332" i="4" s="1"/>
  <c r="AU333" i="8"/>
  <c r="AU333" i="4" s="1"/>
  <c r="AU334" i="8"/>
  <c r="AU334" i="4" s="1"/>
  <c r="AU335" i="8"/>
  <c r="AU335" i="4" s="1"/>
  <c r="AU336" i="8"/>
  <c r="AU336" i="4" s="1"/>
  <c r="AU337" i="8"/>
  <c r="AU337" i="4" s="1"/>
  <c r="AU338" i="8"/>
  <c r="AU338" i="4" s="1"/>
  <c r="AU339" i="8"/>
  <c r="AU339" i="4" s="1"/>
  <c r="AU340" i="8"/>
  <c r="AU340" i="4" s="1"/>
  <c r="AU341" i="8"/>
  <c r="AU341" i="4" s="1"/>
  <c r="AU342" i="8"/>
  <c r="AU342" i="4" s="1"/>
  <c r="AU343" i="8"/>
  <c r="AU343" i="4" s="1"/>
  <c r="AU344" i="8"/>
  <c r="AU344" i="4" s="1"/>
  <c r="AU345" i="8"/>
  <c r="AU345" i="4" s="1"/>
  <c r="AU346" i="8"/>
  <c r="AU346" i="4" s="1"/>
  <c r="AU347" i="8"/>
  <c r="AU347" i="4" s="1"/>
  <c r="AU348" i="8"/>
  <c r="AU348" i="4" s="1"/>
  <c r="AU349" i="8"/>
  <c r="AU349" i="4" s="1"/>
  <c r="AU350" i="8"/>
  <c r="AU350" i="4" s="1"/>
  <c r="AU351" i="8"/>
  <c r="AU351" i="4" s="1"/>
  <c r="AU352" i="8"/>
  <c r="AU352" i="4" s="1"/>
  <c r="AU353" i="8"/>
  <c r="AU354" i="8"/>
  <c r="AU354" i="4" s="1"/>
  <c r="AU355" i="8"/>
  <c r="AU355" i="4" s="1"/>
  <c r="AU356" i="8"/>
  <c r="AU356" i="4" s="1"/>
  <c r="AU357" i="8"/>
  <c r="AU357" i="4" s="1"/>
  <c r="AU358" i="8"/>
  <c r="AU358" i="4" s="1"/>
  <c r="AU359" i="8"/>
  <c r="AU359" i="4" s="1"/>
  <c r="AU360" i="8"/>
  <c r="AU360" i="4" s="1"/>
  <c r="AU361" i="8"/>
  <c r="AU361" i="4" s="1"/>
  <c r="AU362" i="8"/>
  <c r="AU362" i="4" s="1"/>
  <c r="AU363" i="8"/>
  <c r="AU363" i="4" s="1"/>
  <c r="AU364" i="8"/>
  <c r="AU364" i="4" s="1"/>
  <c r="AU365" i="8"/>
  <c r="AU366" i="8"/>
  <c r="AU366" i="4" s="1"/>
  <c r="AU367" i="8"/>
  <c r="AU367" i="4" s="1"/>
  <c r="AU368" i="8"/>
  <c r="AU368" i="4" s="1"/>
  <c r="AU369" i="8"/>
  <c r="AU369" i="4" s="1"/>
  <c r="AU370" i="8"/>
  <c r="AU370" i="4" s="1"/>
  <c r="AU371" i="8"/>
  <c r="AU371" i="4" s="1"/>
  <c r="AU372" i="8"/>
  <c r="AU372" i="4" s="1"/>
  <c r="AU373" i="8"/>
  <c r="AU373" i="4" s="1"/>
  <c r="AU374" i="8"/>
  <c r="AU374" i="4" s="1"/>
  <c r="AU375" i="8"/>
  <c r="AU375" i="4" s="1"/>
  <c r="AU376" i="8"/>
  <c r="AU376" i="4" s="1"/>
  <c r="AU377" i="8"/>
  <c r="AU377" i="4" s="1"/>
  <c r="AU378" i="8"/>
  <c r="AU378" i="4" s="1"/>
  <c r="AU379" i="8"/>
  <c r="AU379" i="4" s="1"/>
  <c r="AU380" i="8"/>
  <c r="AU380" i="4" s="1"/>
  <c r="AU381" i="8"/>
  <c r="AU381" i="4" s="1"/>
  <c r="AU382" i="8"/>
  <c r="AU382" i="4" s="1"/>
  <c r="AU383" i="8"/>
  <c r="AU383" i="4" s="1"/>
  <c r="AU384" i="8"/>
  <c r="AU384" i="4" s="1"/>
  <c r="AU385" i="8"/>
  <c r="AU385" i="4" s="1"/>
  <c r="AU386" i="8"/>
  <c r="AU386" i="4" s="1"/>
  <c r="AU387" i="8"/>
  <c r="AU387" i="4" s="1"/>
  <c r="AU388" i="8"/>
  <c r="AU388" i="4" s="1"/>
  <c r="AU389" i="8"/>
  <c r="AU389" i="4" s="1"/>
  <c r="AU390" i="8"/>
  <c r="AU390" i="4" s="1"/>
  <c r="AU391" i="8"/>
  <c r="AU391" i="4" s="1"/>
  <c r="AU392" i="8"/>
  <c r="AU392" i="4" s="1"/>
  <c r="AU393" i="8"/>
  <c r="AU393" i="4" s="1"/>
  <c r="AU394" i="8"/>
  <c r="AU394" i="4" s="1"/>
  <c r="AU395" i="8"/>
  <c r="AU395" i="4" s="1"/>
  <c r="AU396" i="8"/>
  <c r="AU396" i="4" s="1"/>
  <c r="AU397" i="8"/>
  <c r="AU397" i="4" s="1"/>
  <c r="AU398" i="8"/>
  <c r="AU398" i="4" s="1"/>
  <c r="AU399" i="8"/>
  <c r="AU399" i="4" s="1"/>
  <c r="AU400" i="8"/>
  <c r="AU400" i="4" s="1"/>
  <c r="AU401" i="8"/>
  <c r="AU401" i="4" s="1"/>
  <c r="AU402" i="8"/>
  <c r="AU402" i="4" s="1"/>
  <c r="AU403" i="8"/>
  <c r="AU403" i="4" s="1"/>
  <c r="AU404" i="8"/>
  <c r="AU405" i="8"/>
  <c r="AU405" i="4" s="1"/>
  <c r="AU406" i="8"/>
  <c r="AU406" i="4" s="1"/>
  <c r="AU407" i="8"/>
  <c r="AU407" i="4" s="1"/>
  <c r="AU408" i="8"/>
  <c r="AU408" i="4" s="1"/>
  <c r="AU409" i="8"/>
  <c r="AU409" i="4" s="1"/>
  <c r="AU410" i="8"/>
  <c r="AU410" i="4" s="1"/>
  <c r="AU411" i="8"/>
  <c r="AU411" i="4" s="1"/>
  <c r="AU412" i="8"/>
  <c r="AU412" i="4" s="1"/>
  <c r="AU413" i="8"/>
  <c r="AU413" i="4" s="1"/>
  <c r="AT278" i="8"/>
  <c r="AT278" i="4" s="1"/>
  <c r="AT279" i="8"/>
  <c r="AT279" i="4" s="1"/>
  <c r="AT280" i="8"/>
  <c r="AT280" i="4" s="1"/>
  <c r="AT281" i="8"/>
  <c r="AT281" i="4" s="1"/>
  <c r="AT282" i="8"/>
  <c r="AT282" i="4" s="1"/>
  <c r="AT283" i="8"/>
  <c r="AT283" i="4" s="1"/>
  <c r="AT284" i="8"/>
  <c r="AT284" i="4" s="1"/>
  <c r="AT285" i="8"/>
  <c r="AT285" i="4" s="1"/>
  <c r="AT286" i="8"/>
  <c r="AT286" i="4" s="1"/>
  <c r="AT287" i="8"/>
  <c r="AT287" i="4" s="1"/>
  <c r="AT288" i="8"/>
  <c r="AT288" i="4" s="1"/>
  <c r="AT289" i="8"/>
  <c r="AT289" i="4" s="1"/>
  <c r="AT290" i="8"/>
  <c r="AT290" i="4" s="1"/>
  <c r="AT291" i="8"/>
  <c r="AT291" i="4" s="1"/>
  <c r="AT292" i="8"/>
  <c r="AT292" i="4" s="1"/>
  <c r="AT293" i="8"/>
  <c r="AT293" i="4" s="1"/>
  <c r="AT294" i="8"/>
  <c r="AT294" i="4" s="1"/>
  <c r="AT295" i="8"/>
  <c r="AT295" i="4" s="1"/>
  <c r="AT296" i="8"/>
  <c r="AT296" i="4" s="1"/>
  <c r="AT297" i="8"/>
  <c r="AT297" i="4" s="1"/>
  <c r="AT298" i="8"/>
  <c r="AT298" i="4" s="1"/>
  <c r="AT299" i="8"/>
  <c r="AT299" i="4" s="1"/>
  <c r="AT300" i="8"/>
  <c r="AT300" i="4" s="1"/>
  <c r="AT301" i="8"/>
  <c r="AT301" i="4" s="1"/>
  <c r="AT302" i="8"/>
  <c r="AT302" i="4" s="1"/>
  <c r="AT303" i="8"/>
  <c r="AT303" i="4" s="1"/>
  <c r="AT304" i="8"/>
  <c r="AT304" i="4" s="1"/>
  <c r="AT305" i="8"/>
  <c r="AT305" i="4" s="1"/>
  <c r="AT306" i="8"/>
  <c r="AT306" i="4" s="1"/>
  <c r="AT307" i="8"/>
  <c r="AT307" i="4" s="1"/>
  <c r="AT308" i="8"/>
  <c r="AT308" i="4" s="1"/>
  <c r="AT309" i="8"/>
  <c r="AT309" i="4" s="1"/>
  <c r="AT310" i="8"/>
  <c r="AT310" i="4" s="1"/>
  <c r="AT311" i="8"/>
  <c r="AT312" i="8"/>
  <c r="AT312" i="4" s="1"/>
  <c r="AT313" i="8"/>
  <c r="AT313" i="4" s="1"/>
  <c r="AT314" i="8"/>
  <c r="AT314" i="4" s="1"/>
  <c r="AT315" i="8"/>
  <c r="AT315" i="4" s="1"/>
  <c r="AT316" i="8"/>
  <c r="AT316" i="4" s="1"/>
  <c r="AT317" i="8"/>
  <c r="AT317" i="4" s="1"/>
  <c r="AT318" i="8"/>
  <c r="AT318" i="4" s="1"/>
  <c r="AT319" i="8"/>
  <c r="AT319" i="4" s="1"/>
  <c r="AT320" i="8"/>
  <c r="AT320" i="4" s="1"/>
  <c r="AT321" i="8"/>
  <c r="AT321" i="4" s="1"/>
  <c r="AT322" i="8"/>
  <c r="AT322" i="4" s="1"/>
  <c r="AT323" i="8"/>
  <c r="AT323" i="4" s="1"/>
  <c r="AT324" i="8"/>
  <c r="AT324" i="4" s="1"/>
  <c r="AT325" i="8"/>
  <c r="AT325" i="4" s="1"/>
  <c r="AT326" i="8"/>
  <c r="AT326" i="4" s="1"/>
  <c r="AT327" i="8"/>
  <c r="AT327" i="4" s="1"/>
  <c r="AT328" i="8"/>
  <c r="AT328" i="4" s="1"/>
  <c r="AT329" i="8"/>
  <c r="AT329" i="4" s="1"/>
  <c r="AT330" i="8"/>
  <c r="AT330" i="4" s="1"/>
  <c r="AT331" i="8"/>
  <c r="AT331" i="4" s="1"/>
  <c r="AT332" i="8"/>
  <c r="AT332" i="4" s="1"/>
  <c r="AT333" i="8"/>
  <c r="AT333" i="4" s="1"/>
  <c r="AT334" i="8"/>
  <c r="AT334" i="4" s="1"/>
  <c r="AT335" i="8"/>
  <c r="AT335" i="4" s="1"/>
  <c r="AT336" i="8"/>
  <c r="AT336" i="4" s="1"/>
  <c r="AT337" i="8"/>
  <c r="AT337" i="4" s="1"/>
  <c r="AT338" i="8"/>
  <c r="AT338" i="4" s="1"/>
  <c r="AT339" i="8"/>
  <c r="AT339" i="4" s="1"/>
  <c r="AT340" i="8"/>
  <c r="AT340" i="4" s="1"/>
  <c r="AT341" i="8"/>
  <c r="AT341" i="4" s="1"/>
  <c r="AT342" i="8"/>
  <c r="AT342" i="4" s="1"/>
  <c r="AT343" i="8"/>
  <c r="AT343" i="4" s="1"/>
  <c r="AT344" i="8"/>
  <c r="AT344" i="4" s="1"/>
  <c r="AT345" i="8"/>
  <c r="AT345" i="4" s="1"/>
  <c r="AT346" i="8"/>
  <c r="AT346" i="4" s="1"/>
  <c r="AT347" i="8"/>
  <c r="AT347" i="4" s="1"/>
  <c r="AT348" i="8"/>
  <c r="AT348" i="4" s="1"/>
  <c r="AT349" i="8"/>
  <c r="AT349" i="4" s="1"/>
  <c r="AT350" i="8"/>
  <c r="AT350" i="4" s="1"/>
  <c r="AT351" i="8"/>
  <c r="AT351" i="4" s="1"/>
  <c r="AT352" i="8"/>
  <c r="AT352" i="4" s="1"/>
  <c r="AT353" i="8"/>
  <c r="AT354" i="8"/>
  <c r="AT354" i="4" s="1"/>
  <c r="AT355" i="8"/>
  <c r="AT355" i="4" s="1"/>
  <c r="AT356" i="8"/>
  <c r="AT356" i="4" s="1"/>
  <c r="AT357" i="8"/>
  <c r="AT357" i="4" s="1"/>
  <c r="AT358" i="8"/>
  <c r="AT358" i="4" s="1"/>
  <c r="AT359" i="8"/>
  <c r="AT359" i="4" s="1"/>
  <c r="AT360" i="8"/>
  <c r="AT360" i="4" s="1"/>
  <c r="AT361" i="8"/>
  <c r="AT361" i="4" s="1"/>
  <c r="AT362" i="8"/>
  <c r="AT362" i="4" s="1"/>
  <c r="AT363" i="8"/>
  <c r="AT363" i="4" s="1"/>
  <c r="AT364" i="8"/>
  <c r="AT364" i="4" s="1"/>
  <c r="AT365" i="8"/>
  <c r="AT366" i="8"/>
  <c r="AT366" i="4" s="1"/>
  <c r="AT367" i="8"/>
  <c r="AT367" i="4" s="1"/>
  <c r="AT368" i="8"/>
  <c r="AT368" i="4" s="1"/>
  <c r="AT369" i="8"/>
  <c r="AT369" i="4" s="1"/>
  <c r="AT370" i="8"/>
  <c r="AT370" i="4" s="1"/>
  <c r="AT371" i="8"/>
  <c r="AT371" i="4" s="1"/>
  <c r="AT372" i="8"/>
  <c r="AT372" i="4" s="1"/>
  <c r="AT373" i="8"/>
  <c r="AT373" i="4" s="1"/>
  <c r="AT374" i="8"/>
  <c r="AT374" i="4" s="1"/>
  <c r="AT375" i="8"/>
  <c r="AT375" i="4" s="1"/>
  <c r="AT376" i="8"/>
  <c r="AT376" i="4" s="1"/>
  <c r="AT377" i="8"/>
  <c r="AT377" i="4" s="1"/>
  <c r="AT378" i="8"/>
  <c r="AT378" i="4" s="1"/>
  <c r="AT379" i="8"/>
  <c r="AT379" i="4" s="1"/>
  <c r="AT380" i="8"/>
  <c r="AT380" i="4" s="1"/>
  <c r="AT381" i="8"/>
  <c r="AT381" i="4" s="1"/>
  <c r="AT382" i="8"/>
  <c r="AT382" i="4" s="1"/>
  <c r="AT383" i="8"/>
  <c r="AT383" i="4" s="1"/>
  <c r="AT384" i="8"/>
  <c r="AT384" i="4" s="1"/>
  <c r="AT385" i="8"/>
  <c r="AT385" i="4" s="1"/>
  <c r="AT386" i="8"/>
  <c r="AT386" i="4" s="1"/>
  <c r="AT387" i="8"/>
  <c r="AT387" i="4" s="1"/>
  <c r="AT388" i="8"/>
  <c r="AT388" i="4" s="1"/>
  <c r="AT389" i="8"/>
  <c r="AT389" i="4" s="1"/>
  <c r="AT390" i="8"/>
  <c r="AT390" i="4" s="1"/>
  <c r="AT391" i="8"/>
  <c r="AT391" i="4" s="1"/>
  <c r="AT392" i="8"/>
  <c r="AT392" i="4" s="1"/>
  <c r="AT393" i="8"/>
  <c r="AT393" i="4" s="1"/>
  <c r="AT394" i="8"/>
  <c r="AT394" i="4" s="1"/>
  <c r="AT395" i="8"/>
  <c r="AT395" i="4" s="1"/>
  <c r="AT396" i="8"/>
  <c r="AT396" i="4" s="1"/>
  <c r="AT397" i="8"/>
  <c r="AT397" i="4" s="1"/>
  <c r="AT398" i="8"/>
  <c r="AT398" i="4" s="1"/>
  <c r="AT399" i="8"/>
  <c r="AT399" i="4" s="1"/>
  <c r="AT400" i="8"/>
  <c r="AT400" i="4" s="1"/>
  <c r="AT401" i="8"/>
  <c r="AT401" i="4" s="1"/>
  <c r="AT402" i="8"/>
  <c r="AT402" i="4" s="1"/>
  <c r="AT403" i="8"/>
  <c r="AT403" i="4" s="1"/>
  <c r="AT404" i="8"/>
  <c r="AT405" i="8"/>
  <c r="AT405" i="4" s="1"/>
  <c r="AT406" i="8"/>
  <c r="AT406" i="4" s="1"/>
  <c r="AT407" i="8"/>
  <c r="AT407" i="4" s="1"/>
  <c r="AT408" i="8"/>
  <c r="AT408" i="4" s="1"/>
  <c r="AT409" i="8"/>
  <c r="AT409" i="4" s="1"/>
  <c r="AT410" i="8"/>
  <c r="AT410" i="4" s="1"/>
  <c r="AT411" i="8"/>
  <c r="AT411" i="4" s="1"/>
  <c r="AT412" i="8"/>
  <c r="AT412" i="4" s="1"/>
  <c r="AT413" i="8"/>
  <c r="AT413" i="4" s="1"/>
  <c r="AS278" i="8"/>
  <c r="AS278" i="4" s="1"/>
  <c r="AS279" i="8"/>
  <c r="AS279" i="4" s="1"/>
  <c r="AS280" i="8"/>
  <c r="AS280" i="4" s="1"/>
  <c r="AS281" i="8"/>
  <c r="AS281" i="4" s="1"/>
  <c r="AS282" i="8"/>
  <c r="AS282" i="4" s="1"/>
  <c r="AS283" i="8"/>
  <c r="AS283" i="4" s="1"/>
  <c r="AS284" i="8"/>
  <c r="AS284" i="4" s="1"/>
  <c r="AS285" i="8"/>
  <c r="AS285" i="4" s="1"/>
  <c r="AS286" i="8"/>
  <c r="AS286" i="4" s="1"/>
  <c r="AS287" i="8"/>
  <c r="AS287" i="4" s="1"/>
  <c r="AS288" i="8"/>
  <c r="AS288" i="4" s="1"/>
  <c r="AS289" i="8"/>
  <c r="AS289" i="4" s="1"/>
  <c r="AS290" i="8"/>
  <c r="AS290" i="4" s="1"/>
  <c r="AS291" i="8"/>
  <c r="AS291" i="4" s="1"/>
  <c r="AS292" i="8"/>
  <c r="AS292" i="4" s="1"/>
  <c r="AS293" i="8"/>
  <c r="AS293" i="4" s="1"/>
  <c r="AS294" i="8"/>
  <c r="AS294" i="4" s="1"/>
  <c r="AS295" i="8"/>
  <c r="AS295" i="4" s="1"/>
  <c r="AS296" i="8"/>
  <c r="AS296" i="4" s="1"/>
  <c r="AS297" i="8"/>
  <c r="AS297" i="4" s="1"/>
  <c r="AS298" i="8"/>
  <c r="AS298" i="4" s="1"/>
  <c r="AS299" i="8"/>
  <c r="AS299" i="4" s="1"/>
  <c r="AS300" i="8"/>
  <c r="AS300" i="4" s="1"/>
  <c r="AS301" i="8"/>
  <c r="AS301" i="4" s="1"/>
  <c r="AS302" i="8"/>
  <c r="AS302" i="4" s="1"/>
  <c r="AS303" i="8"/>
  <c r="AS303" i="4" s="1"/>
  <c r="AS304" i="8"/>
  <c r="AS304" i="4" s="1"/>
  <c r="AS305" i="8"/>
  <c r="AS305" i="4" s="1"/>
  <c r="AS306" i="8"/>
  <c r="AS306" i="4" s="1"/>
  <c r="AS307" i="8"/>
  <c r="AS307" i="4" s="1"/>
  <c r="AS308" i="8"/>
  <c r="AS308" i="4" s="1"/>
  <c r="AS309" i="8"/>
  <c r="AS309" i="4" s="1"/>
  <c r="AS310" i="8"/>
  <c r="AS310" i="4" s="1"/>
  <c r="AS311" i="8"/>
  <c r="AS312" i="8"/>
  <c r="AS312" i="4" s="1"/>
  <c r="AS313" i="8"/>
  <c r="AS313" i="4" s="1"/>
  <c r="AS314" i="8"/>
  <c r="AS314" i="4" s="1"/>
  <c r="AS315" i="8"/>
  <c r="AS315" i="4" s="1"/>
  <c r="AS316" i="8"/>
  <c r="AS316" i="4" s="1"/>
  <c r="AS317" i="8"/>
  <c r="AS317" i="4" s="1"/>
  <c r="AS318" i="8"/>
  <c r="AS318" i="4" s="1"/>
  <c r="AS319" i="8"/>
  <c r="AS319" i="4" s="1"/>
  <c r="AS320" i="8"/>
  <c r="AS320" i="4" s="1"/>
  <c r="AS321" i="8"/>
  <c r="AS321" i="4" s="1"/>
  <c r="AS322" i="8"/>
  <c r="AS322" i="4" s="1"/>
  <c r="AS323" i="8"/>
  <c r="AS323" i="4" s="1"/>
  <c r="AS324" i="8"/>
  <c r="AS324" i="4" s="1"/>
  <c r="AS325" i="8"/>
  <c r="AS325" i="4" s="1"/>
  <c r="AS326" i="8"/>
  <c r="AS326" i="4" s="1"/>
  <c r="AS327" i="8"/>
  <c r="AS327" i="4" s="1"/>
  <c r="AS328" i="8"/>
  <c r="AS328" i="4" s="1"/>
  <c r="AS329" i="8"/>
  <c r="AS329" i="4" s="1"/>
  <c r="AS330" i="8"/>
  <c r="AS330" i="4" s="1"/>
  <c r="AS331" i="8"/>
  <c r="AS331" i="4" s="1"/>
  <c r="AS332" i="8"/>
  <c r="AS332" i="4" s="1"/>
  <c r="AS333" i="8"/>
  <c r="AS333" i="4" s="1"/>
  <c r="AS334" i="8"/>
  <c r="AS334" i="4" s="1"/>
  <c r="AS335" i="8"/>
  <c r="AS335" i="4" s="1"/>
  <c r="AS336" i="8"/>
  <c r="AS336" i="4" s="1"/>
  <c r="AS337" i="8"/>
  <c r="AS337" i="4" s="1"/>
  <c r="AS338" i="8"/>
  <c r="AS338" i="4" s="1"/>
  <c r="AS339" i="8"/>
  <c r="AS339" i="4" s="1"/>
  <c r="AS340" i="8"/>
  <c r="AS340" i="4" s="1"/>
  <c r="AS341" i="8"/>
  <c r="AS341" i="4" s="1"/>
  <c r="AS342" i="8"/>
  <c r="AS342" i="4" s="1"/>
  <c r="AS343" i="8"/>
  <c r="AS343" i="4" s="1"/>
  <c r="AS344" i="8"/>
  <c r="AS344" i="4" s="1"/>
  <c r="AS345" i="8"/>
  <c r="AS345" i="4" s="1"/>
  <c r="AS346" i="8"/>
  <c r="AS346" i="4" s="1"/>
  <c r="AS347" i="8"/>
  <c r="AS347" i="4" s="1"/>
  <c r="AS348" i="8"/>
  <c r="AS348" i="4" s="1"/>
  <c r="AS349" i="8"/>
  <c r="AS349" i="4" s="1"/>
  <c r="AS350" i="8"/>
  <c r="AS350" i="4" s="1"/>
  <c r="AS351" i="8"/>
  <c r="AS351" i="4" s="1"/>
  <c r="AS352" i="8"/>
  <c r="AS352" i="4" s="1"/>
  <c r="AS353" i="8"/>
  <c r="AS354" i="8"/>
  <c r="AS354" i="4" s="1"/>
  <c r="AS355" i="8"/>
  <c r="AS355" i="4" s="1"/>
  <c r="AS356" i="8"/>
  <c r="AS356" i="4" s="1"/>
  <c r="AS357" i="8"/>
  <c r="AS357" i="4" s="1"/>
  <c r="AS358" i="8"/>
  <c r="AS358" i="4" s="1"/>
  <c r="AS359" i="8"/>
  <c r="AS359" i="4" s="1"/>
  <c r="AS360" i="8"/>
  <c r="AS360" i="4" s="1"/>
  <c r="AS361" i="8"/>
  <c r="AS361" i="4" s="1"/>
  <c r="AS362" i="8"/>
  <c r="AS362" i="4" s="1"/>
  <c r="AS363" i="8"/>
  <c r="AS363" i="4" s="1"/>
  <c r="AS364" i="8"/>
  <c r="AS364" i="4" s="1"/>
  <c r="AS365" i="8"/>
  <c r="AS366" i="8"/>
  <c r="AS366" i="4" s="1"/>
  <c r="AS367" i="8"/>
  <c r="AS367" i="4" s="1"/>
  <c r="AS368" i="8"/>
  <c r="AS368" i="4" s="1"/>
  <c r="AS369" i="8"/>
  <c r="AS369" i="4" s="1"/>
  <c r="AS370" i="8"/>
  <c r="AS370" i="4" s="1"/>
  <c r="AS371" i="8"/>
  <c r="AS371" i="4" s="1"/>
  <c r="AS372" i="8"/>
  <c r="AS372" i="4" s="1"/>
  <c r="AS373" i="8"/>
  <c r="AS373" i="4" s="1"/>
  <c r="AS374" i="8"/>
  <c r="AS374" i="4" s="1"/>
  <c r="AS375" i="8"/>
  <c r="AS375" i="4" s="1"/>
  <c r="AS376" i="8"/>
  <c r="AS376" i="4" s="1"/>
  <c r="AS377" i="8"/>
  <c r="AS377" i="4" s="1"/>
  <c r="AS378" i="8"/>
  <c r="AS378" i="4" s="1"/>
  <c r="AS379" i="8"/>
  <c r="AS379" i="4" s="1"/>
  <c r="AS380" i="8"/>
  <c r="AS380" i="4" s="1"/>
  <c r="AS381" i="8"/>
  <c r="AS381" i="4" s="1"/>
  <c r="AS382" i="8"/>
  <c r="AS382" i="4" s="1"/>
  <c r="AS383" i="8"/>
  <c r="AS383" i="4" s="1"/>
  <c r="AS384" i="8"/>
  <c r="AS384" i="4" s="1"/>
  <c r="AS385" i="8"/>
  <c r="AS385" i="4" s="1"/>
  <c r="AS386" i="8"/>
  <c r="AS386" i="4" s="1"/>
  <c r="AS387" i="8"/>
  <c r="AS387" i="4" s="1"/>
  <c r="AS388" i="8"/>
  <c r="AS388" i="4" s="1"/>
  <c r="AS389" i="8"/>
  <c r="AS389" i="4" s="1"/>
  <c r="AS390" i="8"/>
  <c r="AS390" i="4" s="1"/>
  <c r="AS391" i="8"/>
  <c r="AS391" i="4" s="1"/>
  <c r="AS392" i="8"/>
  <c r="AS392" i="4" s="1"/>
  <c r="AS393" i="8"/>
  <c r="AS393" i="4" s="1"/>
  <c r="AS394" i="8"/>
  <c r="AS394" i="4" s="1"/>
  <c r="AS395" i="8"/>
  <c r="AS395" i="4" s="1"/>
  <c r="AS396" i="8"/>
  <c r="AS396" i="4" s="1"/>
  <c r="AS397" i="8"/>
  <c r="AS397" i="4" s="1"/>
  <c r="AS398" i="8"/>
  <c r="AS398" i="4" s="1"/>
  <c r="AS399" i="8"/>
  <c r="AS399" i="4" s="1"/>
  <c r="AS400" i="8"/>
  <c r="AS400" i="4" s="1"/>
  <c r="AS401" i="8"/>
  <c r="AS401" i="4" s="1"/>
  <c r="AS402" i="8"/>
  <c r="AS402" i="4" s="1"/>
  <c r="AS403" i="8"/>
  <c r="AS403" i="4" s="1"/>
  <c r="AS404" i="8"/>
  <c r="AS405" i="8"/>
  <c r="AS405" i="4" s="1"/>
  <c r="AS406" i="8"/>
  <c r="AS406" i="4" s="1"/>
  <c r="AS407" i="8"/>
  <c r="AS407" i="4" s="1"/>
  <c r="AS408" i="8"/>
  <c r="AS408" i="4" s="1"/>
  <c r="AS409" i="8"/>
  <c r="AS409" i="4" s="1"/>
  <c r="AS410" i="8"/>
  <c r="AS410" i="4" s="1"/>
  <c r="AS411" i="8"/>
  <c r="AS411" i="4" s="1"/>
  <c r="AS412" i="8"/>
  <c r="AS412" i="4" s="1"/>
  <c r="AS413" i="8"/>
  <c r="AS413" i="4" s="1"/>
  <c r="AR278" i="8"/>
  <c r="AR278" i="4" s="1"/>
  <c r="AR279" i="8"/>
  <c r="AR279" i="4" s="1"/>
  <c r="AR280" i="8"/>
  <c r="AR280" i="4" s="1"/>
  <c r="AR281" i="8"/>
  <c r="AR281" i="4" s="1"/>
  <c r="AR282" i="8"/>
  <c r="AR282" i="4" s="1"/>
  <c r="AR283" i="8"/>
  <c r="AR283" i="4" s="1"/>
  <c r="AR284" i="8"/>
  <c r="AR284" i="4" s="1"/>
  <c r="AR285" i="8"/>
  <c r="AR285" i="4" s="1"/>
  <c r="AR286" i="8"/>
  <c r="AR286" i="4" s="1"/>
  <c r="AR287" i="8"/>
  <c r="AR287" i="4" s="1"/>
  <c r="AR288" i="8"/>
  <c r="AR288" i="4" s="1"/>
  <c r="AR289" i="8"/>
  <c r="AR289" i="4" s="1"/>
  <c r="AR290" i="8"/>
  <c r="AR290" i="4" s="1"/>
  <c r="AR291" i="8"/>
  <c r="AR291" i="4" s="1"/>
  <c r="AR292" i="8"/>
  <c r="AR292" i="4" s="1"/>
  <c r="AR293" i="8"/>
  <c r="AR293" i="4" s="1"/>
  <c r="AR294" i="8"/>
  <c r="AR294" i="4" s="1"/>
  <c r="AR295" i="8"/>
  <c r="AR295" i="4" s="1"/>
  <c r="AR296" i="8"/>
  <c r="AR296" i="4" s="1"/>
  <c r="AR297" i="8"/>
  <c r="AR297" i="4" s="1"/>
  <c r="AR298" i="8"/>
  <c r="AR298" i="4" s="1"/>
  <c r="AR299" i="8"/>
  <c r="AR299" i="4" s="1"/>
  <c r="AR300" i="8"/>
  <c r="AR300" i="4" s="1"/>
  <c r="AR301" i="8"/>
  <c r="AR301" i="4" s="1"/>
  <c r="AR302" i="8"/>
  <c r="AR302" i="4" s="1"/>
  <c r="AR303" i="8"/>
  <c r="AR303" i="4" s="1"/>
  <c r="AR304" i="8"/>
  <c r="AR304" i="4" s="1"/>
  <c r="AR305" i="8"/>
  <c r="AR305" i="4" s="1"/>
  <c r="AR306" i="8"/>
  <c r="AR306" i="4" s="1"/>
  <c r="AR307" i="8"/>
  <c r="AR307" i="4" s="1"/>
  <c r="AR308" i="8"/>
  <c r="AR308" i="4" s="1"/>
  <c r="AR309" i="8"/>
  <c r="AR309" i="4" s="1"/>
  <c r="AR310" i="8"/>
  <c r="AR310" i="4" s="1"/>
  <c r="AR311" i="8"/>
  <c r="AR312" i="8"/>
  <c r="AR312" i="4" s="1"/>
  <c r="AR313" i="8"/>
  <c r="AR313" i="4" s="1"/>
  <c r="AR314" i="8"/>
  <c r="AR314" i="4" s="1"/>
  <c r="AR315" i="8"/>
  <c r="AR315" i="4" s="1"/>
  <c r="AR316" i="8"/>
  <c r="AR316" i="4" s="1"/>
  <c r="AR317" i="8"/>
  <c r="AR317" i="4" s="1"/>
  <c r="AR318" i="8"/>
  <c r="AR318" i="4" s="1"/>
  <c r="AR319" i="8"/>
  <c r="AR319" i="4" s="1"/>
  <c r="AR320" i="8"/>
  <c r="AR320" i="4" s="1"/>
  <c r="AR321" i="8"/>
  <c r="AR321" i="4" s="1"/>
  <c r="AR322" i="8"/>
  <c r="AR322" i="4" s="1"/>
  <c r="AR323" i="8"/>
  <c r="AR323" i="4" s="1"/>
  <c r="AR324" i="8"/>
  <c r="AR324" i="4" s="1"/>
  <c r="AR325" i="8"/>
  <c r="AR325" i="4" s="1"/>
  <c r="AR326" i="8"/>
  <c r="AR326" i="4" s="1"/>
  <c r="AR327" i="8"/>
  <c r="AR327" i="4" s="1"/>
  <c r="AR328" i="8"/>
  <c r="AR328" i="4" s="1"/>
  <c r="AR329" i="8"/>
  <c r="AR329" i="4" s="1"/>
  <c r="AR330" i="8"/>
  <c r="AR330" i="4" s="1"/>
  <c r="AR331" i="8"/>
  <c r="AR331" i="4" s="1"/>
  <c r="AR332" i="8"/>
  <c r="AR332" i="4" s="1"/>
  <c r="AR333" i="8"/>
  <c r="AR333" i="4" s="1"/>
  <c r="AR334" i="8"/>
  <c r="AR334" i="4" s="1"/>
  <c r="AR335" i="8"/>
  <c r="AR335" i="4" s="1"/>
  <c r="AR336" i="8"/>
  <c r="AR336" i="4" s="1"/>
  <c r="AR337" i="8"/>
  <c r="AR337" i="4" s="1"/>
  <c r="AR338" i="8"/>
  <c r="AR338" i="4" s="1"/>
  <c r="AR339" i="8"/>
  <c r="AR339" i="4" s="1"/>
  <c r="AR340" i="8"/>
  <c r="AR340" i="4" s="1"/>
  <c r="AR341" i="8"/>
  <c r="AR341" i="4" s="1"/>
  <c r="AR342" i="8"/>
  <c r="AR342" i="4" s="1"/>
  <c r="AR343" i="8"/>
  <c r="AR343" i="4" s="1"/>
  <c r="AR344" i="8"/>
  <c r="AR344" i="4" s="1"/>
  <c r="AR345" i="8"/>
  <c r="AR345" i="4" s="1"/>
  <c r="AR346" i="8"/>
  <c r="AR346" i="4" s="1"/>
  <c r="AR347" i="8"/>
  <c r="AR347" i="4" s="1"/>
  <c r="AR348" i="8"/>
  <c r="AR348" i="4" s="1"/>
  <c r="AR349" i="8"/>
  <c r="AR349" i="4" s="1"/>
  <c r="AR350" i="8"/>
  <c r="AR350" i="4" s="1"/>
  <c r="AR351" i="8"/>
  <c r="AR351" i="4" s="1"/>
  <c r="AR352" i="8"/>
  <c r="AR352" i="4" s="1"/>
  <c r="AR353" i="8"/>
  <c r="AR354" i="8"/>
  <c r="AR354" i="4" s="1"/>
  <c r="AR355" i="8"/>
  <c r="AR355" i="4" s="1"/>
  <c r="AR356" i="8"/>
  <c r="AR356" i="4" s="1"/>
  <c r="AR357" i="8"/>
  <c r="AR357" i="4" s="1"/>
  <c r="AR358" i="8"/>
  <c r="AR358" i="4" s="1"/>
  <c r="AR359" i="8"/>
  <c r="AR359" i="4" s="1"/>
  <c r="AR360" i="8"/>
  <c r="AR360" i="4" s="1"/>
  <c r="AR361" i="8"/>
  <c r="AR361" i="4" s="1"/>
  <c r="AR362" i="8"/>
  <c r="AR362" i="4" s="1"/>
  <c r="AR363" i="8"/>
  <c r="AR363" i="4" s="1"/>
  <c r="AR364" i="8"/>
  <c r="AR364" i="4" s="1"/>
  <c r="AR365" i="8"/>
  <c r="AR366" i="8"/>
  <c r="AR366" i="4" s="1"/>
  <c r="AR367" i="8"/>
  <c r="AR367" i="4" s="1"/>
  <c r="AR368" i="8"/>
  <c r="AR368" i="4" s="1"/>
  <c r="AR369" i="8"/>
  <c r="AR369" i="4" s="1"/>
  <c r="AR370" i="8"/>
  <c r="AR370" i="4" s="1"/>
  <c r="AR371" i="8"/>
  <c r="AR371" i="4" s="1"/>
  <c r="AR372" i="8"/>
  <c r="AR372" i="4" s="1"/>
  <c r="AR373" i="8"/>
  <c r="AR373" i="4" s="1"/>
  <c r="AR374" i="8"/>
  <c r="AR374" i="4" s="1"/>
  <c r="AR375" i="8"/>
  <c r="AR375" i="4" s="1"/>
  <c r="AR376" i="8"/>
  <c r="AR376" i="4" s="1"/>
  <c r="AR377" i="8"/>
  <c r="AR377" i="4" s="1"/>
  <c r="AR378" i="8"/>
  <c r="AR378" i="4" s="1"/>
  <c r="AR379" i="8"/>
  <c r="AR379" i="4" s="1"/>
  <c r="AR380" i="8"/>
  <c r="AR380" i="4" s="1"/>
  <c r="AR381" i="8"/>
  <c r="AR381" i="4" s="1"/>
  <c r="AR382" i="8"/>
  <c r="AR382" i="4" s="1"/>
  <c r="AR383" i="8"/>
  <c r="AR383" i="4" s="1"/>
  <c r="AR384" i="8"/>
  <c r="AR384" i="4" s="1"/>
  <c r="AR385" i="8"/>
  <c r="AR385" i="4" s="1"/>
  <c r="AR386" i="8"/>
  <c r="AR386" i="4" s="1"/>
  <c r="AR387" i="8"/>
  <c r="AR387" i="4" s="1"/>
  <c r="AR388" i="8"/>
  <c r="AR388" i="4" s="1"/>
  <c r="AR389" i="8"/>
  <c r="AR389" i="4" s="1"/>
  <c r="AR390" i="8"/>
  <c r="AR390" i="4" s="1"/>
  <c r="AR391" i="8"/>
  <c r="AR391" i="4" s="1"/>
  <c r="AR392" i="8"/>
  <c r="AR392" i="4" s="1"/>
  <c r="AR393" i="8"/>
  <c r="AR393" i="4" s="1"/>
  <c r="AR394" i="8"/>
  <c r="AR394" i="4" s="1"/>
  <c r="AR395" i="8"/>
  <c r="AR395" i="4" s="1"/>
  <c r="AR396" i="8"/>
  <c r="AR396" i="4" s="1"/>
  <c r="AR397" i="8"/>
  <c r="AR397" i="4" s="1"/>
  <c r="AR398" i="8"/>
  <c r="AR398" i="4" s="1"/>
  <c r="AR399" i="8"/>
  <c r="AR399" i="4" s="1"/>
  <c r="AR400" i="8"/>
  <c r="AR400" i="4" s="1"/>
  <c r="AR401" i="8"/>
  <c r="AR401" i="4" s="1"/>
  <c r="AR402" i="8"/>
  <c r="AR402" i="4" s="1"/>
  <c r="AR403" i="8"/>
  <c r="AR403" i="4" s="1"/>
  <c r="AR404" i="8"/>
  <c r="AR405" i="8"/>
  <c r="AR405" i="4" s="1"/>
  <c r="AR406" i="8"/>
  <c r="AR406" i="4" s="1"/>
  <c r="AR407" i="8"/>
  <c r="AR407" i="4" s="1"/>
  <c r="AR408" i="8"/>
  <c r="AR408" i="4" s="1"/>
  <c r="AR409" i="8"/>
  <c r="AR409" i="4" s="1"/>
  <c r="AR410" i="8"/>
  <c r="AR410" i="4" s="1"/>
  <c r="AR411" i="8"/>
  <c r="AR411" i="4" s="1"/>
  <c r="AR412" i="8"/>
  <c r="AR412" i="4" s="1"/>
  <c r="AR413" i="8"/>
  <c r="AR413" i="4" s="1"/>
  <c r="AQ278" i="8"/>
  <c r="AQ278" i="4" s="1"/>
  <c r="AQ279" i="8"/>
  <c r="AQ279" i="4" s="1"/>
  <c r="AQ280" i="8"/>
  <c r="AQ280" i="4" s="1"/>
  <c r="AQ281" i="8"/>
  <c r="AQ281" i="4" s="1"/>
  <c r="AQ282" i="8"/>
  <c r="AQ282" i="4" s="1"/>
  <c r="AQ283" i="8"/>
  <c r="AQ283" i="4" s="1"/>
  <c r="AQ284" i="8"/>
  <c r="AQ284" i="4" s="1"/>
  <c r="AQ285" i="8"/>
  <c r="AQ285" i="4" s="1"/>
  <c r="AQ286" i="8"/>
  <c r="AQ286" i="4" s="1"/>
  <c r="AQ287" i="8"/>
  <c r="AQ287" i="4" s="1"/>
  <c r="AQ288" i="8"/>
  <c r="AQ288" i="4" s="1"/>
  <c r="AQ289" i="8"/>
  <c r="AQ289" i="4" s="1"/>
  <c r="AQ290" i="8"/>
  <c r="AQ290" i="4" s="1"/>
  <c r="AQ291" i="8"/>
  <c r="AQ291" i="4" s="1"/>
  <c r="AQ292" i="8"/>
  <c r="AQ292" i="4" s="1"/>
  <c r="AQ293" i="8"/>
  <c r="AQ293" i="4" s="1"/>
  <c r="AQ294" i="8"/>
  <c r="AQ294" i="4" s="1"/>
  <c r="AQ295" i="8"/>
  <c r="AQ295" i="4" s="1"/>
  <c r="AQ296" i="8"/>
  <c r="AQ296" i="4" s="1"/>
  <c r="AQ297" i="8"/>
  <c r="AQ297" i="4" s="1"/>
  <c r="AQ298" i="8"/>
  <c r="AQ298" i="4" s="1"/>
  <c r="AQ299" i="8"/>
  <c r="AQ299" i="4" s="1"/>
  <c r="AQ300" i="8"/>
  <c r="AQ300" i="4" s="1"/>
  <c r="AQ301" i="8"/>
  <c r="AQ301" i="4" s="1"/>
  <c r="AQ302" i="8"/>
  <c r="AQ302" i="4" s="1"/>
  <c r="AQ303" i="8"/>
  <c r="AQ303" i="4" s="1"/>
  <c r="AQ304" i="8"/>
  <c r="AQ304" i="4" s="1"/>
  <c r="AQ305" i="8"/>
  <c r="AQ305" i="4" s="1"/>
  <c r="AQ306" i="8"/>
  <c r="AQ306" i="4" s="1"/>
  <c r="AQ307" i="8"/>
  <c r="AQ307" i="4" s="1"/>
  <c r="AQ308" i="8"/>
  <c r="AQ308" i="4" s="1"/>
  <c r="AQ309" i="8"/>
  <c r="AQ309" i="4" s="1"/>
  <c r="AQ310" i="8"/>
  <c r="AQ310" i="4" s="1"/>
  <c r="AQ311" i="8"/>
  <c r="AQ312" i="8"/>
  <c r="AQ312" i="4" s="1"/>
  <c r="AQ313" i="8"/>
  <c r="AQ313" i="4" s="1"/>
  <c r="AQ314" i="8"/>
  <c r="AQ314" i="4" s="1"/>
  <c r="AQ315" i="8"/>
  <c r="AQ315" i="4" s="1"/>
  <c r="AQ316" i="8"/>
  <c r="AQ316" i="4" s="1"/>
  <c r="AQ317" i="8"/>
  <c r="AQ317" i="4" s="1"/>
  <c r="AQ318" i="8"/>
  <c r="AQ318" i="4" s="1"/>
  <c r="AQ319" i="8"/>
  <c r="AQ319" i="4" s="1"/>
  <c r="AQ320" i="8"/>
  <c r="AQ320" i="4" s="1"/>
  <c r="AQ321" i="8"/>
  <c r="AQ321" i="4" s="1"/>
  <c r="AQ322" i="8"/>
  <c r="AQ322" i="4" s="1"/>
  <c r="AQ323" i="8"/>
  <c r="AQ323" i="4" s="1"/>
  <c r="AQ324" i="8"/>
  <c r="AQ324" i="4" s="1"/>
  <c r="AQ325" i="8"/>
  <c r="AQ325" i="4" s="1"/>
  <c r="AQ326" i="8"/>
  <c r="AQ326" i="4" s="1"/>
  <c r="AQ327" i="8"/>
  <c r="AQ327" i="4" s="1"/>
  <c r="AQ328" i="8"/>
  <c r="AQ328" i="4" s="1"/>
  <c r="AQ329" i="8"/>
  <c r="AQ329" i="4" s="1"/>
  <c r="AQ330" i="8"/>
  <c r="AQ330" i="4" s="1"/>
  <c r="AQ331" i="8"/>
  <c r="AQ331" i="4" s="1"/>
  <c r="AQ332" i="8"/>
  <c r="AQ332" i="4" s="1"/>
  <c r="AQ333" i="8"/>
  <c r="AQ333" i="4" s="1"/>
  <c r="AQ334" i="8"/>
  <c r="AQ334" i="4" s="1"/>
  <c r="AQ335" i="8"/>
  <c r="AQ335" i="4" s="1"/>
  <c r="AQ336" i="8"/>
  <c r="AQ336" i="4" s="1"/>
  <c r="AQ337" i="8"/>
  <c r="AQ337" i="4" s="1"/>
  <c r="AQ338" i="8"/>
  <c r="AQ338" i="4" s="1"/>
  <c r="AQ339" i="8"/>
  <c r="AQ339" i="4" s="1"/>
  <c r="AQ340" i="8"/>
  <c r="AQ340" i="4" s="1"/>
  <c r="AQ341" i="8"/>
  <c r="AQ341" i="4" s="1"/>
  <c r="AQ342" i="8"/>
  <c r="AQ342" i="4" s="1"/>
  <c r="AQ343" i="8"/>
  <c r="AQ343" i="4" s="1"/>
  <c r="AQ344" i="8"/>
  <c r="AQ344" i="4" s="1"/>
  <c r="AQ345" i="8"/>
  <c r="AQ345" i="4" s="1"/>
  <c r="AQ346" i="8"/>
  <c r="AQ346" i="4" s="1"/>
  <c r="AQ347" i="8"/>
  <c r="AQ347" i="4" s="1"/>
  <c r="AQ348" i="8"/>
  <c r="AQ348" i="4" s="1"/>
  <c r="AQ349" i="8"/>
  <c r="AQ349" i="4" s="1"/>
  <c r="AQ350" i="8"/>
  <c r="AQ350" i="4" s="1"/>
  <c r="AQ351" i="8"/>
  <c r="AQ351" i="4" s="1"/>
  <c r="AQ352" i="8"/>
  <c r="AQ352" i="4" s="1"/>
  <c r="AQ353" i="8"/>
  <c r="AQ354" i="8"/>
  <c r="AQ354" i="4" s="1"/>
  <c r="AQ355" i="8"/>
  <c r="AQ355" i="4" s="1"/>
  <c r="AQ356" i="8"/>
  <c r="AQ356" i="4" s="1"/>
  <c r="AQ357" i="8"/>
  <c r="AQ357" i="4" s="1"/>
  <c r="AQ358" i="8"/>
  <c r="AQ358" i="4" s="1"/>
  <c r="AQ359" i="8"/>
  <c r="AQ359" i="4" s="1"/>
  <c r="AQ360" i="8"/>
  <c r="AQ360" i="4" s="1"/>
  <c r="AQ361" i="8"/>
  <c r="AQ361" i="4" s="1"/>
  <c r="AQ362" i="8"/>
  <c r="AQ362" i="4" s="1"/>
  <c r="AQ363" i="8"/>
  <c r="AQ363" i="4" s="1"/>
  <c r="AQ364" i="8"/>
  <c r="AQ364" i="4" s="1"/>
  <c r="AQ365" i="8"/>
  <c r="AQ366" i="8"/>
  <c r="AQ366" i="4" s="1"/>
  <c r="AQ367" i="8"/>
  <c r="AQ367" i="4" s="1"/>
  <c r="AQ368" i="8"/>
  <c r="AQ368" i="4" s="1"/>
  <c r="AQ369" i="8"/>
  <c r="AQ369" i="4" s="1"/>
  <c r="AQ370" i="8"/>
  <c r="AQ370" i="4" s="1"/>
  <c r="AQ371" i="8"/>
  <c r="AQ371" i="4" s="1"/>
  <c r="AQ372" i="8"/>
  <c r="AQ372" i="4" s="1"/>
  <c r="AQ373" i="8"/>
  <c r="AQ373" i="4" s="1"/>
  <c r="AQ374" i="8"/>
  <c r="AQ374" i="4" s="1"/>
  <c r="AQ375" i="8"/>
  <c r="AQ375" i="4" s="1"/>
  <c r="AQ376" i="8"/>
  <c r="AQ376" i="4" s="1"/>
  <c r="AQ377" i="8"/>
  <c r="AQ377" i="4" s="1"/>
  <c r="AQ378" i="8"/>
  <c r="AQ378" i="4" s="1"/>
  <c r="AQ379" i="8"/>
  <c r="AQ379" i="4" s="1"/>
  <c r="AQ380" i="8"/>
  <c r="AQ380" i="4" s="1"/>
  <c r="AQ381" i="8"/>
  <c r="AQ381" i="4" s="1"/>
  <c r="AQ382" i="8"/>
  <c r="AQ382" i="4" s="1"/>
  <c r="AQ383" i="8"/>
  <c r="AQ383" i="4" s="1"/>
  <c r="AQ384" i="8"/>
  <c r="AQ384" i="4" s="1"/>
  <c r="AQ385" i="8"/>
  <c r="AQ385" i="4" s="1"/>
  <c r="AQ386" i="8"/>
  <c r="AQ386" i="4" s="1"/>
  <c r="AQ387" i="8"/>
  <c r="AQ387" i="4" s="1"/>
  <c r="AQ388" i="8"/>
  <c r="AQ388" i="4" s="1"/>
  <c r="AQ389" i="8"/>
  <c r="AQ389" i="4" s="1"/>
  <c r="AQ390" i="8"/>
  <c r="AQ390" i="4" s="1"/>
  <c r="AQ391" i="8"/>
  <c r="AQ391" i="4" s="1"/>
  <c r="AQ392" i="8"/>
  <c r="AQ392" i="4" s="1"/>
  <c r="AQ393" i="8"/>
  <c r="AQ393" i="4" s="1"/>
  <c r="AQ394" i="8"/>
  <c r="AQ394" i="4" s="1"/>
  <c r="AQ395" i="8"/>
  <c r="AQ395" i="4" s="1"/>
  <c r="AQ396" i="8"/>
  <c r="AQ396" i="4" s="1"/>
  <c r="AQ397" i="8"/>
  <c r="AQ397" i="4" s="1"/>
  <c r="AQ398" i="8"/>
  <c r="AQ398" i="4" s="1"/>
  <c r="AQ399" i="8"/>
  <c r="AQ399" i="4" s="1"/>
  <c r="AQ400" i="8"/>
  <c r="AQ400" i="4" s="1"/>
  <c r="AQ401" i="8"/>
  <c r="AQ401" i="4" s="1"/>
  <c r="AQ402" i="8"/>
  <c r="AQ402" i="4" s="1"/>
  <c r="AQ403" i="8"/>
  <c r="AQ403" i="4" s="1"/>
  <c r="AQ404" i="8"/>
  <c r="AQ405" i="8"/>
  <c r="AQ405" i="4" s="1"/>
  <c r="AQ406" i="8"/>
  <c r="AQ406" i="4" s="1"/>
  <c r="AQ407" i="8"/>
  <c r="AQ407" i="4" s="1"/>
  <c r="AQ408" i="8"/>
  <c r="AQ408" i="4" s="1"/>
  <c r="AQ409" i="8"/>
  <c r="AQ409" i="4" s="1"/>
  <c r="AQ410" i="8"/>
  <c r="AQ410" i="4" s="1"/>
  <c r="AQ411" i="8"/>
  <c r="AQ411" i="4" s="1"/>
  <c r="AQ412" i="8"/>
  <c r="AQ412" i="4" s="1"/>
  <c r="AQ413" i="8"/>
  <c r="AQ413" i="4" s="1"/>
  <c r="AP278" i="8"/>
  <c r="AP278" i="4" s="1"/>
  <c r="AP279" i="8"/>
  <c r="AP279" i="4" s="1"/>
  <c r="AP280" i="8"/>
  <c r="AP280" i="4" s="1"/>
  <c r="AP281" i="8"/>
  <c r="AP281" i="4" s="1"/>
  <c r="AP282" i="8"/>
  <c r="AP282" i="4" s="1"/>
  <c r="AP283" i="8"/>
  <c r="AP283" i="4" s="1"/>
  <c r="AP284" i="8"/>
  <c r="AP284" i="4" s="1"/>
  <c r="AP285" i="8"/>
  <c r="AP285" i="4" s="1"/>
  <c r="AP286" i="8"/>
  <c r="AP286" i="4" s="1"/>
  <c r="AP287" i="8"/>
  <c r="AP287" i="4" s="1"/>
  <c r="AP288" i="8"/>
  <c r="AP288" i="4" s="1"/>
  <c r="AP289" i="8"/>
  <c r="AP289" i="4" s="1"/>
  <c r="AP290" i="8"/>
  <c r="AP290" i="4" s="1"/>
  <c r="AP291" i="8"/>
  <c r="AP291" i="4" s="1"/>
  <c r="AP292" i="8"/>
  <c r="AP292" i="4" s="1"/>
  <c r="AP293" i="8"/>
  <c r="AP293" i="4" s="1"/>
  <c r="AP294" i="8"/>
  <c r="AP294" i="4" s="1"/>
  <c r="AP295" i="8"/>
  <c r="AP295" i="4" s="1"/>
  <c r="AP296" i="8"/>
  <c r="AP296" i="4" s="1"/>
  <c r="AP297" i="8"/>
  <c r="AP297" i="4" s="1"/>
  <c r="AP298" i="8"/>
  <c r="AP298" i="4" s="1"/>
  <c r="AP299" i="8"/>
  <c r="AP299" i="4" s="1"/>
  <c r="AP300" i="8"/>
  <c r="AP300" i="4" s="1"/>
  <c r="AP301" i="8"/>
  <c r="AP301" i="4" s="1"/>
  <c r="AP302" i="8"/>
  <c r="AP302" i="4" s="1"/>
  <c r="AP303" i="8"/>
  <c r="AP303" i="4" s="1"/>
  <c r="AP304" i="8"/>
  <c r="AP304" i="4" s="1"/>
  <c r="AP305" i="8"/>
  <c r="AP305" i="4" s="1"/>
  <c r="AP306" i="8"/>
  <c r="AP306" i="4" s="1"/>
  <c r="AP307" i="8"/>
  <c r="AP307" i="4" s="1"/>
  <c r="AP308" i="8"/>
  <c r="AP308" i="4" s="1"/>
  <c r="AP309" i="8"/>
  <c r="AP309" i="4" s="1"/>
  <c r="AP310" i="8"/>
  <c r="AP310" i="4" s="1"/>
  <c r="AP311" i="8"/>
  <c r="AP312" i="8"/>
  <c r="AP312" i="4" s="1"/>
  <c r="AP313" i="8"/>
  <c r="AP313" i="4" s="1"/>
  <c r="AP314" i="8"/>
  <c r="AP314" i="4" s="1"/>
  <c r="AP315" i="8"/>
  <c r="AP315" i="4" s="1"/>
  <c r="AP316" i="8"/>
  <c r="AP316" i="4" s="1"/>
  <c r="AP317" i="8"/>
  <c r="AP317" i="4" s="1"/>
  <c r="AP318" i="8"/>
  <c r="AP318" i="4" s="1"/>
  <c r="AP319" i="8"/>
  <c r="AP319" i="4" s="1"/>
  <c r="AP320" i="8"/>
  <c r="AP320" i="4" s="1"/>
  <c r="AP321" i="8"/>
  <c r="AP321" i="4" s="1"/>
  <c r="AP322" i="8"/>
  <c r="AP322" i="4" s="1"/>
  <c r="AP323" i="8"/>
  <c r="AP323" i="4" s="1"/>
  <c r="AP324" i="8"/>
  <c r="AP324" i="4" s="1"/>
  <c r="AP325" i="8"/>
  <c r="AP325" i="4" s="1"/>
  <c r="AP326" i="8"/>
  <c r="AP326" i="4" s="1"/>
  <c r="AP327" i="8"/>
  <c r="AP327" i="4" s="1"/>
  <c r="AP328" i="8"/>
  <c r="AP328" i="4" s="1"/>
  <c r="AP329" i="8"/>
  <c r="AP329" i="4" s="1"/>
  <c r="AP330" i="8"/>
  <c r="AP330" i="4" s="1"/>
  <c r="AP331" i="8"/>
  <c r="AP331" i="4" s="1"/>
  <c r="AP332" i="8"/>
  <c r="AP332" i="4" s="1"/>
  <c r="AP333" i="8"/>
  <c r="AP333" i="4" s="1"/>
  <c r="AP334" i="8"/>
  <c r="AP334" i="4" s="1"/>
  <c r="AP335" i="8"/>
  <c r="AP335" i="4" s="1"/>
  <c r="AP336" i="8"/>
  <c r="AP336" i="4" s="1"/>
  <c r="AP337" i="8"/>
  <c r="AP337" i="4" s="1"/>
  <c r="AP338" i="8"/>
  <c r="AP338" i="4" s="1"/>
  <c r="AP339" i="8"/>
  <c r="AP339" i="4" s="1"/>
  <c r="AP340" i="8"/>
  <c r="AP340" i="4" s="1"/>
  <c r="AP341" i="8"/>
  <c r="AP341" i="4" s="1"/>
  <c r="AP342" i="8"/>
  <c r="AP342" i="4" s="1"/>
  <c r="AP343" i="8"/>
  <c r="AP343" i="4" s="1"/>
  <c r="AP344" i="8"/>
  <c r="AP344" i="4" s="1"/>
  <c r="AP345" i="8"/>
  <c r="AP345" i="4" s="1"/>
  <c r="AP346" i="8"/>
  <c r="AP346" i="4" s="1"/>
  <c r="AP347" i="8"/>
  <c r="AP347" i="4" s="1"/>
  <c r="AP348" i="8"/>
  <c r="AP348" i="4" s="1"/>
  <c r="AP349" i="8"/>
  <c r="AP349" i="4" s="1"/>
  <c r="AP350" i="8"/>
  <c r="AP350" i="4" s="1"/>
  <c r="AP351" i="8"/>
  <c r="AP351" i="4" s="1"/>
  <c r="AP352" i="8"/>
  <c r="AP352" i="4" s="1"/>
  <c r="AP353" i="8"/>
  <c r="AP354" i="8"/>
  <c r="AP354" i="4" s="1"/>
  <c r="AP355" i="8"/>
  <c r="AP355" i="4" s="1"/>
  <c r="AP356" i="8"/>
  <c r="AP356" i="4" s="1"/>
  <c r="AP357" i="8"/>
  <c r="AP357" i="4" s="1"/>
  <c r="AP358" i="8"/>
  <c r="AP358" i="4" s="1"/>
  <c r="AP359" i="8"/>
  <c r="AP359" i="4" s="1"/>
  <c r="AP360" i="8"/>
  <c r="AP360" i="4" s="1"/>
  <c r="AP361" i="8"/>
  <c r="AP361" i="4" s="1"/>
  <c r="AP362" i="8"/>
  <c r="AP362" i="4" s="1"/>
  <c r="AP363" i="8"/>
  <c r="AP363" i="4" s="1"/>
  <c r="AP364" i="8"/>
  <c r="AP364" i="4" s="1"/>
  <c r="AP365" i="8"/>
  <c r="AP366" i="8"/>
  <c r="AP366" i="4" s="1"/>
  <c r="AP367" i="8"/>
  <c r="AP367" i="4" s="1"/>
  <c r="AP368" i="8"/>
  <c r="AP368" i="4" s="1"/>
  <c r="AP369" i="8"/>
  <c r="AP369" i="4" s="1"/>
  <c r="AP370" i="8"/>
  <c r="AP370" i="4" s="1"/>
  <c r="AP371" i="8"/>
  <c r="AP371" i="4" s="1"/>
  <c r="AP372" i="8"/>
  <c r="AP372" i="4" s="1"/>
  <c r="AP373" i="8"/>
  <c r="AP373" i="4" s="1"/>
  <c r="AP374" i="8"/>
  <c r="AP374" i="4" s="1"/>
  <c r="AP375" i="8"/>
  <c r="AP375" i="4" s="1"/>
  <c r="AP376" i="8"/>
  <c r="AP376" i="4" s="1"/>
  <c r="AP377" i="8"/>
  <c r="AP377" i="4" s="1"/>
  <c r="AP378" i="8"/>
  <c r="AP378" i="4" s="1"/>
  <c r="AP379" i="8"/>
  <c r="AP379" i="4" s="1"/>
  <c r="AP380" i="8"/>
  <c r="AP380" i="4" s="1"/>
  <c r="AP381" i="8"/>
  <c r="AP381" i="4" s="1"/>
  <c r="AP382" i="8"/>
  <c r="AP382" i="4" s="1"/>
  <c r="AP383" i="8"/>
  <c r="AP383" i="4" s="1"/>
  <c r="AP384" i="8"/>
  <c r="AP384" i="4" s="1"/>
  <c r="AP385" i="8"/>
  <c r="AP385" i="4" s="1"/>
  <c r="AP386" i="8"/>
  <c r="AP386" i="4" s="1"/>
  <c r="AP387" i="8"/>
  <c r="AP387" i="4" s="1"/>
  <c r="AP388" i="8"/>
  <c r="AP388" i="4" s="1"/>
  <c r="AP389" i="8"/>
  <c r="AP389" i="4" s="1"/>
  <c r="AP390" i="8"/>
  <c r="AP390" i="4" s="1"/>
  <c r="AP391" i="8"/>
  <c r="AP391" i="4" s="1"/>
  <c r="AP392" i="8"/>
  <c r="AP392" i="4" s="1"/>
  <c r="AP393" i="8"/>
  <c r="AP393" i="4" s="1"/>
  <c r="AP394" i="8"/>
  <c r="AP394" i="4" s="1"/>
  <c r="AP395" i="8"/>
  <c r="AP395" i="4" s="1"/>
  <c r="AP396" i="8"/>
  <c r="AP396" i="4" s="1"/>
  <c r="AP397" i="8"/>
  <c r="AP397" i="4" s="1"/>
  <c r="AP398" i="8"/>
  <c r="AP398" i="4" s="1"/>
  <c r="AP399" i="8"/>
  <c r="AP399" i="4" s="1"/>
  <c r="AP400" i="8"/>
  <c r="AP400" i="4" s="1"/>
  <c r="AP401" i="8"/>
  <c r="AP401" i="4" s="1"/>
  <c r="AP402" i="8"/>
  <c r="AP402" i="4" s="1"/>
  <c r="AP403" i="8"/>
  <c r="AP403" i="4" s="1"/>
  <c r="AP404" i="8"/>
  <c r="AP405" i="8"/>
  <c r="AP405" i="4" s="1"/>
  <c r="AP406" i="8"/>
  <c r="AP406" i="4" s="1"/>
  <c r="AP407" i="8"/>
  <c r="AP407" i="4" s="1"/>
  <c r="AP408" i="8"/>
  <c r="AP408" i="4" s="1"/>
  <c r="AP409" i="8"/>
  <c r="AP409" i="4" s="1"/>
  <c r="AP410" i="8"/>
  <c r="AP410" i="4" s="1"/>
  <c r="AP411" i="8"/>
  <c r="AP411" i="4" s="1"/>
  <c r="AP412" i="8"/>
  <c r="AP412" i="4" s="1"/>
  <c r="AP413" i="8"/>
  <c r="AP413" i="4" s="1"/>
  <c r="AO278" i="8"/>
  <c r="AO278" i="4" s="1"/>
  <c r="AO279" i="8"/>
  <c r="AO279" i="4" s="1"/>
  <c r="AO280" i="8"/>
  <c r="AO280" i="4" s="1"/>
  <c r="AO281" i="8"/>
  <c r="AO281" i="4" s="1"/>
  <c r="AO282" i="8"/>
  <c r="AO282" i="4" s="1"/>
  <c r="AO283" i="8"/>
  <c r="AO283" i="4" s="1"/>
  <c r="AO284" i="8"/>
  <c r="AO284" i="4" s="1"/>
  <c r="AO285" i="8"/>
  <c r="AO285" i="4" s="1"/>
  <c r="AO286" i="8"/>
  <c r="AO286" i="4" s="1"/>
  <c r="AO287" i="8"/>
  <c r="AO287" i="4" s="1"/>
  <c r="AO288" i="8"/>
  <c r="AO288" i="4" s="1"/>
  <c r="AO289" i="8"/>
  <c r="AO289" i="4" s="1"/>
  <c r="AO290" i="8"/>
  <c r="AO290" i="4" s="1"/>
  <c r="AO291" i="8"/>
  <c r="AO291" i="4" s="1"/>
  <c r="AO292" i="8"/>
  <c r="AO292" i="4" s="1"/>
  <c r="AO293" i="8"/>
  <c r="AO293" i="4" s="1"/>
  <c r="AO294" i="8"/>
  <c r="AO294" i="4" s="1"/>
  <c r="AO295" i="8"/>
  <c r="AO295" i="4" s="1"/>
  <c r="AO296" i="8"/>
  <c r="AO296" i="4" s="1"/>
  <c r="AO297" i="8"/>
  <c r="AO297" i="4" s="1"/>
  <c r="AO298" i="8"/>
  <c r="AO298" i="4" s="1"/>
  <c r="AO299" i="8"/>
  <c r="AO299" i="4" s="1"/>
  <c r="AO300" i="8"/>
  <c r="AO300" i="4" s="1"/>
  <c r="AO301" i="8"/>
  <c r="AO301" i="4" s="1"/>
  <c r="AO302" i="8"/>
  <c r="AO302" i="4" s="1"/>
  <c r="AO303" i="8"/>
  <c r="AO303" i="4" s="1"/>
  <c r="AO304" i="8"/>
  <c r="AO304" i="4" s="1"/>
  <c r="AO305" i="8"/>
  <c r="AO305" i="4" s="1"/>
  <c r="AO306" i="8"/>
  <c r="AO306" i="4" s="1"/>
  <c r="AO307" i="8"/>
  <c r="AO307" i="4" s="1"/>
  <c r="AO308" i="8"/>
  <c r="AO308" i="4" s="1"/>
  <c r="AO309" i="8"/>
  <c r="AO309" i="4" s="1"/>
  <c r="AO310" i="8"/>
  <c r="AO310" i="4" s="1"/>
  <c r="AO311" i="8"/>
  <c r="AO312" i="8"/>
  <c r="AO312" i="4" s="1"/>
  <c r="AO313" i="8"/>
  <c r="AO313" i="4" s="1"/>
  <c r="AO314" i="8"/>
  <c r="AO314" i="4" s="1"/>
  <c r="AO315" i="8"/>
  <c r="AO315" i="4" s="1"/>
  <c r="AO316" i="8"/>
  <c r="AO316" i="4" s="1"/>
  <c r="AO317" i="8"/>
  <c r="AO317" i="4" s="1"/>
  <c r="AO318" i="8"/>
  <c r="AO318" i="4" s="1"/>
  <c r="AO319" i="8"/>
  <c r="AO319" i="4" s="1"/>
  <c r="AO320" i="8"/>
  <c r="AO320" i="4" s="1"/>
  <c r="AO321" i="8"/>
  <c r="AO321" i="4" s="1"/>
  <c r="AO322" i="8"/>
  <c r="AO322" i="4" s="1"/>
  <c r="AO323" i="8"/>
  <c r="AO323" i="4" s="1"/>
  <c r="AO324" i="8"/>
  <c r="AO324" i="4" s="1"/>
  <c r="AO325" i="8"/>
  <c r="AO325" i="4" s="1"/>
  <c r="AO326" i="8"/>
  <c r="AO326" i="4" s="1"/>
  <c r="AO327" i="8"/>
  <c r="AO327" i="4" s="1"/>
  <c r="AO328" i="8"/>
  <c r="AO328" i="4" s="1"/>
  <c r="AO329" i="8"/>
  <c r="AO329" i="4" s="1"/>
  <c r="AO330" i="8"/>
  <c r="AO330" i="4" s="1"/>
  <c r="AO331" i="8"/>
  <c r="AO331" i="4" s="1"/>
  <c r="AO332" i="8"/>
  <c r="AO332" i="4" s="1"/>
  <c r="AO333" i="8"/>
  <c r="AO333" i="4" s="1"/>
  <c r="AO334" i="8"/>
  <c r="AO334" i="4" s="1"/>
  <c r="AO335" i="8"/>
  <c r="AO335" i="4" s="1"/>
  <c r="AO336" i="8"/>
  <c r="AO336" i="4" s="1"/>
  <c r="AO337" i="8"/>
  <c r="AO337" i="4" s="1"/>
  <c r="AO338" i="8"/>
  <c r="AO338" i="4" s="1"/>
  <c r="AO339" i="8"/>
  <c r="AO339" i="4" s="1"/>
  <c r="AO340" i="8"/>
  <c r="AO340" i="4" s="1"/>
  <c r="AO341" i="8"/>
  <c r="AO341" i="4" s="1"/>
  <c r="AO342" i="8"/>
  <c r="AO342" i="4" s="1"/>
  <c r="AO343" i="8"/>
  <c r="AO343" i="4" s="1"/>
  <c r="AO344" i="8"/>
  <c r="AO344" i="4" s="1"/>
  <c r="AO345" i="8"/>
  <c r="AO345" i="4" s="1"/>
  <c r="AO346" i="8"/>
  <c r="AO346" i="4" s="1"/>
  <c r="AO347" i="8"/>
  <c r="AO347" i="4" s="1"/>
  <c r="AO348" i="8"/>
  <c r="AO348" i="4" s="1"/>
  <c r="AO349" i="8"/>
  <c r="AO349" i="4" s="1"/>
  <c r="AO350" i="8"/>
  <c r="AO350" i="4" s="1"/>
  <c r="AO351" i="8"/>
  <c r="AO351" i="4" s="1"/>
  <c r="AO352" i="8"/>
  <c r="AO352" i="4" s="1"/>
  <c r="AO353" i="8"/>
  <c r="AO354" i="8"/>
  <c r="AO354" i="4" s="1"/>
  <c r="AO355" i="8"/>
  <c r="AO355" i="4" s="1"/>
  <c r="AO356" i="8"/>
  <c r="AO356" i="4" s="1"/>
  <c r="AO357" i="8"/>
  <c r="AO357" i="4" s="1"/>
  <c r="AO358" i="8"/>
  <c r="AO358" i="4" s="1"/>
  <c r="AO359" i="8"/>
  <c r="AO359" i="4" s="1"/>
  <c r="AO360" i="8"/>
  <c r="AO360" i="4" s="1"/>
  <c r="AO361" i="8"/>
  <c r="AO361" i="4" s="1"/>
  <c r="AO362" i="8"/>
  <c r="AO362" i="4" s="1"/>
  <c r="AO363" i="8"/>
  <c r="AO363" i="4" s="1"/>
  <c r="AO364" i="8"/>
  <c r="AO364" i="4" s="1"/>
  <c r="AO365" i="8"/>
  <c r="AO366" i="8"/>
  <c r="AO366" i="4" s="1"/>
  <c r="AO367" i="8"/>
  <c r="AO367" i="4" s="1"/>
  <c r="AO368" i="8"/>
  <c r="AO368" i="4" s="1"/>
  <c r="AO369" i="8"/>
  <c r="AO369" i="4" s="1"/>
  <c r="AO370" i="8"/>
  <c r="AO370" i="4" s="1"/>
  <c r="AO371" i="8"/>
  <c r="AO371" i="4" s="1"/>
  <c r="AO372" i="8"/>
  <c r="AO372" i="4" s="1"/>
  <c r="AO373" i="8"/>
  <c r="AO373" i="4" s="1"/>
  <c r="AO374" i="8"/>
  <c r="AO374" i="4" s="1"/>
  <c r="AO375" i="8"/>
  <c r="AO375" i="4" s="1"/>
  <c r="AO376" i="8"/>
  <c r="AO376" i="4" s="1"/>
  <c r="AO377" i="8"/>
  <c r="AO377" i="4" s="1"/>
  <c r="AO378" i="8"/>
  <c r="AO378" i="4" s="1"/>
  <c r="AO379" i="8"/>
  <c r="AO379" i="4" s="1"/>
  <c r="AO380" i="8"/>
  <c r="AO380" i="4" s="1"/>
  <c r="AO381" i="8"/>
  <c r="AO381" i="4" s="1"/>
  <c r="AO382" i="8"/>
  <c r="AO382" i="4" s="1"/>
  <c r="AO383" i="8"/>
  <c r="AO383" i="4" s="1"/>
  <c r="AO384" i="8"/>
  <c r="AO384" i="4" s="1"/>
  <c r="AO385" i="8"/>
  <c r="AO385" i="4" s="1"/>
  <c r="AO386" i="8"/>
  <c r="AO386" i="4" s="1"/>
  <c r="AO387" i="8"/>
  <c r="AO387" i="4" s="1"/>
  <c r="AO388" i="8"/>
  <c r="AO388" i="4" s="1"/>
  <c r="AO389" i="8"/>
  <c r="AO389" i="4" s="1"/>
  <c r="AO390" i="8"/>
  <c r="AO390" i="4" s="1"/>
  <c r="AO391" i="8"/>
  <c r="AO391" i="4" s="1"/>
  <c r="AO392" i="8"/>
  <c r="AO392" i="4" s="1"/>
  <c r="AO393" i="8"/>
  <c r="AO393" i="4" s="1"/>
  <c r="AO394" i="8"/>
  <c r="AO394" i="4" s="1"/>
  <c r="AO395" i="8"/>
  <c r="AO395" i="4" s="1"/>
  <c r="AO396" i="8"/>
  <c r="AO396" i="4" s="1"/>
  <c r="AO397" i="8"/>
  <c r="AO397" i="4" s="1"/>
  <c r="AO398" i="8"/>
  <c r="AO398" i="4" s="1"/>
  <c r="AO399" i="8"/>
  <c r="AO399" i="4" s="1"/>
  <c r="AO400" i="8"/>
  <c r="AO400" i="4" s="1"/>
  <c r="AO401" i="8"/>
  <c r="AO401" i="4" s="1"/>
  <c r="AO402" i="8"/>
  <c r="AO402" i="4" s="1"/>
  <c r="AO403" i="8"/>
  <c r="AO403" i="4" s="1"/>
  <c r="AO404" i="8"/>
  <c r="AO405" i="8"/>
  <c r="AO405" i="4" s="1"/>
  <c r="AO406" i="8"/>
  <c r="AO406" i="4" s="1"/>
  <c r="AO407" i="8"/>
  <c r="AO407" i="4" s="1"/>
  <c r="AO408" i="8"/>
  <c r="AO408" i="4" s="1"/>
  <c r="AO409" i="8"/>
  <c r="AO409" i="4" s="1"/>
  <c r="AO410" i="8"/>
  <c r="AO410" i="4" s="1"/>
  <c r="AO411" i="8"/>
  <c r="AO411" i="4" s="1"/>
  <c r="AO412" i="8"/>
  <c r="AO412" i="4" s="1"/>
  <c r="AO413" i="8"/>
  <c r="AO413" i="4" s="1"/>
  <c r="AN278" i="8"/>
  <c r="AN278" i="4" s="1"/>
  <c r="AN279" i="8"/>
  <c r="AN279" i="4" s="1"/>
  <c r="AN280" i="8"/>
  <c r="AN280" i="4" s="1"/>
  <c r="AN281" i="8"/>
  <c r="AN281" i="4" s="1"/>
  <c r="AN282" i="8"/>
  <c r="AN282" i="4" s="1"/>
  <c r="AN283" i="8"/>
  <c r="AN283" i="4" s="1"/>
  <c r="AN284" i="8"/>
  <c r="AN284" i="4" s="1"/>
  <c r="AN285" i="8"/>
  <c r="AN285" i="4" s="1"/>
  <c r="AN286" i="8"/>
  <c r="AN286" i="4" s="1"/>
  <c r="AN287" i="8"/>
  <c r="AN287" i="4" s="1"/>
  <c r="AN288" i="8"/>
  <c r="AN288" i="4" s="1"/>
  <c r="AN289" i="8"/>
  <c r="AN289" i="4" s="1"/>
  <c r="AN290" i="8"/>
  <c r="AN290" i="4" s="1"/>
  <c r="AN291" i="8"/>
  <c r="AN291" i="4" s="1"/>
  <c r="AN292" i="8"/>
  <c r="AN292" i="4" s="1"/>
  <c r="AN293" i="8"/>
  <c r="AN293" i="4" s="1"/>
  <c r="AN294" i="8"/>
  <c r="AN294" i="4" s="1"/>
  <c r="AN295" i="8"/>
  <c r="AN295" i="4" s="1"/>
  <c r="AN296" i="8"/>
  <c r="AN296" i="4" s="1"/>
  <c r="AN297" i="8"/>
  <c r="AN297" i="4" s="1"/>
  <c r="AN298" i="8"/>
  <c r="AN298" i="4" s="1"/>
  <c r="AN299" i="8"/>
  <c r="AN299" i="4" s="1"/>
  <c r="AN300" i="8"/>
  <c r="AN300" i="4" s="1"/>
  <c r="AN301" i="8"/>
  <c r="AN301" i="4" s="1"/>
  <c r="AN302" i="8"/>
  <c r="AN302" i="4" s="1"/>
  <c r="AN303" i="8"/>
  <c r="AN303" i="4" s="1"/>
  <c r="AN304" i="8"/>
  <c r="AN304" i="4" s="1"/>
  <c r="AN305" i="8"/>
  <c r="AN305" i="4" s="1"/>
  <c r="AN306" i="8"/>
  <c r="AN306" i="4" s="1"/>
  <c r="AN307" i="8"/>
  <c r="AN307" i="4" s="1"/>
  <c r="AN308" i="8"/>
  <c r="AN308" i="4" s="1"/>
  <c r="AN309" i="8"/>
  <c r="AN309" i="4" s="1"/>
  <c r="AN310" i="8"/>
  <c r="AN310" i="4" s="1"/>
  <c r="AN311" i="8"/>
  <c r="AN312" i="8"/>
  <c r="AN312" i="4" s="1"/>
  <c r="AN313" i="8"/>
  <c r="AN313" i="4" s="1"/>
  <c r="AN314" i="8"/>
  <c r="AN314" i="4" s="1"/>
  <c r="AN315" i="8"/>
  <c r="AN315" i="4" s="1"/>
  <c r="AN316" i="8"/>
  <c r="AN316" i="4" s="1"/>
  <c r="AN317" i="8"/>
  <c r="AN317" i="4" s="1"/>
  <c r="AN318" i="8"/>
  <c r="AN318" i="4" s="1"/>
  <c r="AN319" i="8"/>
  <c r="AN319" i="4" s="1"/>
  <c r="AN320" i="8"/>
  <c r="AN320" i="4" s="1"/>
  <c r="AN321" i="8"/>
  <c r="AN321" i="4" s="1"/>
  <c r="AN322" i="8"/>
  <c r="AN322" i="4" s="1"/>
  <c r="AN323" i="8"/>
  <c r="AN323" i="4" s="1"/>
  <c r="AN324" i="8"/>
  <c r="AN324" i="4" s="1"/>
  <c r="AN325" i="8"/>
  <c r="AN325" i="4" s="1"/>
  <c r="AN326" i="8"/>
  <c r="AN326" i="4" s="1"/>
  <c r="AN327" i="8"/>
  <c r="AN327" i="4" s="1"/>
  <c r="AN328" i="8"/>
  <c r="AN328" i="4" s="1"/>
  <c r="AN329" i="8"/>
  <c r="AN329" i="4" s="1"/>
  <c r="AN330" i="8"/>
  <c r="AN330" i="4" s="1"/>
  <c r="AN331" i="8"/>
  <c r="AN331" i="4" s="1"/>
  <c r="AN332" i="8"/>
  <c r="AN332" i="4" s="1"/>
  <c r="AN333" i="8"/>
  <c r="AN333" i="4" s="1"/>
  <c r="AN334" i="8"/>
  <c r="AN334" i="4" s="1"/>
  <c r="AN335" i="8"/>
  <c r="AN335" i="4" s="1"/>
  <c r="AN336" i="8"/>
  <c r="AN336" i="4" s="1"/>
  <c r="AN337" i="8"/>
  <c r="AN337" i="4" s="1"/>
  <c r="AN338" i="8"/>
  <c r="AN338" i="4" s="1"/>
  <c r="AN339" i="8"/>
  <c r="AN339" i="4" s="1"/>
  <c r="AN340" i="8"/>
  <c r="AN340" i="4" s="1"/>
  <c r="AN341" i="8"/>
  <c r="AN341" i="4" s="1"/>
  <c r="AN342" i="8"/>
  <c r="AN342" i="4" s="1"/>
  <c r="AN343" i="8"/>
  <c r="AN343" i="4" s="1"/>
  <c r="AN344" i="8"/>
  <c r="AN344" i="4" s="1"/>
  <c r="AN345" i="8"/>
  <c r="AN345" i="4" s="1"/>
  <c r="AN346" i="8"/>
  <c r="AN346" i="4" s="1"/>
  <c r="AN347" i="8"/>
  <c r="AN347" i="4" s="1"/>
  <c r="AN348" i="8"/>
  <c r="AN348" i="4" s="1"/>
  <c r="AN349" i="8"/>
  <c r="AN349" i="4" s="1"/>
  <c r="AN350" i="8"/>
  <c r="AN350" i="4" s="1"/>
  <c r="AN351" i="8"/>
  <c r="AN351" i="4" s="1"/>
  <c r="AN352" i="8"/>
  <c r="AN352" i="4" s="1"/>
  <c r="AN353" i="8"/>
  <c r="AN354" i="8"/>
  <c r="AN354" i="4" s="1"/>
  <c r="AN355" i="8"/>
  <c r="AN355" i="4" s="1"/>
  <c r="AN356" i="8"/>
  <c r="AN356" i="4" s="1"/>
  <c r="AN357" i="8"/>
  <c r="AN357" i="4" s="1"/>
  <c r="AN358" i="8"/>
  <c r="AN358" i="4" s="1"/>
  <c r="AN359" i="8"/>
  <c r="AN359" i="4" s="1"/>
  <c r="AN360" i="8"/>
  <c r="AN360" i="4" s="1"/>
  <c r="AN361" i="8"/>
  <c r="AN361" i="4" s="1"/>
  <c r="AN362" i="8"/>
  <c r="AN362" i="4" s="1"/>
  <c r="AN363" i="8"/>
  <c r="AN363" i="4" s="1"/>
  <c r="AN364" i="8"/>
  <c r="AN364" i="4" s="1"/>
  <c r="AN365" i="8"/>
  <c r="AN366" i="8"/>
  <c r="AN366" i="4" s="1"/>
  <c r="AN367" i="8"/>
  <c r="AN367" i="4" s="1"/>
  <c r="AN368" i="8"/>
  <c r="AN368" i="4" s="1"/>
  <c r="AN369" i="8"/>
  <c r="AN369" i="4" s="1"/>
  <c r="AN370" i="8"/>
  <c r="AN370" i="4" s="1"/>
  <c r="AN371" i="8"/>
  <c r="AN371" i="4" s="1"/>
  <c r="AN372" i="8"/>
  <c r="AN372" i="4" s="1"/>
  <c r="AN373" i="8"/>
  <c r="AN373" i="4" s="1"/>
  <c r="AN374" i="8"/>
  <c r="AN374" i="4" s="1"/>
  <c r="AN375" i="8"/>
  <c r="AN375" i="4" s="1"/>
  <c r="AN376" i="8"/>
  <c r="AN376" i="4" s="1"/>
  <c r="AN377" i="8"/>
  <c r="AN377" i="4" s="1"/>
  <c r="AN378" i="8"/>
  <c r="AN378" i="4" s="1"/>
  <c r="AN379" i="8"/>
  <c r="AN379" i="4" s="1"/>
  <c r="AN380" i="8"/>
  <c r="AN380" i="4" s="1"/>
  <c r="AN381" i="8"/>
  <c r="AN381" i="4" s="1"/>
  <c r="AN382" i="8"/>
  <c r="AN382" i="4" s="1"/>
  <c r="AN383" i="8"/>
  <c r="AN383" i="4" s="1"/>
  <c r="AN384" i="8"/>
  <c r="AN384" i="4" s="1"/>
  <c r="AN385" i="8"/>
  <c r="AN385" i="4" s="1"/>
  <c r="AN386" i="8"/>
  <c r="AN386" i="4" s="1"/>
  <c r="AN387" i="8"/>
  <c r="AN387" i="4" s="1"/>
  <c r="AN388" i="8"/>
  <c r="AN388" i="4" s="1"/>
  <c r="AN389" i="8"/>
  <c r="AN389" i="4" s="1"/>
  <c r="AN390" i="8"/>
  <c r="AN390" i="4" s="1"/>
  <c r="AN391" i="8"/>
  <c r="AN391" i="4" s="1"/>
  <c r="AN392" i="8"/>
  <c r="AN392" i="4" s="1"/>
  <c r="AN393" i="8"/>
  <c r="AN393" i="4" s="1"/>
  <c r="AN394" i="8"/>
  <c r="AN394" i="4" s="1"/>
  <c r="AN395" i="8"/>
  <c r="AN395" i="4" s="1"/>
  <c r="AN396" i="8"/>
  <c r="AN396" i="4" s="1"/>
  <c r="AN397" i="8"/>
  <c r="AN397" i="4" s="1"/>
  <c r="AN398" i="8"/>
  <c r="AN398" i="4" s="1"/>
  <c r="AN399" i="8"/>
  <c r="AN399" i="4" s="1"/>
  <c r="AN400" i="8"/>
  <c r="AN400" i="4" s="1"/>
  <c r="AN401" i="8"/>
  <c r="AN401" i="4" s="1"/>
  <c r="AN402" i="8"/>
  <c r="AN402" i="4" s="1"/>
  <c r="AN403" i="8"/>
  <c r="AN403" i="4" s="1"/>
  <c r="AN404" i="8"/>
  <c r="AN405" i="8"/>
  <c r="AN405" i="4" s="1"/>
  <c r="AN406" i="8"/>
  <c r="AN406" i="4" s="1"/>
  <c r="AN407" i="8"/>
  <c r="AN407" i="4" s="1"/>
  <c r="AN408" i="8"/>
  <c r="AN408" i="4" s="1"/>
  <c r="AN409" i="8"/>
  <c r="AN409" i="4" s="1"/>
  <c r="AN410" i="8"/>
  <c r="AN410" i="4" s="1"/>
  <c r="AN411" i="8"/>
  <c r="AN411" i="4" s="1"/>
  <c r="AN412" i="8"/>
  <c r="AN412" i="4" s="1"/>
  <c r="AN413" i="8"/>
  <c r="AN413" i="4" s="1"/>
  <c r="AM278" i="8"/>
  <c r="AM278" i="4" s="1"/>
  <c r="AM279" i="8"/>
  <c r="AM279" i="4" s="1"/>
  <c r="AM280" i="8"/>
  <c r="AM280" i="4" s="1"/>
  <c r="AM281" i="8"/>
  <c r="AM281" i="4" s="1"/>
  <c r="AM282" i="8"/>
  <c r="AM282" i="4" s="1"/>
  <c r="AM283" i="8"/>
  <c r="AM283" i="4" s="1"/>
  <c r="AM284" i="8"/>
  <c r="AM284" i="4" s="1"/>
  <c r="AM285" i="8"/>
  <c r="AM285" i="4" s="1"/>
  <c r="AM286" i="8"/>
  <c r="AM286" i="4" s="1"/>
  <c r="AM287" i="8"/>
  <c r="AM287" i="4" s="1"/>
  <c r="AM288" i="8"/>
  <c r="AM288" i="4" s="1"/>
  <c r="AM289" i="8"/>
  <c r="AM289" i="4" s="1"/>
  <c r="AM290" i="8"/>
  <c r="AM290" i="4" s="1"/>
  <c r="AM291" i="8"/>
  <c r="AM291" i="4" s="1"/>
  <c r="AM292" i="8"/>
  <c r="AM292" i="4" s="1"/>
  <c r="AM293" i="8"/>
  <c r="AM293" i="4" s="1"/>
  <c r="AM294" i="8"/>
  <c r="AM294" i="4" s="1"/>
  <c r="AM295" i="8"/>
  <c r="AM295" i="4" s="1"/>
  <c r="AM296" i="8"/>
  <c r="AM296" i="4" s="1"/>
  <c r="AM297" i="8"/>
  <c r="AM297" i="4" s="1"/>
  <c r="AM298" i="8"/>
  <c r="AM298" i="4" s="1"/>
  <c r="AM299" i="8"/>
  <c r="AM299" i="4" s="1"/>
  <c r="AM300" i="8"/>
  <c r="AM300" i="4" s="1"/>
  <c r="AM301" i="8"/>
  <c r="AM301" i="4" s="1"/>
  <c r="AM302" i="8"/>
  <c r="AM302" i="4" s="1"/>
  <c r="AM303" i="8"/>
  <c r="AM303" i="4" s="1"/>
  <c r="AM304" i="8"/>
  <c r="AM304" i="4" s="1"/>
  <c r="AM305" i="8"/>
  <c r="AM305" i="4" s="1"/>
  <c r="AM306" i="8"/>
  <c r="AM306" i="4" s="1"/>
  <c r="AM307" i="8"/>
  <c r="AM307" i="4" s="1"/>
  <c r="AM308" i="8"/>
  <c r="AM308" i="4" s="1"/>
  <c r="AM309" i="8"/>
  <c r="AM309" i="4" s="1"/>
  <c r="AM310" i="8"/>
  <c r="AM310" i="4" s="1"/>
  <c r="AM311" i="8"/>
  <c r="AM312" i="8"/>
  <c r="AM312" i="4" s="1"/>
  <c r="AM313" i="8"/>
  <c r="AM313" i="4" s="1"/>
  <c r="AM314" i="8"/>
  <c r="AM314" i="4" s="1"/>
  <c r="AM315" i="8"/>
  <c r="AM315" i="4" s="1"/>
  <c r="AM316" i="8"/>
  <c r="AM316" i="4" s="1"/>
  <c r="AM317" i="8"/>
  <c r="AM317" i="4" s="1"/>
  <c r="AM318" i="8"/>
  <c r="AM318" i="4" s="1"/>
  <c r="AM319" i="8"/>
  <c r="AM319" i="4" s="1"/>
  <c r="AM320" i="8"/>
  <c r="AM320" i="4" s="1"/>
  <c r="AM321" i="8"/>
  <c r="AM321" i="4" s="1"/>
  <c r="AM322" i="8"/>
  <c r="AM322" i="4" s="1"/>
  <c r="AM323" i="8"/>
  <c r="AM323" i="4" s="1"/>
  <c r="AM324" i="8"/>
  <c r="AM324" i="4" s="1"/>
  <c r="AM325" i="8"/>
  <c r="AM325" i="4" s="1"/>
  <c r="AM326" i="8"/>
  <c r="AM326" i="4" s="1"/>
  <c r="AM327" i="8"/>
  <c r="AM327" i="4" s="1"/>
  <c r="AM328" i="8"/>
  <c r="AM328" i="4" s="1"/>
  <c r="AM329" i="8"/>
  <c r="AM329" i="4" s="1"/>
  <c r="AM330" i="8"/>
  <c r="AM330" i="4" s="1"/>
  <c r="AM331" i="8"/>
  <c r="AM331" i="4" s="1"/>
  <c r="AM332" i="8"/>
  <c r="AM332" i="4" s="1"/>
  <c r="AM333" i="8"/>
  <c r="AM333" i="4" s="1"/>
  <c r="AM334" i="8"/>
  <c r="AM334" i="4" s="1"/>
  <c r="AM335" i="8"/>
  <c r="AM335" i="4" s="1"/>
  <c r="AM336" i="8"/>
  <c r="AM336" i="4" s="1"/>
  <c r="AM337" i="8"/>
  <c r="AM337" i="4" s="1"/>
  <c r="AM338" i="8"/>
  <c r="AM338" i="4" s="1"/>
  <c r="AM339" i="8"/>
  <c r="AM339" i="4" s="1"/>
  <c r="AM340" i="8"/>
  <c r="AM340" i="4" s="1"/>
  <c r="AM341" i="8"/>
  <c r="AM341" i="4" s="1"/>
  <c r="AM342" i="8"/>
  <c r="AM342" i="4" s="1"/>
  <c r="AM343" i="8"/>
  <c r="AM343" i="4" s="1"/>
  <c r="AM344" i="8"/>
  <c r="AM344" i="4" s="1"/>
  <c r="AM345" i="8"/>
  <c r="AM345" i="4" s="1"/>
  <c r="AM346" i="8"/>
  <c r="AM346" i="4" s="1"/>
  <c r="AM347" i="8"/>
  <c r="AM347" i="4" s="1"/>
  <c r="AM348" i="8"/>
  <c r="AM348" i="4" s="1"/>
  <c r="AM349" i="8"/>
  <c r="AM349" i="4" s="1"/>
  <c r="AM350" i="8"/>
  <c r="AM350" i="4" s="1"/>
  <c r="AM351" i="8"/>
  <c r="AM351" i="4" s="1"/>
  <c r="AM352" i="8"/>
  <c r="AM352" i="4" s="1"/>
  <c r="AM353" i="8"/>
  <c r="AM354" i="8"/>
  <c r="AM354" i="4" s="1"/>
  <c r="AM355" i="8"/>
  <c r="AM355" i="4" s="1"/>
  <c r="AM356" i="8"/>
  <c r="AM356" i="4" s="1"/>
  <c r="AM357" i="8"/>
  <c r="AM357" i="4" s="1"/>
  <c r="AM358" i="8"/>
  <c r="AM358" i="4" s="1"/>
  <c r="AM359" i="8"/>
  <c r="AM359" i="4" s="1"/>
  <c r="AM360" i="8"/>
  <c r="AM360" i="4" s="1"/>
  <c r="AM361" i="8"/>
  <c r="AM361" i="4" s="1"/>
  <c r="AM362" i="8"/>
  <c r="AM362" i="4" s="1"/>
  <c r="AM363" i="8"/>
  <c r="AM363" i="4" s="1"/>
  <c r="AM364" i="8"/>
  <c r="AM364" i="4" s="1"/>
  <c r="AM365" i="8"/>
  <c r="AM366" i="8"/>
  <c r="AM366" i="4" s="1"/>
  <c r="AM367" i="8"/>
  <c r="AM367" i="4" s="1"/>
  <c r="AM368" i="8"/>
  <c r="AM368" i="4" s="1"/>
  <c r="AM369" i="8"/>
  <c r="AM369" i="4" s="1"/>
  <c r="AM370" i="8"/>
  <c r="AM370" i="4" s="1"/>
  <c r="AM371" i="8"/>
  <c r="AM371" i="4" s="1"/>
  <c r="AM372" i="8"/>
  <c r="AM372" i="4" s="1"/>
  <c r="AM373" i="8"/>
  <c r="AM373" i="4" s="1"/>
  <c r="AM374" i="8"/>
  <c r="AM374" i="4" s="1"/>
  <c r="AM375" i="8"/>
  <c r="AM375" i="4" s="1"/>
  <c r="AM376" i="8"/>
  <c r="AM376" i="4" s="1"/>
  <c r="AM377" i="8"/>
  <c r="AM377" i="4" s="1"/>
  <c r="AM378" i="8"/>
  <c r="AM378" i="4" s="1"/>
  <c r="AM379" i="8"/>
  <c r="AM379" i="4" s="1"/>
  <c r="AM380" i="8"/>
  <c r="AM380" i="4" s="1"/>
  <c r="AM381" i="8"/>
  <c r="AM381" i="4" s="1"/>
  <c r="AM382" i="8"/>
  <c r="AM382" i="4" s="1"/>
  <c r="AM383" i="8"/>
  <c r="AM383" i="4" s="1"/>
  <c r="AM384" i="8"/>
  <c r="AM384" i="4" s="1"/>
  <c r="AM385" i="8"/>
  <c r="AM385" i="4" s="1"/>
  <c r="AM386" i="8"/>
  <c r="AM386" i="4" s="1"/>
  <c r="AM387" i="8"/>
  <c r="AM387" i="4" s="1"/>
  <c r="AM388" i="8"/>
  <c r="AM388" i="4" s="1"/>
  <c r="AM389" i="8"/>
  <c r="AM389" i="4" s="1"/>
  <c r="AM390" i="8"/>
  <c r="AM390" i="4" s="1"/>
  <c r="AM391" i="8"/>
  <c r="AM391" i="4" s="1"/>
  <c r="AM392" i="8"/>
  <c r="AM392" i="4" s="1"/>
  <c r="AM393" i="8"/>
  <c r="AM393" i="4" s="1"/>
  <c r="AM394" i="8"/>
  <c r="AM394" i="4" s="1"/>
  <c r="AM395" i="8"/>
  <c r="AM395" i="4" s="1"/>
  <c r="AM396" i="8"/>
  <c r="AM396" i="4" s="1"/>
  <c r="AM397" i="8"/>
  <c r="AM397" i="4" s="1"/>
  <c r="AM398" i="8"/>
  <c r="AM398" i="4" s="1"/>
  <c r="AM399" i="8"/>
  <c r="AM399" i="4" s="1"/>
  <c r="AM400" i="8"/>
  <c r="AM400" i="4" s="1"/>
  <c r="AM401" i="8"/>
  <c r="AM401" i="4" s="1"/>
  <c r="AM402" i="8"/>
  <c r="AM402" i="4" s="1"/>
  <c r="AM403" i="8"/>
  <c r="AM403" i="4" s="1"/>
  <c r="AM404" i="8"/>
  <c r="AM405" i="8"/>
  <c r="AM405" i="4" s="1"/>
  <c r="AM406" i="8"/>
  <c r="AM406" i="4" s="1"/>
  <c r="AM407" i="8"/>
  <c r="AM407" i="4" s="1"/>
  <c r="AM408" i="8"/>
  <c r="AM408" i="4" s="1"/>
  <c r="AM409" i="8"/>
  <c r="AM409" i="4" s="1"/>
  <c r="AM410" i="8"/>
  <c r="AM410" i="4" s="1"/>
  <c r="AM411" i="8"/>
  <c r="AM411" i="4" s="1"/>
  <c r="AM412" i="8"/>
  <c r="AM412" i="4" s="1"/>
  <c r="AM413" i="8"/>
  <c r="AM413" i="4" s="1"/>
  <c r="AL278" i="8"/>
  <c r="AL278" i="4" s="1"/>
  <c r="AL279" i="8"/>
  <c r="AL279" i="4" s="1"/>
  <c r="AL280" i="8"/>
  <c r="AL280" i="4" s="1"/>
  <c r="AL281" i="8"/>
  <c r="AL281" i="4" s="1"/>
  <c r="AL282" i="8"/>
  <c r="AL282" i="4" s="1"/>
  <c r="AL283" i="8"/>
  <c r="AL283" i="4" s="1"/>
  <c r="AL284" i="8"/>
  <c r="AL284" i="4" s="1"/>
  <c r="AL285" i="8"/>
  <c r="AL285" i="4" s="1"/>
  <c r="AL286" i="8"/>
  <c r="AL286" i="4" s="1"/>
  <c r="AL287" i="8"/>
  <c r="AL287" i="4" s="1"/>
  <c r="AL288" i="8"/>
  <c r="AL288" i="4" s="1"/>
  <c r="AL289" i="8"/>
  <c r="AL289" i="4" s="1"/>
  <c r="AL290" i="8"/>
  <c r="AL290" i="4" s="1"/>
  <c r="AL291" i="8"/>
  <c r="AL291" i="4" s="1"/>
  <c r="AL292" i="8"/>
  <c r="AL292" i="4" s="1"/>
  <c r="AL293" i="8"/>
  <c r="AL293" i="4" s="1"/>
  <c r="AL294" i="8"/>
  <c r="AL294" i="4" s="1"/>
  <c r="AL295" i="8"/>
  <c r="AL295" i="4" s="1"/>
  <c r="AL296" i="8"/>
  <c r="AL296" i="4" s="1"/>
  <c r="AL297" i="8"/>
  <c r="AL297" i="4" s="1"/>
  <c r="AL298" i="8"/>
  <c r="AL298" i="4" s="1"/>
  <c r="AL299" i="8"/>
  <c r="AL299" i="4" s="1"/>
  <c r="AL300" i="8"/>
  <c r="AL300" i="4" s="1"/>
  <c r="AL301" i="8"/>
  <c r="AL301" i="4" s="1"/>
  <c r="AL302" i="8"/>
  <c r="AL302" i="4" s="1"/>
  <c r="AL303" i="8"/>
  <c r="AL303" i="4" s="1"/>
  <c r="AL304" i="8"/>
  <c r="AL304" i="4" s="1"/>
  <c r="AL305" i="8"/>
  <c r="AL305" i="4" s="1"/>
  <c r="AL306" i="8"/>
  <c r="AL306" i="4" s="1"/>
  <c r="AL307" i="8"/>
  <c r="AL307" i="4" s="1"/>
  <c r="AL308" i="8"/>
  <c r="AL308" i="4" s="1"/>
  <c r="AL309" i="8"/>
  <c r="AL309" i="4" s="1"/>
  <c r="AL310" i="8"/>
  <c r="AL310" i="4" s="1"/>
  <c r="AL311" i="8"/>
  <c r="AL312" i="8"/>
  <c r="AL312" i="4" s="1"/>
  <c r="AL313" i="8"/>
  <c r="AL313" i="4" s="1"/>
  <c r="AL314" i="8"/>
  <c r="AL314" i="4" s="1"/>
  <c r="AL315" i="8"/>
  <c r="AL315" i="4" s="1"/>
  <c r="AL316" i="8"/>
  <c r="AL316" i="4" s="1"/>
  <c r="AL317" i="8"/>
  <c r="AL317" i="4" s="1"/>
  <c r="AL318" i="8"/>
  <c r="AL318" i="4" s="1"/>
  <c r="AL319" i="8"/>
  <c r="AL319" i="4" s="1"/>
  <c r="AL320" i="8"/>
  <c r="AL320" i="4" s="1"/>
  <c r="AL321" i="8"/>
  <c r="AL321" i="4" s="1"/>
  <c r="AL322" i="8"/>
  <c r="AL322" i="4" s="1"/>
  <c r="AL323" i="8"/>
  <c r="AL323" i="4" s="1"/>
  <c r="AL324" i="8"/>
  <c r="AL324" i="4" s="1"/>
  <c r="AL325" i="8"/>
  <c r="AL325" i="4" s="1"/>
  <c r="AL326" i="8"/>
  <c r="AL326" i="4" s="1"/>
  <c r="AL327" i="8"/>
  <c r="AL327" i="4" s="1"/>
  <c r="AL328" i="8"/>
  <c r="AL328" i="4" s="1"/>
  <c r="AL329" i="8"/>
  <c r="AL329" i="4" s="1"/>
  <c r="AL330" i="8"/>
  <c r="AL330" i="4" s="1"/>
  <c r="AL331" i="8"/>
  <c r="AL331" i="4" s="1"/>
  <c r="AL332" i="8"/>
  <c r="AL332" i="4" s="1"/>
  <c r="AL333" i="8"/>
  <c r="AL333" i="4" s="1"/>
  <c r="AL334" i="8"/>
  <c r="AL334" i="4" s="1"/>
  <c r="AL335" i="8"/>
  <c r="AL335" i="4" s="1"/>
  <c r="AL336" i="8"/>
  <c r="AL336" i="4" s="1"/>
  <c r="AL337" i="8"/>
  <c r="AL337" i="4" s="1"/>
  <c r="AL338" i="8"/>
  <c r="AL338" i="4" s="1"/>
  <c r="AL339" i="8"/>
  <c r="AL339" i="4" s="1"/>
  <c r="AL340" i="8"/>
  <c r="AL340" i="4" s="1"/>
  <c r="AL341" i="8"/>
  <c r="AL341" i="4" s="1"/>
  <c r="AL342" i="8"/>
  <c r="AL342" i="4" s="1"/>
  <c r="AL343" i="8"/>
  <c r="AL343" i="4" s="1"/>
  <c r="AL344" i="8"/>
  <c r="AL344" i="4" s="1"/>
  <c r="AL345" i="8"/>
  <c r="AL345" i="4" s="1"/>
  <c r="AL346" i="8"/>
  <c r="AL346" i="4" s="1"/>
  <c r="AL347" i="8"/>
  <c r="AL347" i="4" s="1"/>
  <c r="AL348" i="8"/>
  <c r="AL348" i="4" s="1"/>
  <c r="AL349" i="8"/>
  <c r="AL349" i="4" s="1"/>
  <c r="AL350" i="8"/>
  <c r="AL350" i="4" s="1"/>
  <c r="AL351" i="8"/>
  <c r="AL351" i="4" s="1"/>
  <c r="AL352" i="8"/>
  <c r="AL352" i="4" s="1"/>
  <c r="AL353" i="8"/>
  <c r="AL354" i="8"/>
  <c r="AL354" i="4" s="1"/>
  <c r="AL355" i="8"/>
  <c r="AL355" i="4" s="1"/>
  <c r="AL356" i="8"/>
  <c r="AL356" i="4" s="1"/>
  <c r="AL357" i="8"/>
  <c r="AL357" i="4" s="1"/>
  <c r="AL358" i="8"/>
  <c r="AL358" i="4" s="1"/>
  <c r="AL359" i="8"/>
  <c r="AL359" i="4" s="1"/>
  <c r="AL360" i="8"/>
  <c r="AL360" i="4" s="1"/>
  <c r="AL361" i="8"/>
  <c r="AL361" i="4" s="1"/>
  <c r="AL362" i="8"/>
  <c r="AL362" i="4" s="1"/>
  <c r="AL363" i="8"/>
  <c r="AL363" i="4" s="1"/>
  <c r="AL364" i="8"/>
  <c r="AL364" i="4" s="1"/>
  <c r="AL365" i="8"/>
  <c r="AL366" i="8"/>
  <c r="AL366" i="4" s="1"/>
  <c r="AL367" i="8"/>
  <c r="AL367" i="4" s="1"/>
  <c r="AL368" i="8"/>
  <c r="AL368" i="4" s="1"/>
  <c r="AL369" i="8"/>
  <c r="AL369" i="4" s="1"/>
  <c r="AL370" i="8"/>
  <c r="AL370" i="4" s="1"/>
  <c r="AL371" i="8"/>
  <c r="AL371" i="4" s="1"/>
  <c r="AL372" i="8"/>
  <c r="AL372" i="4" s="1"/>
  <c r="AL373" i="8"/>
  <c r="AL373" i="4" s="1"/>
  <c r="AL374" i="8"/>
  <c r="AL374" i="4" s="1"/>
  <c r="AL375" i="8"/>
  <c r="AL375" i="4" s="1"/>
  <c r="AL376" i="8"/>
  <c r="AL376" i="4" s="1"/>
  <c r="AL377" i="8"/>
  <c r="AL377" i="4" s="1"/>
  <c r="AL378" i="8"/>
  <c r="AL378" i="4" s="1"/>
  <c r="AL379" i="8"/>
  <c r="AL379" i="4" s="1"/>
  <c r="AL380" i="8"/>
  <c r="AL380" i="4" s="1"/>
  <c r="AL381" i="8"/>
  <c r="AL381" i="4" s="1"/>
  <c r="AL382" i="8"/>
  <c r="AL382" i="4" s="1"/>
  <c r="AL383" i="8"/>
  <c r="AL383" i="4" s="1"/>
  <c r="AL384" i="8"/>
  <c r="AL384" i="4" s="1"/>
  <c r="AL385" i="8"/>
  <c r="AL385" i="4" s="1"/>
  <c r="AL386" i="8"/>
  <c r="AL386" i="4" s="1"/>
  <c r="AL387" i="8"/>
  <c r="AL387" i="4" s="1"/>
  <c r="AL388" i="8"/>
  <c r="AL388" i="4" s="1"/>
  <c r="AL389" i="8"/>
  <c r="AL389" i="4" s="1"/>
  <c r="AL390" i="8"/>
  <c r="AL390" i="4" s="1"/>
  <c r="AL391" i="8"/>
  <c r="AL391" i="4" s="1"/>
  <c r="AL392" i="8"/>
  <c r="AL392" i="4" s="1"/>
  <c r="AL393" i="8"/>
  <c r="AL393" i="4" s="1"/>
  <c r="AL394" i="8"/>
  <c r="AL394" i="4" s="1"/>
  <c r="AL395" i="8"/>
  <c r="AL395" i="4" s="1"/>
  <c r="AL396" i="8"/>
  <c r="AL396" i="4" s="1"/>
  <c r="AL397" i="8"/>
  <c r="AL397" i="4" s="1"/>
  <c r="AL398" i="8"/>
  <c r="AL398" i="4" s="1"/>
  <c r="AL399" i="8"/>
  <c r="AL399" i="4" s="1"/>
  <c r="AL400" i="8"/>
  <c r="AL400" i="4" s="1"/>
  <c r="AL401" i="8"/>
  <c r="AL401" i="4" s="1"/>
  <c r="AL402" i="8"/>
  <c r="AL402" i="4" s="1"/>
  <c r="AL403" i="8"/>
  <c r="AL403" i="4" s="1"/>
  <c r="AL404" i="8"/>
  <c r="AL405" i="8"/>
  <c r="AL405" i="4" s="1"/>
  <c r="AL406" i="8"/>
  <c r="AL406" i="4" s="1"/>
  <c r="AL407" i="8"/>
  <c r="AL407" i="4" s="1"/>
  <c r="AL408" i="8"/>
  <c r="AL408" i="4" s="1"/>
  <c r="AL409" i="8"/>
  <c r="AL409" i="4" s="1"/>
  <c r="AL410" i="8"/>
  <c r="AL410" i="4" s="1"/>
  <c r="AL411" i="8"/>
  <c r="AL411" i="4" s="1"/>
  <c r="AL412" i="8"/>
  <c r="AL412" i="4" s="1"/>
  <c r="AL413" i="8"/>
  <c r="AL413" i="4" s="1"/>
  <c r="AK278" i="8"/>
  <c r="AK278" i="4" s="1"/>
  <c r="AK279" i="8"/>
  <c r="AK279" i="4" s="1"/>
  <c r="AK280" i="8"/>
  <c r="AK280" i="4" s="1"/>
  <c r="AK281" i="8"/>
  <c r="AK281" i="4" s="1"/>
  <c r="AK282" i="8"/>
  <c r="AK282" i="4" s="1"/>
  <c r="AK283" i="8"/>
  <c r="AK283" i="4" s="1"/>
  <c r="AK284" i="8"/>
  <c r="AK284" i="4" s="1"/>
  <c r="AK285" i="8"/>
  <c r="AK285" i="4" s="1"/>
  <c r="AK286" i="8"/>
  <c r="AK286" i="4" s="1"/>
  <c r="AK287" i="8"/>
  <c r="AK287" i="4" s="1"/>
  <c r="AK288" i="8"/>
  <c r="AK288" i="4" s="1"/>
  <c r="AK289" i="8"/>
  <c r="AK289" i="4" s="1"/>
  <c r="AK290" i="8"/>
  <c r="AK290" i="4" s="1"/>
  <c r="AK291" i="8"/>
  <c r="AK291" i="4" s="1"/>
  <c r="AK292" i="8"/>
  <c r="AK292" i="4" s="1"/>
  <c r="AK293" i="8"/>
  <c r="AK293" i="4" s="1"/>
  <c r="AK294" i="8"/>
  <c r="AK294" i="4" s="1"/>
  <c r="AK295" i="8"/>
  <c r="AK295" i="4" s="1"/>
  <c r="AK296" i="8"/>
  <c r="AK296" i="4" s="1"/>
  <c r="AK297" i="8"/>
  <c r="AK297" i="4" s="1"/>
  <c r="AK298" i="8"/>
  <c r="AK298" i="4" s="1"/>
  <c r="AK299" i="8"/>
  <c r="AK299" i="4" s="1"/>
  <c r="AK300" i="8"/>
  <c r="AK300" i="4" s="1"/>
  <c r="AK301" i="8"/>
  <c r="AK301" i="4" s="1"/>
  <c r="AK302" i="8"/>
  <c r="AK302" i="4" s="1"/>
  <c r="AK303" i="8"/>
  <c r="AK303" i="4" s="1"/>
  <c r="AK304" i="8"/>
  <c r="AK304" i="4" s="1"/>
  <c r="AK305" i="8"/>
  <c r="AK305" i="4" s="1"/>
  <c r="AK306" i="8"/>
  <c r="AK306" i="4" s="1"/>
  <c r="AK307" i="8"/>
  <c r="AK307" i="4" s="1"/>
  <c r="AK308" i="8"/>
  <c r="AK308" i="4" s="1"/>
  <c r="AK309" i="8"/>
  <c r="AK309" i="4" s="1"/>
  <c r="AK310" i="8"/>
  <c r="AK310" i="4" s="1"/>
  <c r="AK311" i="8"/>
  <c r="AK312" i="8"/>
  <c r="AK312" i="4" s="1"/>
  <c r="AK313" i="8"/>
  <c r="AK313" i="4" s="1"/>
  <c r="AK314" i="8"/>
  <c r="AK314" i="4" s="1"/>
  <c r="AK315" i="8"/>
  <c r="AK315" i="4" s="1"/>
  <c r="AK316" i="8"/>
  <c r="AK316" i="4" s="1"/>
  <c r="AK317" i="8"/>
  <c r="AK317" i="4" s="1"/>
  <c r="AK318" i="8"/>
  <c r="AK318" i="4" s="1"/>
  <c r="AK319" i="8"/>
  <c r="AK319" i="4" s="1"/>
  <c r="AK320" i="8"/>
  <c r="AK320" i="4" s="1"/>
  <c r="AK321" i="8"/>
  <c r="AK321" i="4" s="1"/>
  <c r="AK322" i="8"/>
  <c r="AK322" i="4" s="1"/>
  <c r="AK323" i="8"/>
  <c r="AK323" i="4" s="1"/>
  <c r="AK324" i="8"/>
  <c r="AK324" i="4" s="1"/>
  <c r="AK325" i="8"/>
  <c r="AK325" i="4" s="1"/>
  <c r="AK326" i="8"/>
  <c r="AK326" i="4" s="1"/>
  <c r="AK327" i="8"/>
  <c r="AK327" i="4" s="1"/>
  <c r="AK328" i="8"/>
  <c r="AK328" i="4" s="1"/>
  <c r="AK329" i="8"/>
  <c r="AK329" i="4" s="1"/>
  <c r="AK330" i="8"/>
  <c r="AK330" i="4" s="1"/>
  <c r="AK331" i="8"/>
  <c r="AK331" i="4" s="1"/>
  <c r="AK332" i="8"/>
  <c r="AK332" i="4" s="1"/>
  <c r="AK333" i="8"/>
  <c r="AK333" i="4" s="1"/>
  <c r="AK334" i="8"/>
  <c r="AK334" i="4" s="1"/>
  <c r="AK335" i="8"/>
  <c r="AK335" i="4" s="1"/>
  <c r="AK336" i="8"/>
  <c r="AK336" i="4" s="1"/>
  <c r="AK337" i="8"/>
  <c r="AK337" i="4" s="1"/>
  <c r="AK338" i="8"/>
  <c r="AK338" i="4" s="1"/>
  <c r="AK339" i="8"/>
  <c r="AK339" i="4" s="1"/>
  <c r="AK340" i="8"/>
  <c r="AK340" i="4" s="1"/>
  <c r="AK341" i="8"/>
  <c r="AK341" i="4" s="1"/>
  <c r="AK342" i="8"/>
  <c r="AK342" i="4" s="1"/>
  <c r="AK343" i="8"/>
  <c r="AK343" i="4" s="1"/>
  <c r="AK344" i="8"/>
  <c r="AK344" i="4" s="1"/>
  <c r="AK345" i="8"/>
  <c r="AK345" i="4" s="1"/>
  <c r="AK346" i="8"/>
  <c r="AK346" i="4" s="1"/>
  <c r="AK347" i="8"/>
  <c r="AK347" i="4" s="1"/>
  <c r="AK348" i="8"/>
  <c r="AK348" i="4" s="1"/>
  <c r="AK349" i="8"/>
  <c r="AK349" i="4" s="1"/>
  <c r="AK350" i="8"/>
  <c r="AK350" i="4" s="1"/>
  <c r="AK351" i="8"/>
  <c r="AK351" i="4" s="1"/>
  <c r="AK352" i="8"/>
  <c r="AK352" i="4" s="1"/>
  <c r="AK353" i="8"/>
  <c r="AK354" i="8"/>
  <c r="AK354" i="4" s="1"/>
  <c r="AK355" i="8"/>
  <c r="AK355" i="4" s="1"/>
  <c r="AK356" i="8"/>
  <c r="AK356" i="4" s="1"/>
  <c r="AK357" i="8"/>
  <c r="AK357" i="4" s="1"/>
  <c r="AK358" i="8"/>
  <c r="AK358" i="4" s="1"/>
  <c r="AK359" i="8"/>
  <c r="AK359" i="4" s="1"/>
  <c r="AK360" i="8"/>
  <c r="AK360" i="4" s="1"/>
  <c r="AK361" i="8"/>
  <c r="AK361" i="4" s="1"/>
  <c r="AK362" i="8"/>
  <c r="AK362" i="4" s="1"/>
  <c r="AK363" i="8"/>
  <c r="AK363" i="4" s="1"/>
  <c r="AK364" i="8"/>
  <c r="AK364" i="4" s="1"/>
  <c r="AK365" i="8"/>
  <c r="AK366" i="8"/>
  <c r="AK366" i="4" s="1"/>
  <c r="AK367" i="8"/>
  <c r="AK367" i="4" s="1"/>
  <c r="AK368" i="8"/>
  <c r="AK368" i="4" s="1"/>
  <c r="AK369" i="8"/>
  <c r="AK369" i="4" s="1"/>
  <c r="AK370" i="8"/>
  <c r="AK370" i="4" s="1"/>
  <c r="AK371" i="8"/>
  <c r="AK371" i="4" s="1"/>
  <c r="AK372" i="8"/>
  <c r="AK372" i="4" s="1"/>
  <c r="AK373" i="8"/>
  <c r="AK373" i="4" s="1"/>
  <c r="AK374" i="8"/>
  <c r="AK374" i="4" s="1"/>
  <c r="AK375" i="8"/>
  <c r="AK375" i="4" s="1"/>
  <c r="AK376" i="8"/>
  <c r="AK376" i="4" s="1"/>
  <c r="AK377" i="8"/>
  <c r="AK377" i="4" s="1"/>
  <c r="AK378" i="8"/>
  <c r="AK378" i="4" s="1"/>
  <c r="AK379" i="8"/>
  <c r="AK379" i="4" s="1"/>
  <c r="AK380" i="8"/>
  <c r="AK380" i="4" s="1"/>
  <c r="AK381" i="8"/>
  <c r="AK381" i="4" s="1"/>
  <c r="AK382" i="8"/>
  <c r="AK382" i="4" s="1"/>
  <c r="AK383" i="8"/>
  <c r="AK383" i="4" s="1"/>
  <c r="AK384" i="8"/>
  <c r="AK384" i="4" s="1"/>
  <c r="AK385" i="8"/>
  <c r="AK385" i="4" s="1"/>
  <c r="AK386" i="8"/>
  <c r="AK386" i="4" s="1"/>
  <c r="AK387" i="8"/>
  <c r="AK387" i="4" s="1"/>
  <c r="AK388" i="8"/>
  <c r="AK388" i="4" s="1"/>
  <c r="AK389" i="8"/>
  <c r="AK389" i="4" s="1"/>
  <c r="AK390" i="8"/>
  <c r="AK390" i="4" s="1"/>
  <c r="AK391" i="8"/>
  <c r="AK391" i="4" s="1"/>
  <c r="AK392" i="8"/>
  <c r="AK392" i="4" s="1"/>
  <c r="AK393" i="8"/>
  <c r="AK393" i="4" s="1"/>
  <c r="AK394" i="8"/>
  <c r="AK394" i="4" s="1"/>
  <c r="AK395" i="8"/>
  <c r="AK395" i="4" s="1"/>
  <c r="AK396" i="8"/>
  <c r="AK396" i="4" s="1"/>
  <c r="AK397" i="8"/>
  <c r="AK397" i="4" s="1"/>
  <c r="AK398" i="8"/>
  <c r="AK398" i="4" s="1"/>
  <c r="AK399" i="8"/>
  <c r="AK399" i="4" s="1"/>
  <c r="AK400" i="8"/>
  <c r="AK400" i="4" s="1"/>
  <c r="AK401" i="8"/>
  <c r="AK401" i="4" s="1"/>
  <c r="AK402" i="8"/>
  <c r="AK402" i="4" s="1"/>
  <c r="AK403" i="8"/>
  <c r="AK403" i="4" s="1"/>
  <c r="AK404" i="8"/>
  <c r="AK405" i="8"/>
  <c r="AK405" i="4" s="1"/>
  <c r="AK406" i="8"/>
  <c r="AK406" i="4" s="1"/>
  <c r="AK407" i="8"/>
  <c r="AK407" i="4" s="1"/>
  <c r="AK408" i="8"/>
  <c r="AK408" i="4" s="1"/>
  <c r="AK409" i="8"/>
  <c r="AK409" i="4" s="1"/>
  <c r="AK410" i="8"/>
  <c r="AK410" i="4" s="1"/>
  <c r="AK411" i="8"/>
  <c r="AK411" i="4" s="1"/>
  <c r="AK412" i="8"/>
  <c r="AK412" i="4" s="1"/>
  <c r="AK413" i="8"/>
  <c r="AK413" i="4" s="1"/>
  <c r="AJ278" i="8"/>
  <c r="AJ278" i="4" s="1"/>
  <c r="AJ279" i="8"/>
  <c r="AJ279" i="4" s="1"/>
  <c r="AJ280" i="8"/>
  <c r="AJ280" i="4" s="1"/>
  <c r="AJ281" i="8"/>
  <c r="AJ281" i="4" s="1"/>
  <c r="AJ282" i="8"/>
  <c r="AJ282" i="4" s="1"/>
  <c r="AJ283" i="8"/>
  <c r="AJ283" i="4" s="1"/>
  <c r="AJ284" i="8"/>
  <c r="AJ284" i="4" s="1"/>
  <c r="AJ285" i="8"/>
  <c r="AJ285" i="4" s="1"/>
  <c r="AJ286" i="8"/>
  <c r="AJ286" i="4" s="1"/>
  <c r="AJ287" i="8"/>
  <c r="AJ287" i="4" s="1"/>
  <c r="AJ288" i="8"/>
  <c r="AJ288" i="4" s="1"/>
  <c r="AJ289" i="8"/>
  <c r="AJ289" i="4" s="1"/>
  <c r="AJ290" i="8"/>
  <c r="AJ290" i="4" s="1"/>
  <c r="AJ291" i="8"/>
  <c r="AJ291" i="4" s="1"/>
  <c r="AJ292" i="8"/>
  <c r="AJ292" i="4" s="1"/>
  <c r="AJ293" i="8"/>
  <c r="AJ293" i="4" s="1"/>
  <c r="AJ294" i="8"/>
  <c r="AJ294" i="4" s="1"/>
  <c r="AJ295" i="8"/>
  <c r="AJ295" i="4" s="1"/>
  <c r="AJ296" i="8"/>
  <c r="AJ296" i="4" s="1"/>
  <c r="AJ297" i="8"/>
  <c r="AJ297" i="4" s="1"/>
  <c r="AJ298" i="8"/>
  <c r="AJ298" i="4" s="1"/>
  <c r="AJ299" i="8"/>
  <c r="AJ299" i="4" s="1"/>
  <c r="AJ300" i="8"/>
  <c r="AJ300" i="4" s="1"/>
  <c r="AJ301" i="8"/>
  <c r="AJ301" i="4" s="1"/>
  <c r="AJ302" i="8"/>
  <c r="AJ302" i="4" s="1"/>
  <c r="AJ303" i="8"/>
  <c r="AJ303" i="4" s="1"/>
  <c r="AJ304" i="8"/>
  <c r="AJ304" i="4" s="1"/>
  <c r="AJ305" i="8"/>
  <c r="AJ305" i="4" s="1"/>
  <c r="AJ306" i="8"/>
  <c r="AJ306" i="4" s="1"/>
  <c r="AJ307" i="8"/>
  <c r="AJ307" i="4" s="1"/>
  <c r="AJ308" i="8"/>
  <c r="AJ308" i="4" s="1"/>
  <c r="AJ309" i="8"/>
  <c r="AJ309" i="4" s="1"/>
  <c r="AJ310" i="8"/>
  <c r="AJ310" i="4" s="1"/>
  <c r="AJ311" i="8"/>
  <c r="AJ312" i="8"/>
  <c r="AJ312" i="4" s="1"/>
  <c r="AJ313" i="8"/>
  <c r="AJ313" i="4" s="1"/>
  <c r="AJ314" i="8"/>
  <c r="AJ314" i="4" s="1"/>
  <c r="AJ315" i="8"/>
  <c r="AJ315" i="4" s="1"/>
  <c r="AJ316" i="8"/>
  <c r="AJ316" i="4" s="1"/>
  <c r="AJ317" i="8"/>
  <c r="AJ317" i="4" s="1"/>
  <c r="AJ318" i="8"/>
  <c r="AJ318" i="4" s="1"/>
  <c r="AJ319" i="8"/>
  <c r="AJ319" i="4" s="1"/>
  <c r="AJ320" i="8"/>
  <c r="AJ320" i="4" s="1"/>
  <c r="AJ321" i="8"/>
  <c r="AJ321" i="4" s="1"/>
  <c r="AJ322" i="8"/>
  <c r="AJ322" i="4" s="1"/>
  <c r="AJ323" i="8"/>
  <c r="AJ323" i="4" s="1"/>
  <c r="AJ324" i="8"/>
  <c r="AJ324" i="4" s="1"/>
  <c r="AJ325" i="8"/>
  <c r="AJ325" i="4" s="1"/>
  <c r="AJ326" i="8"/>
  <c r="AJ326" i="4" s="1"/>
  <c r="AJ327" i="8"/>
  <c r="AJ327" i="4" s="1"/>
  <c r="AJ328" i="8"/>
  <c r="AJ328" i="4" s="1"/>
  <c r="AJ329" i="8"/>
  <c r="AJ329" i="4" s="1"/>
  <c r="AJ330" i="8"/>
  <c r="AJ330" i="4" s="1"/>
  <c r="AJ331" i="8"/>
  <c r="AJ331" i="4" s="1"/>
  <c r="AJ332" i="8"/>
  <c r="AJ332" i="4" s="1"/>
  <c r="AJ333" i="8"/>
  <c r="AJ333" i="4" s="1"/>
  <c r="AJ334" i="8"/>
  <c r="AJ334" i="4" s="1"/>
  <c r="AJ335" i="8"/>
  <c r="AJ335" i="4" s="1"/>
  <c r="AJ336" i="8"/>
  <c r="AJ336" i="4" s="1"/>
  <c r="AJ337" i="8"/>
  <c r="AJ337" i="4" s="1"/>
  <c r="AJ338" i="8"/>
  <c r="AJ338" i="4" s="1"/>
  <c r="AJ339" i="8"/>
  <c r="AJ339" i="4" s="1"/>
  <c r="AJ340" i="8"/>
  <c r="AJ340" i="4" s="1"/>
  <c r="AJ341" i="8"/>
  <c r="AJ341" i="4" s="1"/>
  <c r="AJ342" i="8"/>
  <c r="AJ342" i="4" s="1"/>
  <c r="AJ343" i="8"/>
  <c r="AJ343" i="4" s="1"/>
  <c r="AJ344" i="8"/>
  <c r="AJ344" i="4" s="1"/>
  <c r="AJ345" i="8"/>
  <c r="AJ345" i="4" s="1"/>
  <c r="AJ346" i="8"/>
  <c r="AJ346" i="4" s="1"/>
  <c r="AJ347" i="8"/>
  <c r="AJ347" i="4" s="1"/>
  <c r="AJ348" i="8"/>
  <c r="AJ348" i="4" s="1"/>
  <c r="AJ349" i="8"/>
  <c r="AJ349" i="4" s="1"/>
  <c r="AJ350" i="8"/>
  <c r="AJ350" i="4" s="1"/>
  <c r="AJ351" i="8"/>
  <c r="AJ351" i="4" s="1"/>
  <c r="AJ352" i="8"/>
  <c r="AJ352" i="4" s="1"/>
  <c r="AJ353" i="8"/>
  <c r="AJ354" i="8"/>
  <c r="AJ354" i="4" s="1"/>
  <c r="AJ355" i="8"/>
  <c r="AJ355" i="4" s="1"/>
  <c r="AJ356" i="8"/>
  <c r="AJ356" i="4" s="1"/>
  <c r="AJ357" i="8"/>
  <c r="AJ357" i="4" s="1"/>
  <c r="AJ358" i="8"/>
  <c r="AJ358" i="4" s="1"/>
  <c r="AJ359" i="8"/>
  <c r="AJ359" i="4" s="1"/>
  <c r="AJ360" i="8"/>
  <c r="AJ360" i="4" s="1"/>
  <c r="AJ361" i="8"/>
  <c r="AJ361" i="4" s="1"/>
  <c r="AJ362" i="8"/>
  <c r="AJ362" i="4" s="1"/>
  <c r="AJ363" i="8"/>
  <c r="AJ363" i="4" s="1"/>
  <c r="AJ364" i="8"/>
  <c r="AJ364" i="4" s="1"/>
  <c r="AJ365" i="8"/>
  <c r="AJ366" i="8"/>
  <c r="AJ366" i="4" s="1"/>
  <c r="AJ367" i="8"/>
  <c r="AJ367" i="4" s="1"/>
  <c r="AJ368" i="8"/>
  <c r="AJ368" i="4" s="1"/>
  <c r="AJ369" i="8"/>
  <c r="AJ369" i="4" s="1"/>
  <c r="AJ370" i="8"/>
  <c r="AJ370" i="4" s="1"/>
  <c r="AJ371" i="8"/>
  <c r="AJ371" i="4" s="1"/>
  <c r="AJ372" i="8"/>
  <c r="AJ372" i="4" s="1"/>
  <c r="AJ373" i="8"/>
  <c r="AJ373" i="4" s="1"/>
  <c r="AJ374" i="8"/>
  <c r="AJ374" i="4" s="1"/>
  <c r="AJ375" i="8"/>
  <c r="AJ375" i="4" s="1"/>
  <c r="AJ376" i="8"/>
  <c r="AJ376" i="4" s="1"/>
  <c r="AJ377" i="8"/>
  <c r="AJ377" i="4" s="1"/>
  <c r="AJ378" i="8"/>
  <c r="AJ378" i="4" s="1"/>
  <c r="AJ379" i="8"/>
  <c r="AJ379" i="4" s="1"/>
  <c r="AJ380" i="8"/>
  <c r="AJ380" i="4" s="1"/>
  <c r="AJ381" i="8"/>
  <c r="AJ381" i="4" s="1"/>
  <c r="AJ382" i="8"/>
  <c r="AJ382" i="4" s="1"/>
  <c r="AJ383" i="8"/>
  <c r="AJ383" i="4" s="1"/>
  <c r="AJ384" i="8"/>
  <c r="AJ384" i="4" s="1"/>
  <c r="AJ385" i="8"/>
  <c r="AJ385" i="4" s="1"/>
  <c r="AJ386" i="8"/>
  <c r="AJ386" i="4" s="1"/>
  <c r="AJ387" i="8"/>
  <c r="AJ387" i="4" s="1"/>
  <c r="AJ388" i="8"/>
  <c r="AJ388" i="4" s="1"/>
  <c r="AJ389" i="8"/>
  <c r="AJ389" i="4" s="1"/>
  <c r="AJ390" i="8"/>
  <c r="AJ390" i="4" s="1"/>
  <c r="AJ391" i="8"/>
  <c r="AJ391" i="4" s="1"/>
  <c r="AJ392" i="8"/>
  <c r="AJ392" i="4" s="1"/>
  <c r="AJ393" i="8"/>
  <c r="AJ393" i="4" s="1"/>
  <c r="AJ394" i="8"/>
  <c r="AJ394" i="4" s="1"/>
  <c r="AJ395" i="8"/>
  <c r="AJ395" i="4" s="1"/>
  <c r="AJ396" i="8"/>
  <c r="AJ396" i="4" s="1"/>
  <c r="AJ397" i="8"/>
  <c r="AJ397" i="4" s="1"/>
  <c r="AJ398" i="8"/>
  <c r="AJ398" i="4" s="1"/>
  <c r="AJ399" i="8"/>
  <c r="AJ399" i="4" s="1"/>
  <c r="AJ400" i="8"/>
  <c r="AJ400" i="4" s="1"/>
  <c r="AJ401" i="8"/>
  <c r="AJ401" i="4" s="1"/>
  <c r="AJ402" i="8"/>
  <c r="AJ402" i="4" s="1"/>
  <c r="AJ403" i="8"/>
  <c r="AJ403" i="4" s="1"/>
  <c r="AJ404" i="8"/>
  <c r="AJ405" i="8"/>
  <c r="AJ405" i="4" s="1"/>
  <c r="AJ406" i="8"/>
  <c r="AJ406" i="4" s="1"/>
  <c r="AJ407" i="8"/>
  <c r="AJ407" i="4" s="1"/>
  <c r="AJ408" i="8"/>
  <c r="AJ408" i="4" s="1"/>
  <c r="AJ409" i="8"/>
  <c r="AJ409" i="4" s="1"/>
  <c r="AJ410" i="8"/>
  <c r="AJ410" i="4" s="1"/>
  <c r="AJ411" i="8"/>
  <c r="AJ411" i="4" s="1"/>
  <c r="AJ412" i="8"/>
  <c r="AJ412" i="4" s="1"/>
  <c r="AJ413" i="8"/>
  <c r="AJ413" i="4" s="1"/>
  <c r="AI278" i="8"/>
  <c r="AI278" i="4" s="1"/>
  <c r="AI279" i="8"/>
  <c r="AI279" i="4" s="1"/>
  <c r="AI280" i="8"/>
  <c r="AI280" i="4" s="1"/>
  <c r="AI281" i="8"/>
  <c r="AI281" i="4" s="1"/>
  <c r="AI282" i="8"/>
  <c r="AI282" i="4" s="1"/>
  <c r="AI283" i="8"/>
  <c r="AI283" i="4" s="1"/>
  <c r="AI284" i="8"/>
  <c r="AI284" i="4" s="1"/>
  <c r="AI285" i="8"/>
  <c r="AI285" i="4" s="1"/>
  <c r="AI286" i="8"/>
  <c r="AI286" i="4" s="1"/>
  <c r="AI287" i="8"/>
  <c r="AI287" i="4" s="1"/>
  <c r="AI288" i="8"/>
  <c r="AI288" i="4" s="1"/>
  <c r="AI289" i="8"/>
  <c r="AI289" i="4" s="1"/>
  <c r="AI290" i="8"/>
  <c r="AI290" i="4" s="1"/>
  <c r="AI291" i="8"/>
  <c r="AI291" i="4" s="1"/>
  <c r="AI292" i="8"/>
  <c r="AI292" i="4" s="1"/>
  <c r="AI293" i="8"/>
  <c r="AI293" i="4" s="1"/>
  <c r="AI294" i="8"/>
  <c r="AI294" i="4" s="1"/>
  <c r="AI295" i="8"/>
  <c r="AI295" i="4" s="1"/>
  <c r="AI296" i="8"/>
  <c r="AI296" i="4" s="1"/>
  <c r="AI297" i="8"/>
  <c r="AI297" i="4" s="1"/>
  <c r="AI298" i="8"/>
  <c r="AI298" i="4" s="1"/>
  <c r="AI299" i="8"/>
  <c r="AI299" i="4" s="1"/>
  <c r="AI300" i="8"/>
  <c r="AI300" i="4" s="1"/>
  <c r="AI301" i="8"/>
  <c r="AI301" i="4" s="1"/>
  <c r="AI302" i="8"/>
  <c r="AI302" i="4" s="1"/>
  <c r="AI303" i="8"/>
  <c r="AI303" i="4" s="1"/>
  <c r="AI304" i="8"/>
  <c r="AI304" i="4" s="1"/>
  <c r="AI305" i="8"/>
  <c r="AI305" i="4" s="1"/>
  <c r="AI306" i="8"/>
  <c r="AI306" i="4" s="1"/>
  <c r="AI307" i="8"/>
  <c r="AI307" i="4" s="1"/>
  <c r="AI308" i="8"/>
  <c r="AI308" i="4" s="1"/>
  <c r="AI309" i="8"/>
  <c r="AI309" i="4" s="1"/>
  <c r="AI310" i="8"/>
  <c r="AI310" i="4" s="1"/>
  <c r="AI311" i="8"/>
  <c r="AI312" i="8"/>
  <c r="AI312" i="4" s="1"/>
  <c r="AI313" i="8"/>
  <c r="AI313" i="4" s="1"/>
  <c r="AI314" i="8"/>
  <c r="AI314" i="4" s="1"/>
  <c r="AI315" i="8"/>
  <c r="AI315" i="4" s="1"/>
  <c r="AI316" i="8"/>
  <c r="AI316" i="4" s="1"/>
  <c r="AI317" i="8"/>
  <c r="AI317" i="4" s="1"/>
  <c r="AI318" i="8"/>
  <c r="AI318" i="4" s="1"/>
  <c r="AI319" i="8"/>
  <c r="AI319" i="4" s="1"/>
  <c r="AI320" i="8"/>
  <c r="AI320" i="4" s="1"/>
  <c r="AI321" i="8"/>
  <c r="AI321" i="4" s="1"/>
  <c r="AI322" i="8"/>
  <c r="AI322" i="4" s="1"/>
  <c r="AI323" i="8"/>
  <c r="AI323" i="4" s="1"/>
  <c r="AI324" i="8"/>
  <c r="AI324" i="4" s="1"/>
  <c r="AI325" i="8"/>
  <c r="AI325" i="4" s="1"/>
  <c r="AI326" i="8"/>
  <c r="AI326" i="4" s="1"/>
  <c r="AI327" i="8"/>
  <c r="AI327" i="4" s="1"/>
  <c r="AI328" i="8"/>
  <c r="AI328" i="4" s="1"/>
  <c r="AI329" i="8"/>
  <c r="AI329" i="4" s="1"/>
  <c r="AI330" i="8"/>
  <c r="AI330" i="4" s="1"/>
  <c r="AI331" i="8"/>
  <c r="AI331" i="4" s="1"/>
  <c r="AI332" i="8"/>
  <c r="AI332" i="4" s="1"/>
  <c r="AI333" i="8"/>
  <c r="AI333" i="4" s="1"/>
  <c r="AI334" i="8"/>
  <c r="AI334" i="4" s="1"/>
  <c r="AI335" i="8"/>
  <c r="AI335" i="4" s="1"/>
  <c r="AI336" i="8"/>
  <c r="AI336" i="4" s="1"/>
  <c r="AI337" i="8"/>
  <c r="AI337" i="4" s="1"/>
  <c r="AI338" i="8"/>
  <c r="AI338" i="4" s="1"/>
  <c r="AI339" i="8"/>
  <c r="AI339" i="4" s="1"/>
  <c r="AI340" i="8"/>
  <c r="AI340" i="4" s="1"/>
  <c r="AI341" i="8"/>
  <c r="AI341" i="4" s="1"/>
  <c r="AI342" i="8"/>
  <c r="AI342" i="4" s="1"/>
  <c r="AI343" i="8"/>
  <c r="AI343" i="4" s="1"/>
  <c r="AI344" i="8"/>
  <c r="AI344" i="4" s="1"/>
  <c r="AI345" i="8"/>
  <c r="AI345" i="4" s="1"/>
  <c r="AI346" i="8"/>
  <c r="AI346" i="4" s="1"/>
  <c r="AI347" i="8"/>
  <c r="AI347" i="4" s="1"/>
  <c r="AI348" i="8"/>
  <c r="AI348" i="4" s="1"/>
  <c r="AI349" i="8"/>
  <c r="AI349" i="4" s="1"/>
  <c r="AI350" i="8"/>
  <c r="AI350" i="4" s="1"/>
  <c r="AI351" i="8"/>
  <c r="AI351" i="4" s="1"/>
  <c r="AI352" i="8"/>
  <c r="AI352" i="4" s="1"/>
  <c r="AI353" i="8"/>
  <c r="AI354" i="8"/>
  <c r="AI354" i="4" s="1"/>
  <c r="AI355" i="8"/>
  <c r="AI355" i="4" s="1"/>
  <c r="AI356" i="8"/>
  <c r="AI356" i="4" s="1"/>
  <c r="AI357" i="8"/>
  <c r="AI357" i="4" s="1"/>
  <c r="AI358" i="8"/>
  <c r="AI358" i="4" s="1"/>
  <c r="AI359" i="8"/>
  <c r="AI359" i="4" s="1"/>
  <c r="AI360" i="8"/>
  <c r="AI360" i="4" s="1"/>
  <c r="AI361" i="8"/>
  <c r="AI361" i="4" s="1"/>
  <c r="AI362" i="8"/>
  <c r="AI362" i="4" s="1"/>
  <c r="AI363" i="8"/>
  <c r="AI363" i="4" s="1"/>
  <c r="AI364" i="8"/>
  <c r="AI364" i="4" s="1"/>
  <c r="AI365" i="8"/>
  <c r="AI366" i="8"/>
  <c r="AI366" i="4" s="1"/>
  <c r="AI367" i="8"/>
  <c r="AI367" i="4" s="1"/>
  <c r="AI368" i="8"/>
  <c r="AI368" i="4" s="1"/>
  <c r="AI369" i="8"/>
  <c r="AI369" i="4" s="1"/>
  <c r="AI370" i="8"/>
  <c r="AI370" i="4" s="1"/>
  <c r="AI371" i="8"/>
  <c r="AI371" i="4" s="1"/>
  <c r="AI372" i="8"/>
  <c r="AI372" i="4" s="1"/>
  <c r="AI373" i="8"/>
  <c r="AI373" i="4" s="1"/>
  <c r="AI374" i="8"/>
  <c r="AI374" i="4" s="1"/>
  <c r="AI375" i="8"/>
  <c r="AI375" i="4" s="1"/>
  <c r="AI376" i="8"/>
  <c r="AI376" i="4" s="1"/>
  <c r="AI377" i="8"/>
  <c r="AI377" i="4" s="1"/>
  <c r="AI378" i="8"/>
  <c r="AI378" i="4" s="1"/>
  <c r="AI379" i="8"/>
  <c r="AI379" i="4" s="1"/>
  <c r="AI380" i="8"/>
  <c r="AI380" i="4" s="1"/>
  <c r="AI381" i="8"/>
  <c r="AI381" i="4" s="1"/>
  <c r="AI382" i="8"/>
  <c r="AI382" i="4" s="1"/>
  <c r="AI383" i="8"/>
  <c r="AI383" i="4" s="1"/>
  <c r="AI384" i="8"/>
  <c r="AI384" i="4" s="1"/>
  <c r="AI385" i="8"/>
  <c r="AI385" i="4" s="1"/>
  <c r="AI386" i="8"/>
  <c r="AI386" i="4" s="1"/>
  <c r="AI387" i="8"/>
  <c r="AI387" i="4" s="1"/>
  <c r="AI388" i="8"/>
  <c r="AI388" i="4" s="1"/>
  <c r="AI389" i="8"/>
  <c r="AI389" i="4" s="1"/>
  <c r="AI390" i="8"/>
  <c r="AI390" i="4" s="1"/>
  <c r="AI391" i="8"/>
  <c r="AI391" i="4" s="1"/>
  <c r="AI392" i="8"/>
  <c r="AI392" i="4" s="1"/>
  <c r="AI393" i="8"/>
  <c r="AI393" i="4" s="1"/>
  <c r="AI394" i="8"/>
  <c r="AI394" i="4" s="1"/>
  <c r="AI395" i="8"/>
  <c r="AI395" i="4" s="1"/>
  <c r="AI396" i="8"/>
  <c r="AI396" i="4" s="1"/>
  <c r="AI397" i="8"/>
  <c r="AI397" i="4" s="1"/>
  <c r="AI398" i="8"/>
  <c r="AI398" i="4" s="1"/>
  <c r="AI399" i="8"/>
  <c r="AI399" i="4" s="1"/>
  <c r="AI400" i="8"/>
  <c r="AI400" i="4" s="1"/>
  <c r="AI401" i="8"/>
  <c r="AI401" i="4" s="1"/>
  <c r="AI402" i="8"/>
  <c r="AI402" i="4" s="1"/>
  <c r="AI403" i="8"/>
  <c r="AI403" i="4" s="1"/>
  <c r="AI404" i="8"/>
  <c r="AI405" i="8"/>
  <c r="AI405" i="4" s="1"/>
  <c r="AI406" i="8"/>
  <c r="AI406" i="4" s="1"/>
  <c r="AI407" i="8"/>
  <c r="AI407" i="4" s="1"/>
  <c r="AI408" i="8"/>
  <c r="AI408" i="4" s="1"/>
  <c r="AI409" i="8"/>
  <c r="AI409" i="4" s="1"/>
  <c r="AI410" i="8"/>
  <c r="AI410" i="4" s="1"/>
  <c r="AI411" i="8"/>
  <c r="AI411" i="4" s="1"/>
  <c r="AI412" i="8"/>
  <c r="AI412" i="4" s="1"/>
  <c r="AI413" i="8"/>
  <c r="AI413" i="4" s="1"/>
  <c r="AH278" i="8"/>
  <c r="AH278" i="4" s="1"/>
  <c r="AH279" i="8"/>
  <c r="AH279" i="4" s="1"/>
  <c r="AH280" i="8"/>
  <c r="AH280" i="4" s="1"/>
  <c r="AH281" i="8"/>
  <c r="AH281" i="4" s="1"/>
  <c r="AH282" i="8"/>
  <c r="AH282" i="4" s="1"/>
  <c r="AH283" i="8"/>
  <c r="AH283" i="4" s="1"/>
  <c r="AH284" i="8"/>
  <c r="AH284" i="4" s="1"/>
  <c r="AH285" i="8"/>
  <c r="AH285" i="4" s="1"/>
  <c r="AH286" i="8"/>
  <c r="AH286" i="4" s="1"/>
  <c r="AH287" i="8"/>
  <c r="AH287" i="4" s="1"/>
  <c r="AH288" i="8"/>
  <c r="AH288" i="4" s="1"/>
  <c r="AH289" i="8"/>
  <c r="AH289" i="4" s="1"/>
  <c r="AH290" i="8"/>
  <c r="AH290" i="4" s="1"/>
  <c r="AH291" i="8"/>
  <c r="AH291" i="4" s="1"/>
  <c r="AH292" i="8"/>
  <c r="AH292" i="4" s="1"/>
  <c r="AH293" i="8"/>
  <c r="AH293" i="4" s="1"/>
  <c r="AH294" i="8"/>
  <c r="AH294" i="4" s="1"/>
  <c r="AH295" i="8"/>
  <c r="AH295" i="4" s="1"/>
  <c r="AH296" i="8"/>
  <c r="AH296" i="4" s="1"/>
  <c r="AH297" i="8"/>
  <c r="AH297" i="4" s="1"/>
  <c r="AH298" i="8"/>
  <c r="AH298" i="4" s="1"/>
  <c r="AH299" i="8"/>
  <c r="AH299" i="4" s="1"/>
  <c r="AH300" i="8"/>
  <c r="AH300" i="4" s="1"/>
  <c r="AH301" i="8"/>
  <c r="AH301" i="4" s="1"/>
  <c r="AH302" i="8"/>
  <c r="AH302" i="4" s="1"/>
  <c r="AH303" i="8"/>
  <c r="AH303" i="4" s="1"/>
  <c r="AH304" i="8"/>
  <c r="AH304" i="4" s="1"/>
  <c r="AH305" i="8"/>
  <c r="AH305" i="4" s="1"/>
  <c r="AH306" i="8"/>
  <c r="AH306" i="4" s="1"/>
  <c r="AH307" i="8"/>
  <c r="AH307" i="4" s="1"/>
  <c r="AH308" i="8"/>
  <c r="AH308" i="4" s="1"/>
  <c r="AH309" i="8"/>
  <c r="AH309" i="4" s="1"/>
  <c r="AH310" i="8"/>
  <c r="AH310" i="4" s="1"/>
  <c r="AH311" i="8"/>
  <c r="AH312" i="8"/>
  <c r="AH312" i="4" s="1"/>
  <c r="AH313" i="8"/>
  <c r="AH313" i="4" s="1"/>
  <c r="AH314" i="8"/>
  <c r="AH314" i="4" s="1"/>
  <c r="AH315" i="8"/>
  <c r="AH315" i="4" s="1"/>
  <c r="AH316" i="8"/>
  <c r="AH316" i="4" s="1"/>
  <c r="AH317" i="8"/>
  <c r="AH317" i="4" s="1"/>
  <c r="AH318" i="8"/>
  <c r="AH318" i="4" s="1"/>
  <c r="AH319" i="8"/>
  <c r="AH319" i="4" s="1"/>
  <c r="AH320" i="8"/>
  <c r="AH320" i="4" s="1"/>
  <c r="AH321" i="8"/>
  <c r="AH321" i="4" s="1"/>
  <c r="AH322" i="8"/>
  <c r="AH322" i="4" s="1"/>
  <c r="AH323" i="8"/>
  <c r="AH323" i="4" s="1"/>
  <c r="AH324" i="8"/>
  <c r="AH324" i="4" s="1"/>
  <c r="AH325" i="8"/>
  <c r="AH325" i="4" s="1"/>
  <c r="AH326" i="8"/>
  <c r="AH326" i="4" s="1"/>
  <c r="AH327" i="8"/>
  <c r="AH327" i="4" s="1"/>
  <c r="AH328" i="8"/>
  <c r="AH328" i="4" s="1"/>
  <c r="AH329" i="8"/>
  <c r="AH329" i="4" s="1"/>
  <c r="AH330" i="8"/>
  <c r="AH330" i="4" s="1"/>
  <c r="AH331" i="8"/>
  <c r="AH331" i="4" s="1"/>
  <c r="AH332" i="8"/>
  <c r="AH332" i="4" s="1"/>
  <c r="AH333" i="8"/>
  <c r="AH333" i="4" s="1"/>
  <c r="AH334" i="8"/>
  <c r="AH334" i="4" s="1"/>
  <c r="AH335" i="8"/>
  <c r="AH335" i="4" s="1"/>
  <c r="AH336" i="8"/>
  <c r="AH336" i="4" s="1"/>
  <c r="AH337" i="8"/>
  <c r="AH337" i="4" s="1"/>
  <c r="AH338" i="8"/>
  <c r="AH338" i="4" s="1"/>
  <c r="AH339" i="8"/>
  <c r="AH339" i="4" s="1"/>
  <c r="AH340" i="8"/>
  <c r="AH340" i="4" s="1"/>
  <c r="AH341" i="8"/>
  <c r="AH341" i="4" s="1"/>
  <c r="AH342" i="8"/>
  <c r="AH342" i="4" s="1"/>
  <c r="AH343" i="8"/>
  <c r="AH343" i="4" s="1"/>
  <c r="AH344" i="8"/>
  <c r="AH344" i="4" s="1"/>
  <c r="AH345" i="8"/>
  <c r="AH345" i="4" s="1"/>
  <c r="AH346" i="8"/>
  <c r="AH346" i="4" s="1"/>
  <c r="AH347" i="8"/>
  <c r="AH347" i="4" s="1"/>
  <c r="AH348" i="8"/>
  <c r="AH348" i="4" s="1"/>
  <c r="AH349" i="8"/>
  <c r="AH349" i="4" s="1"/>
  <c r="AH350" i="8"/>
  <c r="AH350" i="4" s="1"/>
  <c r="AH351" i="8"/>
  <c r="AH351" i="4" s="1"/>
  <c r="AH352" i="8"/>
  <c r="AH352" i="4" s="1"/>
  <c r="AH353" i="8"/>
  <c r="AH354" i="8"/>
  <c r="AH354" i="4" s="1"/>
  <c r="AH355" i="8"/>
  <c r="AH355" i="4" s="1"/>
  <c r="AH356" i="8"/>
  <c r="AH356" i="4" s="1"/>
  <c r="AH357" i="8"/>
  <c r="AH357" i="4" s="1"/>
  <c r="AH358" i="8"/>
  <c r="AH358" i="4" s="1"/>
  <c r="AH359" i="8"/>
  <c r="AH359" i="4" s="1"/>
  <c r="AH360" i="8"/>
  <c r="AH360" i="4" s="1"/>
  <c r="AH361" i="8"/>
  <c r="AH361" i="4" s="1"/>
  <c r="AH362" i="8"/>
  <c r="AH362" i="4" s="1"/>
  <c r="AH363" i="8"/>
  <c r="AH363" i="4" s="1"/>
  <c r="AH364" i="8"/>
  <c r="AH364" i="4" s="1"/>
  <c r="AH365" i="8"/>
  <c r="AH366" i="8"/>
  <c r="AH366" i="4" s="1"/>
  <c r="AH367" i="8"/>
  <c r="AH367" i="4" s="1"/>
  <c r="AH368" i="8"/>
  <c r="AH368" i="4" s="1"/>
  <c r="AH369" i="8"/>
  <c r="AH369" i="4" s="1"/>
  <c r="AH370" i="8"/>
  <c r="AH370" i="4" s="1"/>
  <c r="AH371" i="8"/>
  <c r="AH371" i="4" s="1"/>
  <c r="AH372" i="8"/>
  <c r="AH372" i="4" s="1"/>
  <c r="AH373" i="8"/>
  <c r="AH373" i="4" s="1"/>
  <c r="AH374" i="8"/>
  <c r="AH374" i="4" s="1"/>
  <c r="AH375" i="8"/>
  <c r="AH375" i="4" s="1"/>
  <c r="AH376" i="8"/>
  <c r="AH376" i="4" s="1"/>
  <c r="AH377" i="8"/>
  <c r="AH377" i="4" s="1"/>
  <c r="AH378" i="8"/>
  <c r="AH378" i="4" s="1"/>
  <c r="AH379" i="8"/>
  <c r="AH379" i="4" s="1"/>
  <c r="AH380" i="8"/>
  <c r="AH380" i="4" s="1"/>
  <c r="AH381" i="8"/>
  <c r="AH381" i="4" s="1"/>
  <c r="AH382" i="8"/>
  <c r="AH382" i="4" s="1"/>
  <c r="AH383" i="8"/>
  <c r="AH383" i="4" s="1"/>
  <c r="AH384" i="8"/>
  <c r="AH384" i="4" s="1"/>
  <c r="AH385" i="8"/>
  <c r="AH385" i="4" s="1"/>
  <c r="AH386" i="8"/>
  <c r="AH386" i="4" s="1"/>
  <c r="AH387" i="8"/>
  <c r="AH387" i="4" s="1"/>
  <c r="AH388" i="8"/>
  <c r="AH388" i="4" s="1"/>
  <c r="AH389" i="8"/>
  <c r="AH389" i="4" s="1"/>
  <c r="AH390" i="8"/>
  <c r="AH390" i="4" s="1"/>
  <c r="AH391" i="8"/>
  <c r="AH391" i="4" s="1"/>
  <c r="AH392" i="8"/>
  <c r="AH392" i="4" s="1"/>
  <c r="AH393" i="8"/>
  <c r="AH393" i="4" s="1"/>
  <c r="AH394" i="8"/>
  <c r="AH394" i="4" s="1"/>
  <c r="AH395" i="8"/>
  <c r="AH395" i="4" s="1"/>
  <c r="AH396" i="8"/>
  <c r="AH396" i="4" s="1"/>
  <c r="AH397" i="8"/>
  <c r="AH397" i="4" s="1"/>
  <c r="AH398" i="8"/>
  <c r="AH398" i="4" s="1"/>
  <c r="AH399" i="8"/>
  <c r="AH399" i="4" s="1"/>
  <c r="AH400" i="8"/>
  <c r="AH400" i="4" s="1"/>
  <c r="AH401" i="8"/>
  <c r="AH401" i="4" s="1"/>
  <c r="AH402" i="8"/>
  <c r="AH402" i="4" s="1"/>
  <c r="AH403" i="8"/>
  <c r="AH403" i="4" s="1"/>
  <c r="AH404" i="8"/>
  <c r="AH405" i="8"/>
  <c r="AH405" i="4" s="1"/>
  <c r="AH406" i="8"/>
  <c r="AH406" i="4" s="1"/>
  <c r="AH407" i="8"/>
  <c r="AH407" i="4" s="1"/>
  <c r="AH408" i="8"/>
  <c r="AH408" i="4" s="1"/>
  <c r="AH409" i="8"/>
  <c r="AH409" i="4" s="1"/>
  <c r="AH410" i="8"/>
  <c r="AH410" i="4" s="1"/>
  <c r="AH411" i="8"/>
  <c r="AH411" i="4" s="1"/>
  <c r="AH412" i="8"/>
  <c r="AH412" i="4" s="1"/>
  <c r="AH413" i="8"/>
  <c r="AH413" i="4" s="1"/>
  <c r="AG278" i="8"/>
  <c r="AG278" i="4" s="1"/>
  <c r="AG279" i="8"/>
  <c r="AG279" i="4" s="1"/>
  <c r="AG280" i="8"/>
  <c r="AG280" i="4" s="1"/>
  <c r="AG281" i="8"/>
  <c r="AG281" i="4" s="1"/>
  <c r="AG282" i="8"/>
  <c r="AG282" i="4" s="1"/>
  <c r="AG283" i="8"/>
  <c r="AG283" i="4" s="1"/>
  <c r="AG284" i="8"/>
  <c r="AG284" i="4" s="1"/>
  <c r="AG285" i="8"/>
  <c r="AG285" i="4" s="1"/>
  <c r="AG286" i="8"/>
  <c r="AG286" i="4" s="1"/>
  <c r="AG287" i="8"/>
  <c r="AG287" i="4" s="1"/>
  <c r="AG288" i="8"/>
  <c r="AG288" i="4" s="1"/>
  <c r="AG289" i="8"/>
  <c r="AG289" i="4" s="1"/>
  <c r="AG290" i="8"/>
  <c r="AG290" i="4" s="1"/>
  <c r="AG291" i="8"/>
  <c r="AG291" i="4" s="1"/>
  <c r="AG292" i="8"/>
  <c r="AG292" i="4" s="1"/>
  <c r="AG293" i="8"/>
  <c r="AG293" i="4" s="1"/>
  <c r="AG294" i="8"/>
  <c r="AG294" i="4" s="1"/>
  <c r="AG295" i="8"/>
  <c r="AG295" i="4" s="1"/>
  <c r="AG296" i="8"/>
  <c r="AG296" i="4" s="1"/>
  <c r="AG297" i="8"/>
  <c r="AG297" i="4" s="1"/>
  <c r="AG298" i="8"/>
  <c r="AG298" i="4" s="1"/>
  <c r="AG299" i="8"/>
  <c r="AG299" i="4" s="1"/>
  <c r="AG300" i="8"/>
  <c r="AG300" i="4" s="1"/>
  <c r="AG301" i="8"/>
  <c r="AG301" i="4" s="1"/>
  <c r="AG302" i="8"/>
  <c r="AG302" i="4" s="1"/>
  <c r="AG303" i="8"/>
  <c r="AG303" i="4" s="1"/>
  <c r="AG304" i="8"/>
  <c r="AG304" i="4" s="1"/>
  <c r="AG305" i="8"/>
  <c r="AG305" i="4" s="1"/>
  <c r="AG306" i="8"/>
  <c r="AG306" i="4" s="1"/>
  <c r="AG307" i="8"/>
  <c r="AG307" i="4" s="1"/>
  <c r="AG308" i="8"/>
  <c r="AG308" i="4" s="1"/>
  <c r="AG309" i="8"/>
  <c r="AG309" i="4" s="1"/>
  <c r="AG310" i="8"/>
  <c r="AG310" i="4" s="1"/>
  <c r="AG311" i="8"/>
  <c r="AG312" i="8"/>
  <c r="AG312" i="4" s="1"/>
  <c r="AG313" i="8"/>
  <c r="AG313" i="4" s="1"/>
  <c r="AG314" i="8"/>
  <c r="AG314" i="4" s="1"/>
  <c r="AG315" i="8"/>
  <c r="AG315" i="4" s="1"/>
  <c r="AG316" i="8"/>
  <c r="AG316" i="4" s="1"/>
  <c r="AG317" i="8"/>
  <c r="AG317" i="4" s="1"/>
  <c r="AG318" i="8"/>
  <c r="AG318" i="4" s="1"/>
  <c r="AG319" i="8"/>
  <c r="AG319" i="4" s="1"/>
  <c r="AG320" i="8"/>
  <c r="AG320" i="4" s="1"/>
  <c r="AG321" i="8"/>
  <c r="AG321" i="4" s="1"/>
  <c r="AG322" i="8"/>
  <c r="AG322" i="4" s="1"/>
  <c r="AG323" i="8"/>
  <c r="AG323" i="4" s="1"/>
  <c r="AG324" i="8"/>
  <c r="AG324" i="4" s="1"/>
  <c r="AG325" i="8"/>
  <c r="AG325" i="4" s="1"/>
  <c r="AG326" i="8"/>
  <c r="AG326" i="4" s="1"/>
  <c r="AG327" i="8"/>
  <c r="AG327" i="4" s="1"/>
  <c r="AG328" i="8"/>
  <c r="AG328" i="4" s="1"/>
  <c r="AG329" i="8"/>
  <c r="AG329" i="4" s="1"/>
  <c r="AG330" i="8"/>
  <c r="AG330" i="4" s="1"/>
  <c r="AG331" i="8"/>
  <c r="AG331" i="4" s="1"/>
  <c r="AG332" i="8"/>
  <c r="AG332" i="4" s="1"/>
  <c r="AG333" i="8"/>
  <c r="AG333" i="4" s="1"/>
  <c r="AG334" i="8"/>
  <c r="AG334" i="4" s="1"/>
  <c r="AG335" i="8"/>
  <c r="AG335" i="4" s="1"/>
  <c r="AG336" i="8"/>
  <c r="AG336" i="4" s="1"/>
  <c r="AG337" i="8"/>
  <c r="AG337" i="4" s="1"/>
  <c r="AG338" i="8"/>
  <c r="AG338" i="4" s="1"/>
  <c r="AG339" i="8"/>
  <c r="AG339" i="4" s="1"/>
  <c r="AG340" i="8"/>
  <c r="AG340" i="4" s="1"/>
  <c r="AG341" i="8"/>
  <c r="AG341" i="4" s="1"/>
  <c r="AG342" i="8"/>
  <c r="AG342" i="4" s="1"/>
  <c r="AG343" i="8"/>
  <c r="AG343" i="4" s="1"/>
  <c r="AG344" i="8"/>
  <c r="AG344" i="4" s="1"/>
  <c r="AG345" i="8"/>
  <c r="AG345" i="4" s="1"/>
  <c r="AG346" i="8"/>
  <c r="AG346" i="4" s="1"/>
  <c r="AG347" i="8"/>
  <c r="AG347" i="4" s="1"/>
  <c r="AG348" i="8"/>
  <c r="AG348" i="4" s="1"/>
  <c r="AG349" i="8"/>
  <c r="AG349" i="4" s="1"/>
  <c r="AG350" i="8"/>
  <c r="AG350" i="4" s="1"/>
  <c r="AG351" i="8"/>
  <c r="AG351" i="4" s="1"/>
  <c r="AG352" i="8"/>
  <c r="AG352" i="4" s="1"/>
  <c r="AG353" i="8"/>
  <c r="AG354" i="8"/>
  <c r="AG354" i="4" s="1"/>
  <c r="AG355" i="8"/>
  <c r="AG355" i="4" s="1"/>
  <c r="AG356" i="8"/>
  <c r="AG356" i="4" s="1"/>
  <c r="AG357" i="8"/>
  <c r="AG357" i="4" s="1"/>
  <c r="AG358" i="8"/>
  <c r="AG358" i="4" s="1"/>
  <c r="AG359" i="8"/>
  <c r="AG359" i="4" s="1"/>
  <c r="AG360" i="8"/>
  <c r="AG360" i="4" s="1"/>
  <c r="AG361" i="8"/>
  <c r="AG361" i="4" s="1"/>
  <c r="AG362" i="8"/>
  <c r="AG362" i="4" s="1"/>
  <c r="AG363" i="8"/>
  <c r="AG363" i="4" s="1"/>
  <c r="AG364" i="8"/>
  <c r="AG364" i="4" s="1"/>
  <c r="AG365" i="8"/>
  <c r="AG366" i="8"/>
  <c r="AG366" i="4" s="1"/>
  <c r="AG367" i="8"/>
  <c r="AG367" i="4" s="1"/>
  <c r="AG368" i="8"/>
  <c r="AG368" i="4" s="1"/>
  <c r="AG369" i="8"/>
  <c r="AG369" i="4" s="1"/>
  <c r="AG370" i="8"/>
  <c r="AG370" i="4" s="1"/>
  <c r="AG371" i="8"/>
  <c r="AG371" i="4" s="1"/>
  <c r="AG372" i="8"/>
  <c r="AG372" i="4" s="1"/>
  <c r="AG373" i="8"/>
  <c r="AG373" i="4" s="1"/>
  <c r="AG374" i="8"/>
  <c r="AG374" i="4" s="1"/>
  <c r="AG375" i="8"/>
  <c r="AG375" i="4" s="1"/>
  <c r="AG376" i="8"/>
  <c r="AG376" i="4" s="1"/>
  <c r="AG377" i="8"/>
  <c r="AG377" i="4" s="1"/>
  <c r="AG378" i="8"/>
  <c r="AG378" i="4" s="1"/>
  <c r="AG379" i="8"/>
  <c r="AG379" i="4" s="1"/>
  <c r="AG380" i="8"/>
  <c r="AG380" i="4" s="1"/>
  <c r="AG381" i="8"/>
  <c r="AG381" i="4" s="1"/>
  <c r="AG382" i="8"/>
  <c r="AG382" i="4" s="1"/>
  <c r="AG383" i="8"/>
  <c r="AG383" i="4" s="1"/>
  <c r="AG384" i="8"/>
  <c r="AG384" i="4" s="1"/>
  <c r="AG385" i="8"/>
  <c r="AG385" i="4" s="1"/>
  <c r="AG386" i="8"/>
  <c r="AG386" i="4" s="1"/>
  <c r="AG387" i="8"/>
  <c r="AG387" i="4" s="1"/>
  <c r="AG388" i="8"/>
  <c r="AG388" i="4" s="1"/>
  <c r="AG389" i="8"/>
  <c r="AG389" i="4" s="1"/>
  <c r="AG390" i="8"/>
  <c r="AG390" i="4" s="1"/>
  <c r="AG391" i="8"/>
  <c r="AG391" i="4" s="1"/>
  <c r="AG392" i="8"/>
  <c r="AG392" i="4" s="1"/>
  <c r="AG393" i="8"/>
  <c r="AG393" i="4" s="1"/>
  <c r="AG394" i="8"/>
  <c r="AG394" i="4" s="1"/>
  <c r="AG395" i="8"/>
  <c r="AG395" i="4" s="1"/>
  <c r="AG396" i="8"/>
  <c r="AG396" i="4" s="1"/>
  <c r="AG397" i="8"/>
  <c r="AG397" i="4" s="1"/>
  <c r="AG398" i="8"/>
  <c r="AG398" i="4" s="1"/>
  <c r="AG399" i="8"/>
  <c r="AG399" i="4" s="1"/>
  <c r="AG400" i="8"/>
  <c r="AG400" i="4" s="1"/>
  <c r="AG401" i="8"/>
  <c r="AG401" i="4" s="1"/>
  <c r="AG402" i="8"/>
  <c r="AG402" i="4" s="1"/>
  <c r="AG403" i="8"/>
  <c r="AG403" i="4" s="1"/>
  <c r="AG404" i="8"/>
  <c r="AG405" i="8"/>
  <c r="AG405" i="4" s="1"/>
  <c r="AG406" i="8"/>
  <c r="AG406" i="4" s="1"/>
  <c r="AG407" i="8"/>
  <c r="AG407" i="4" s="1"/>
  <c r="AG408" i="8"/>
  <c r="AG408" i="4" s="1"/>
  <c r="AG409" i="8"/>
  <c r="AG409" i="4" s="1"/>
  <c r="AG410" i="8"/>
  <c r="AG410" i="4" s="1"/>
  <c r="AG411" i="8"/>
  <c r="AG411" i="4" s="1"/>
  <c r="AG412" i="8"/>
  <c r="AG412" i="4" s="1"/>
  <c r="AG413" i="8"/>
  <c r="AG413" i="4" s="1"/>
  <c r="AF278" i="8"/>
  <c r="AF278" i="4" s="1"/>
  <c r="AF279" i="8"/>
  <c r="AF279" i="4" s="1"/>
  <c r="AF280" i="8"/>
  <c r="AF280" i="4" s="1"/>
  <c r="AF281" i="8"/>
  <c r="AF281" i="4" s="1"/>
  <c r="AF282" i="8"/>
  <c r="AF282" i="4" s="1"/>
  <c r="AF283" i="8"/>
  <c r="AF283" i="4" s="1"/>
  <c r="AF284" i="8"/>
  <c r="AF284" i="4" s="1"/>
  <c r="AF285" i="8"/>
  <c r="AF285" i="4" s="1"/>
  <c r="AF286" i="8"/>
  <c r="AF286" i="4" s="1"/>
  <c r="AF287" i="8"/>
  <c r="AF287" i="4" s="1"/>
  <c r="AF288" i="8"/>
  <c r="AF288" i="4" s="1"/>
  <c r="AF289" i="8"/>
  <c r="AF289" i="4" s="1"/>
  <c r="AF290" i="8"/>
  <c r="AF290" i="4" s="1"/>
  <c r="AF291" i="8"/>
  <c r="AF291" i="4" s="1"/>
  <c r="AF292" i="8"/>
  <c r="AF292" i="4" s="1"/>
  <c r="AF293" i="8"/>
  <c r="AF293" i="4" s="1"/>
  <c r="AF294" i="8"/>
  <c r="AF294" i="4" s="1"/>
  <c r="AF295" i="8"/>
  <c r="AF295" i="4" s="1"/>
  <c r="AF296" i="8"/>
  <c r="AF296" i="4" s="1"/>
  <c r="AF297" i="8"/>
  <c r="AF297" i="4" s="1"/>
  <c r="AF298" i="8"/>
  <c r="AF298" i="4" s="1"/>
  <c r="AF299" i="8"/>
  <c r="AF299" i="4" s="1"/>
  <c r="AF300" i="8"/>
  <c r="AF300" i="4" s="1"/>
  <c r="AF301" i="8"/>
  <c r="AF301" i="4" s="1"/>
  <c r="AF302" i="8"/>
  <c r="AF302" i="4" s="1"/>
  <c r="AF303" i="8"/>
  <c r="AF303" i="4" s="1"/>
  <c r="AF304" i="8"/>
  <c r="AF304" i="4" s="1"/>
  <c r="AF305" i="8"/>
  <c r="AF305" i="4" s="1"/>
  <c r="AF306" i="8"/>
  <c r="AF306" i="4" s="1"/>
  <c r="AF307" i="8"/>
  <c r="AF307" i="4" s="1"/>
  <c r="AF308" i="8"/>
  <c r="AF308" i="4" s="1"/>
  <c r="AF309" i="8"/>
  <c r="AF309" i="4" s="1"/>
  <c r="AF310" i="8"/>
  <c r="AF310" i="4" s="1"/>
  <c r="AF311" i="8"/>
  <c r="AF312" i="8"/>
  <c r="AF312" i="4" s="1"/>
  <c r="AF313" i="8"/>
  <c r="AF313" i="4" s="1"/>
  <c r="AF314" i="8"/>
  <c r="AF314" i="4" s="1"/>
  <c r="AF315" i="8"/>
  <c r="AF315" i="4" s="1"/>
  <c r="AF316" i="8"/>
  <c r="AF316" i="4" s="1"/>
  <c r="AF317" i="8"/>
  <c r="AF317" i="4" s="1"/>
  <c r="AF318" i="8"/>
  <c r="AF318" i="4" s="1"/>
  <c r="AF319" i="8"/>
  <c r="AF319" i="4" s="1"/>
  <c r="AF320" i="8"/>
  <c r="AF320" i="4" s="1"/>
  <c r="AF321" i="8"/>
  <c r="AF321" i="4" s="1"/>
  <c r="AF322" i="8"/>
  <c r="AF322" i="4" s="1"/>
  <c r="AF323" i="8"/>
  <c r="AF323" i="4" s="1"/>
  <c r="AF324" i="8"/>
  <c r="AF324" i="4" s="1"/>
  <c r="AF325" i="8"/>
  <c r="AF325" i="4" s="1"/>
  <c r="AF326" i="8"/>
  <c r="AF326" i="4" s="1"/>
  <c r="AF327" i="8"/>
  <c r="AF327" i="4" s="1"/>
  <c r="AF328" i="8"/>
  <c r="AF328" i="4" s="1"/>
  <c r="AF329" i="8"/>
  <c r="AF329" i="4" s="1"/>
  <c r="AF330" i="8"/>
  <c r="AF330" i="4" s="1"/>
  <c r="AF331" i="8"/>
  <c r="AF331" i="4" s="1"/>
  <c r="AF332" i="8"/>
  <c r="AF332" i="4" s="1"/>
  <c r="AF333" i="8"/>
  <c r="AF333" i="4" s="1"/>
  <c r="AF334" i="8"/>
  <c r="AF334" i="4" s="1"/>
  <c r="AF335" i="8"/>
  <c r="AF335" i="4" s="1"/>
  <c r="AF336" i="8"/>
  <c r="AF336" i="4" s="1"/>
  <c r="AF337" i="8"/>
  <c r="AF337" i="4" s="1"/>
  <c r="AF338" i="8"/>
  <c r="AF338" i="4" s="1"/>
  <c r="AF339" i="8"/>
  <c r="AF339" i="4" s="1"/>
  <c r="AF340" i="8"/>
  <c r="AF340" i="4" s="1"/>
  <c r="AF341" i="8"/>
  <c r="AF341" i="4" s="1"/>
  <c r="AF342" i="8"/>
  <c r="AF342" i="4" s="1"/>
  <c r="AF343" i="8"/>
  <c r="AF343" i="4" s="1"/>
  <c r="AF344" i="8"/>
  <c r="AF344" i="4" s="1"/>
  <c r="AF345" i="8"/>
  <c r="AF345" i="4" s="1"/>
  <c r="AF346" i="8"/>
  <c r="AF346" i="4" s="1"/>
  <c r="AF347" i="8"/>
  <c r="AF347" i="4" s="1"/>
  <c r="AF348" i="8"/>
  <c r="AF348" i="4" s="1"/>
  <c r="AF349" i="8"/>
  <c r="AF349" i="4" s="1"/>
  <c r="AF350" i="8"/>
  <c r="AF350" i="4" s="1"/>
  <c r="AF351" i="8"/>
  <c r="AF351" i="4" s="1"/>
  <c r="AF352" i="8"/>
  <c r="AF352" i="4" s="1"/>
  <c r="AF353" i="8"/>
  <c r="AF354" i="8"/>
  <c r="AF354" i="4" s="1"/>
  <c r="AF355" i="8"/>
  <c r="AF355" i="4" s="1"/>
  <c r="AF356" i="8"/>
  <c r="AF356" i="4" s="1"/>
  <c r="AF357" i="8"/>
  <c r="AF357" i="4" s="1"/>
  <c r="AF358" i="8"/>
  <c r="AF358" i="4" s="1"/>
  <c r="AF359" i="8"/>
  <c r="AF359" i="4" s="1"/>
  <c r="AF360" i="8"/>
  <c r="AF360" i="4" s="1"/>
  <c r="AF361" i="8"/>
  <c r="AF361" i="4" s="1"/>
  <c r="AF362" i="8"/>
  <c r="AF362" i="4" s="1"/>
  <c r="AF363" i="8"/>
  <c r="AF363" i="4" s="1"/>
  <c r="AF364" i="8"/>
  <c r="AF364" i="4" s="1"/>
  <c r="AF365" i="8"/>
  <c r="AF366" i="8"/>
  <c r="AF366" i="4" s="1"/>
  <c r="AF367" i="8"/>
  <c r="AF367" i="4" s="1"/>
  <c r="AF368" i="8"/>
  <c r="AF368" i="4" s="1"/>
  <c r="AF369" i="8"/>
  <c r="AF369" i="4" s="1"/>
  <c r="AF370" i="8"/>
  <c r="AF370" i="4" s="1"/>
  <c r="AF371" i="8"/>
  <c r="AF371" i="4" s="1"/>
  <c r="AF372" i="8"/>
  <c r="AF372" i="4" s="1"/>
  <c r="AF373" i="8"/>
  <c r="AF373" i="4" s="1"/>
  <c r="AF374" i="8"/>
  <c r="AF374" i="4" s="1"/>
  <c r="AF375" i="8"/>
  <c r="AF375" i="4" s="1"/>
  <c r="AF376" i="8"/>
  <c r="AF376" i="4" s="1"/>
  <c r="AF377" i="8"/>
  <c r="AF377" i="4" s="1"/>
  <c r="AF378" i="8"/>
  <c r="AF378" i="4" s="1"/>
  <c r="AF379" i="8"/>
  <c r="AF379" i="4" s="1"/>
  <c r="AF380" i="8"/>
  <c r="AF380" i="4" s="1"/>
  <c r="AF381" i="8"/>
  <c r="AF381" i="4" s="1"/>
  <c r="AF382" i="8"/>
  <c r="AF382" i="4" s="1"/>
  <c r="AF383" i="8"/>
  <c r="AF383" i="4" s="1"/>
  <c r="AF384" i="8"/>
  <c r="AF384" i="4" s="1"/>
  <c r="AF385" i="8"/>
  <c r="AF385" i="4" s="1"/>
  <c r="AF386" i="8"/>
  <c r="AF386" i="4" s="1"/>
  <c r="AF387" i="8"/>
  <c r="AF387" i="4" s="1"/>
  <c r="AF388" i="8"/>
  <c r="AF388" i="4" s="1"/>
  <c r="AF389" i="8"/>
  <c r="AF389" i="4" s="1"/>
  <c r="AF390" i="8"/>
  <c r="AF390" i="4" s="1"/>
  <c r="AF391" i="8"/>
  <c r="AF391" i="4" s="1"/>
  <c r="AF392" i="8"/>
  <c r="AF392" i="4" s="1"/>
  <c r="AF393" i="8"/>
  <c r="AF393" i="4" s="1"/>
  <c r="AF394" i="8"/>
  <c r="AF394" i="4" s="1"/>
  <c r="AF395" i="8"/>
  <c r="AF395" i="4" s="1"/>
  <c r="AF396" i="8"/>
  <c r="AF396" i="4" s="1"/>
  <c r="AF397" i="8"/>
  <c r="AF397" i="4" s="1"/>
  <c r="AF398" i="8"/>
  <c r="AF398" i="4" s="1"/>
  <c r="AF399" i="8"/>
  <c r="AF399" i="4" s="1"/>
  <c r="AF400" i="8"/>
  <c r="AF400" i="4" s="1"/>
  <c r="AF401" i="8"/>
  <c r="AF401" i="4" s="1"/>
  <c r="AF402" i="8"/>
  <c r="AF402" i="4" s="1"/>
  <c r="AF403" i="8"/>
  <c r="AF403" i="4" s="1"/>
  <c r="AF404" i="8"/>
  <c r="AF405" i="8"/>
  <c r="AF405" i="4" s="1"/>
  <c r="AF406" i="8"/>
  <c r="AF406" i="4" s="1"/>
  <c r="AF407" i="8"/>
  <c r="AF407" i="4" s="1"/>
  <c r="AF408" i="8"/>
  <c r="AF408" i="4" s="1"/>
  <c r="AF409" i="8"/>
  <c r="AF409" i="4" s="1"/>
  <c r="AF410" i="8"/>
  <c r="AF410" i="4" s="1"/>
  <c r="AF411" i="8"/>
  <c r="AF411" i="4" s="1"/>
  <c r="AF412" i="8"/>
  <c r="AF412" i="4" s="1"/>
  <c r="AF413" i="8"/>
  <c r="AF413" i="4" s="1"/>
  <c r="AE278" i="8"/>
  <c r="AE278" i="4" s="1"/>
  <c r="AE279" i="8"/>
  <c r="AE279" i="4" s="1"/>
  <c r="AE280" i="8"/>
  <c r="AE280" i="4" s="1"/>
  <c r="AE281" i="8"/>
  <c r="AE281" i="4" s="1"/>
  <c r="AE282" i="8"/>
  <c r="AE282" i="4" s="1"/>
  <c r="AE283" i="8"/>
  <c r="AE283" i="4" s="1"/>
  <c r="AE284" i="8"/>
  <c r="AE284" i="4" s="1"/>
  <c r="AE285" i="8"/>
  <c r="AE285" i="4" s="1"/>
  <c r="AE286" i="8"/>
  <c r="AE286" i="4" s="1"/>
  <c r="AE287" i="8"/>
  <c r="AE287" i="4" s="1"/>
  <c r="AE288" i="8"/>
  <c r="AE288" i="4" s="1"/>
  <c r="AE289" i="8"/>
  <c r="AE289" i="4" s="1"/>
  <c r="AE290" i="8"/>
  <c r="AE290" i="4" s="1"/>
  <c r="AE291" i="8"/>
  <c r="AE291" i="4" s="1"/>
  <c r="AE292" i="8"/>
  <c r="AE292" i="4" s="1"/>
  <c r="AE293" i="8"/>
  <c r="AE293" i="4" s="1"/>
  <c r="AE294" i="8"/>
  <c r="AE294" i="4" s="1"/>
  <c r="AE295" i="8"/>
  <c r="AE295" i="4" s="1"/>
  <c r="AE296" i="8"/>
  <c r="AE296" i="4" s="1"/>
  <c r="AE297" i="8"/>
  <c r="AE297" i="4" s="1"/>
  <c r="AE298" i="8"/>
  <c r="AE298" i="4" s="1"/>
  <c r="AE299" i="8"/>
  <c r="AE299" i="4" s="1"/>
  <c r="AE300" i="8"/>
  <c r="AE300" i="4" s="1"/>
  <c r="AE301" i="8"/>
  <c r="AE301" i="4" s="1"/>
  <c r="AE302" i="8"/>
  <c r="AE302" i="4" s="1"/>
  <c r="AE303" i="8"/>
  <c r="AE303" i="4" s="1"/>
  <c r="AE304" i="8"/>
  <c r="AE304" i="4" s="1"/>
  <c r="AE305" i="8"/>
  <c r="AE305" i="4" s="1"/>
  <c r="AE306" i="8"/>
  <c r="AE306" i="4" s="1"/>
  <c r="AE307" i="8"/>
  <c r="AE307" i="4" s="1"/>
  <c r="AE308" i="8"/>
  <c r="AE308" i="4" s="1"/>
  <c r="AE309" i="8"/>
  <c r="AE309" i="4" s="1"/>
  <c r="AE310" i="8"/>
  <c r="AE310" i="4" s="1"/>
  <c r="AE311" i="8"/>
  <c r="AE312" i="8"/>
  <c r="AE312" i="4" s="1"/>
  <c r="AE313" i="8"/>
  <c r="AE313" i="4" s="1"/>
  <c r="AE314" i="8"/>
  <c r="AE314" i="4" s="1"/>
  <c r="AE315" i="8"/>
  <c r="AE315" i="4" s="1"/>
  <c r="AE316" i="8"/>
  <c r="AE316" i="4" s="1"/>
  <c r="AE317" i="8"/>
  <c r="AE317" i="4" s="1"/>
  <c r="AE318" i="8"/>
  <c r="AE318" i="4" s="1"/>
  <c r="AE319" i="8"/>
  <c r="AE319" i="4" s="1"/>
  <c r="AE320" i="8"/>
  <c r="AE320" i="4" s="1"/>
  <c r="AE321" i="8"/>
  <c r="AE321" i="4" s="1"/>
  <c r="AE322" i="8"/>
  <c r="AE322" i="4" s="1"/>
  <c r="AE323" i="8"/>
  <c r="AE323" i="4" s="1"/>
  <c r="AE324" i="8"/>
  <c r="AE324" i="4" s="1"/>
  <c r="AE325" i="8"/>
  <c r="AE325" i="4" s="1"/>
  <c r="AE326" i="8"/>
  <c r="AE326" i="4" s="1"/>
  <c r="AE327" i="8"/>
  <c r="AE327" i="4" s="1"/>
  <c r="AE328" i="8"/>
  <c r="AE328" i="4" s="1"/>
  <c r="AE329" i="8"/>
  <c r="AE329" i="4" s="1"/>
  <c r="AE330" i="8"/>
  <c r="AE330" i="4" s="1"/>
  <c r="AE331" i="8"/>
  <c r="AE331" i="4" s="1"/>
  <c r="AE332" i="8"/>
  <c r="AE332" i="4" s="1"/>
  <c r="AE333" i="8"/>
  <c r="AE333" i="4" s="1"/>
  <c r="AE334" i="8"/>
  <c r="AE334" i="4" s="1"/>
  <c r="AE335" i="8"/>
  <c r="AE335" i="4" s="1"/>
  <c r="AE336" i="8"/>
  <c r="AE336" i="4" s="1"/>
  <c r="AE337" i="8"/>
  <c r="AE337" i="4" s="1"/>
  <c r="AE338" i="8"/>
  <c r="AE338" i="4" s="1"/>
  <c r="AE339" i="8"/>
  <c r="AE339" i="4" s="1"/>
  <c r="AE340" i="8"/>
  <c r="AE340" i="4" s="1"/>
  <c r="AE341" i="8"/>
  <c r="AE341" i="4" s="1"/>
  <c r="AE342" i="8"/>
  <c r="AE342" i="4" s="1"/>
  <c r="AE343" i="8"/>
  <c r="AE343" i="4" s="1"/>
  <c r="AE344" i="8"/>
  <c r="AE344" i="4" s="1"/>
  <c r="AE345" i="8"/>
  <c r="AE345" i="4" s="1"/>
  <c r="AE346" i="8"/>
  <c r="AE346" i="4" s="1"/>
  <c r="AE347" i="8"/>
  <c r="AE347" i="4" s="1"/>
  <c r="AE348" i="8"/>
  <c r="AE348" i="4" s="1"/>
  <c r="AE349" i="8"/>
  <c r="AE349" i="4" s="1"/>
  <c r="AE350" i="8"/>
  <c r="AE350" i="4" s="1"/>
  <c r="AE351" i="8"/>
  <c r="AE351" i="4" s="1"/>
  <c r="AE352" i="8"/>
  <c r="AE352" i="4" s="1"/>
  <c r="AE353" i="8"/>
  <c r="AE354" i="8"/>
  <c r="AE354" i="4" s="1"/>
  <c r="AE355" i="8"/>
  <c r="AE355" i="4" s="1"/>
  <c r="AE356" i="8"/>
  <c r="AE356" i="4" s="1"/>
  <c r="AE357" i="8"/>
  <c r="AE357" i="4" s="1"/>
  <c r="AE358" i="8"/>
  <c r="AE358" i="4" s="1"/>
  <c r="AE359" i="8"/>
  <c r="AE359" i="4" s="1"/>
  <c r="AE360" i="8"/>
  <c r="AE360" i="4" s="1"/>
  <c r="AE361" i="8"/>
  <c r="AE361" i="4" s="1"/>
  <c r="AE362" i="8"/>
  <c r="AE362" i="4" s="1"/>
  <c r="AE363" i="8"/>
  <c r="AE363" i="4" s="1"/>
  <c r="AE364" i="8"/>
  <c r="AE364" i="4" s="1"/>
  <c r="AE365" i="8"/>
  <c r="AE366" i="8"/>
  <c r="AE366" i="4" s="1"/>
  <c r="AE367" i="8"/>
  <c r="AE367" i="4" s="1"/>
  <c r="AE368" i="8"/>
  <c r="AE368" i="4" s="1"/>
  <c r="AE369" i="8"/>
  <c r="AE369" i="4" s="1"/>
  <c r="AE370" i="8"/>
  <c r="AE370" i="4" s="1"/>
  <c r="AE371" i="8"/>
  <c r="AE371" i="4" s="1"/>
  <c r="AE372" i="8"/>
  <c r="AE372" i="4" s="1"/>
  <c r="AE373" i="8"/>
  <c r="AE373" i="4" s="1"/>
  <c r="AE374" i="8"/>
  <c r="AE374" i="4" s="1"/>
  <c r="AE375" i="8"/>
  <c r="AE375" i="4" s="1"/>
  <c r="AE376" i="8"/>
  <c r="AE376" i="4" s="1"/>
  <c r="AE377" i="8"/>
  <c r="AE377" i="4" s="1"/>
  <c r="AE378" i="8"/>
  <c r="AE378" i="4" s="1"/>
  <c r="AE379" i="8"/>
  <c r="AE379" i="4" s="1"/>
  <c r="AE380" i="8"/>
  <c r="AE380" i="4" s="1"/>
  <c r="AE381" i="8"/>
  <c r="AE381" i="4" s="1"/>
  <c r="AE382" i="8"/>
  <c r="AE382" i="4" s="1"/>
  <c r="AE383" i="8"/>
  <c r="AE383" i="4" s="1"/>
  <c r="AE384" i="8"/>
  <c r="AE384" i="4" s="1"/>
  <c r="AE385" i="8"/>
  <c r="AE385" i="4" s="1"/>
  <c r="AE386" i="8"/>
  <c r="AE386" i="4" s="1"/>
  <c r="AE387" i="8"/>
  <c r="AE387" i="4" s="1"/>
  <c r="AE388" i="8"/>
  <c r="AE388" i="4" s="1"/>
  <c r="AE389" i="8"/>
  <c r="AE389" i="4" s="1"/>
  <c r="AE390" i="8"/>
  <c r="AE390" i="4" s="1"/>
  <c r="AE391" i="8"/>
  <c r="AE391" i="4" s="1"/>
  <c r="AE392" i="8"/>
  <c r="AE392" i="4" s="1"/>
  <c r="AE393" i="8"/>
  <c r="AE393" i="4" s="1"/>
  <c r="AE394" i="8"/>
  <c r="AE394" i="4" s="1"/>
  <c r="AE395" i="8"/>
  <c r="AE395" i="4" s="1"/>
  <c r="AE396" i="8"/>
  <c r="AE396" i="4" s="1"/>
  <c r="AE397" i="8"/>
  <c r="AE397" i="4" s="1"/>
  <c r="AE398" i="8"/>
  <c r="AE398" i="4" s="1"/>
  <c r="AE399" i="8"/>
  <c r="AE399" i="4" s="1"/>
  <c r="AE400" i="8"/>
  <c r="AE400" i="4" s="1"/>
  <c r="AE401" i="8"/>
  <c r="AE401" i="4" s="1"/>
  <c r="AE402" i="8"/>
  <c r="AE402" i="4" s="1"/>
  <c r="AE403" i="8"/>
  <c r="AE403" i="4" s="1"/>
  <c r="AE404" i="8"/>
  <c r="AE405" i="8"/>
  <c r="AE405" i="4" s="1"/>
  <c r="AE406" i="8"/>
  <c r="AE406" i="4" s="1"/>
  <c r="AE407" i="8"/>
  <c r="AE407" i="4" s="1"/>
  <c r="AE408" i="8"/>
  <c r="AE408" i="4" s="1"/>
  <c r="AE409" i="8"/>
  <c r="AE409" i="4" s="1"/>
  <c r="AE410" i="8"/>
  <c r="AE410" i="4" s="1"/>
  <c r="AE411" i="8"/>
  <c r="AE411" i="4" s="1"/>
  <c r="AE412" i="8"/>
  <c r="AE412" i="4" s="1"/>
  <c r="AE413" i="8"/>
  <c r="AE413" i="4" s="1"/>
  <c r="AD278" i="8"/>
  <c r="AD278" i="4" s="1"/>
  <c r="AD279" i="8"/>
  <c r="AD279" i="4" s="1"/>
  <c r="AD280" i="8"/>
  <c r="AD280" i="4" s="1"/>
  <c r="AD281" i="8"/>
  <c r="AD281" i="4" s="1"/>
  <c r="AD282" i="8"/>
  <c r="AD282" i="4" s="1"/>
  <c r="AD283" i="8"/>
  <c r="AD283" i="4" s="1"/>
  <c r="AD284" i="8"/>
  <c r="AD284" i="4" s="1"/>
  <c r="AD285" i="8"/>
  <c r="AD285" i="4" s="1"/>
  <c r="AD286" i="8"/>
  <c r="AD286" i="4" s="1"/>
  <c r="AD287" i="8"/>
  <c r="AD287" i="4" s="1"/>
  <c r="AD288" i="8"/>
  <c r="AD288" i="4" s="1"/>
  <c r="AD289" i="8"/>
  <c r="AD289" i="4" s="1"/>
  <c r="AD290" i="8"/>
  <c r="AD290" i="4" s="1"/>
  <c r="AD291" i="8"/>
  <c r="AD291" i="4" s="1"/>
  <c r="AD292" i="8"/>
  <c r="AD292" i="4" s="1"/>
  <c r="AD293" i="8"/>
  <c r="AD293" i="4" s="1"/>
  <c r="AD294" i="8"/>
  <c r="AD294" i="4" s="1"/>
  <c r="AD295" i="8"/>
  <c r="AD295" i="4" s="1"/>
  <c r="AD296" i="8"/>
  <c r="AD296" i="4" s="1"/>
  <c r="AD297" i="8"/>
  <c r="AD297" i="4" s="1"/>
  <c r="AD298" i="8"/>
  <c r="AD298" i="4" s="1"/>
  <c r="AD299" i="8"/>
  <c r="AD299" i="4" s="1"/>
  <c r="AD300" i="8"/>
  <c r="AD300" i="4" s="1"/>
  <c r="AD301" i="8"/>
  <c r="AD301" i="4" s="1"/>
  <c r="AD302" i="8"/>
  <c r="AD302" i="4" s="1"/>
  <c r="AD303" i="8"/>
  <c r="AD303" i="4" s="1"/>
  <c r="AD304" i="8"/>
  <c r="AD304" i="4" s="1"/>
  <c r="AD305" i="8"/>
  <c r="AD305" i="4" s="1"/>
  <c r="AD306" i="8"/>
  <c r="AD306" i="4" s="1"/>
  <c r="AD307" i="8"/>
  <c r="AD307" i="4" s="1"/>
  <c r="AD308" i="8"/>
  <c r="AD308" i="4" s="1"/>
  <c r="AD309" i="8"/>
  <c r="AD309" i="4" s="1"/>
  <c r="AD310" i="8"/>
  <c r="AD310" i="4" s="1"/>
  <c r="AD311" i="8"/>
  <c r="AD312" i="8"/>
  <c r="AD312" i="4" s="1"/>
  <c r="AD313" i="8"/>
  <c r="AD313" i="4" s="1"/>
  <c r="AD314" i="8"/>
  <c r="AD314" i="4" s="1"/>
  <c r="AD315" i="8"/>
  <c r="AD315" i="4" s="1"/>
  <c r="AD316" i="8"/>
  <c r="AD316" i="4" s="1"/>
  <c r="AD317" i="8"/>
  <c r="AD317" i="4" s="1"/>
  <c r="AD318" i="8"/>
  <c r="AD318" i="4" s="1"/>
  <c r="AD319" i="8"/>
  <c r="AD319" i="4" s="1"/>
  <c r="AD320" i="8"/>
  <c r="AD320" i="4" s="1"/>
  <c r="AD321" i="8"/>
  <c r="AD321" i="4" s="1"/>
  <c r="AD322" i="8"/>
  <c r="AD322" i="4" s="1"/>
  <c r="AD323" i="8"/>
  <c r="AD323" i="4" s="1"/>
  <c r="AD324" i="8"/>
  <c r="AD324" i="4" s="1"/>
  <c r="AD325" i="8"/>
  <c r="AD325" i="4" s="1"/>
  <c r="AD326" i="8"/>
  <c r="AD326" i="4" s="1"/>
  <c r="AD327" i="8"/>
  <c r="AD327" i="4" s="1"/>
  <c r="AD328" i="8"/>
  <c r="AD328" i="4" s="1"/>
  <c r="AD329" i="8"/>
  <c r="AD329" i="4" s="1"/>
  <c r="AD330" i="8"/>
  <c r="AD330" i="4" s="1"/>
  <c r="AD331" i="8"/>
  <c r="AD331" i="4" s="1"/>
  <c r="AD332" i="8"/>
  <c r="AD332" i="4" s="1"/>
  <c r="AD333" i="8"/>
  <c r="AD333" i="4" s="1"/>
  <c r="AD334" i="8"/>
  <c r="AD334" i="4" s="1"/>
  <c r="AD335" i="8"/>
  <c r="AD335" i="4" s="1"/>
  <c r="AD336" i="8"/>
  <c r="AD336" i="4" s="1"/>
  <c r="AD337" i="8"/>
  <c r="AD337" i="4" s="1"/>
  <c r="AD338" i="8"/>
  <c r="AD338" i="4" s="1"/>
  <c r="AD339" i="8"/>
  <c r="AD339" i="4" s="1"/>
  <c r="AD340" i="8"/>
  <c r="AD340" i="4" s="1"/>
  <c r="AD341" i="8"/>
  <c r="AD341" i="4" s="1"/>
  <c r="AD342" i="8"/>
  <c r="AD342" i="4" s="1"/>
  <c r="AD343" i="8"/>
  <c r="AD343" i="4" s="1"/>
  <c r="AD344" i="8"/>
  <c r="AD344" i="4" s="1"/>
  <c r="AD345" i="8"/>
  <c r="AD345" i="4" s="1"/>
  <c r="AD346" i="8"/>
  <c r="AD346" i="4" s="1"/>
  <c r="AD347" i="8"/>
  <c r="AD347" i="4" s="1"/>
  <c r="AD348" i="8"/>
  <c r="AD348" i="4" s="1"/>
  <c r="AD349" i="8"/>
  <c r="AD349" i="4" s="1"/>
  <c r="AD350" i="8"/>
  <c r="AD350" i="4" s="1"/>
  <c r="AD351" i="8"/>
  <c r="AD351" i="4" s="1"/>
  <c r="AD352" i="8"/>
  <c r="AD352" i="4" s="1"/>
  <c r="AD353" i="8"/>
  <c r="AD354" i="8"/>
  <c r="AD354" i="4" s="1"/>
  <c r="AD355" i="8"/>
  <c r="AD355" i="4" s="1"/>
  <c r="AD356" i="8"/>
  <c r="AD356" i="4" s="1"/>
  <c r="AD357" i="8"/>
  <c r="AD357" i="4" s="1"/>
  <c r="AD358" i="8"/>
  <c r="AD358" i="4" s="1"/>
  <c r="AD359" i="8"/>
  <c r="AD359" i="4" s="1"/>
  <c r="AD360" i="8"/>
  <c r="AD360" i="4" s="1"/>
  <c r="AD361" i="8"/>
  <c r="AD361" i="4" s="1"/>
  <c r="AD362" i="8"/>
  <c r="AD362" i="4" s="1"/>
  <c r="AD363" i="8"/>
  <c r="AD363" i="4" s="1"/>
  <c r="AD364" i="8"/>
  <c r="AD364" i="4" s="1"/>
  <c r="AD365" i="8"/>
  <c r="AD366" i="8"/>
  <c r="AD366" i="4" s="1"/>
  <c r="AD367" i="8"/>
  <c r="AD367" i="4" s="1"/>
  <c r="AD368" i="8"/>
  <c r="AD368" i="4" s="1"/>
  <c r="AD369" i="8"/>
  <c r="AD369" i="4" s="1"/>
  <c r="AD370" i="8"/>
  <c r="AD370" i="4" s="1"/>
  <c r="AD371" i="8"/>
  <c r="AD371" i="4" s="1"/>
  <c r="AD372" i="8"/>
  <c r="AD372" i="4" s="1"/>
  <c r="AD373" i="8"/>
  <c r="AD373" i="4" s="1"/>
  <c r="AD374" i="8"/>
  <c r="AD374" i="4" s="1"/>
  <c r="AD375" i="8"/>
  <c r="AD375" i="4" s="1"/>
  <c r="AD376" i="8"/>
  <c r="AD376" i="4" s="1"/>
  <c r="AD377" i="8"/>
  <c r="AD377" i="4" s="1"/>
  <c r="AD378" i="8"/>
  <c r="AD378" i="4" s="1"/>
  <c r="AD379" i="8"/>
  <c r="AD379" i="4" s="1"/>
  <c r="AD380" i="8"/>
  <c r="AD380" i="4" s="1"/>
  <c r="AD381" i="8"/>
  <c r="AD381" i="4" s="1"/>
  <c r="AD382" i="8"/>
  <c r="AD382" i="4" s="1"/>
  <c r="AD383" i="8"/>
  <c r="AD383" i="4" s="1"/>
  <c r="AD384" i="8"/>
  <c r="AD384" i="4" s="1"/>
  <c r="AD385" i="8"/>
  <c r="AD385" i="4" s="1"/>
  <c r="AD386" i="8"/>
  <c r="AD386" i="4" s="1"/>
  <c r="AD387" i="8"/>
  <c r="AD387" i="4" s="1"/>
  <c r="AD388" i="8"/>
  <c r="AD388" i="4" s="1"/>
  <c r="AD389" i="8"/>
  <c r="AD389" i="4" s="1"/>
  <c r="AD390" i="8"/>
  <c r="AD390" i="4" s="1"/>
  <c r="AD391" i="8"/>
  <c r="AD391" i="4" s="1"/>
  <c r="AD392" i="8"/>
  <c r="AD392" i="4" s="1"/>
  <c r="AD393" i="8"/>
  <c r="AD393" i="4" s="1"/>
  <c r="AD394" i="8"/>
  <c r="AD394" i="4" s="1"/>
  <c r="AD395" i="8"/>
  <c r="AD395" i="4" s="1"/>
  <c r="AD396" i="8"/>
  <c r="AD396" i="4" s="1"/>
  <c r="AD397" i="8"/>
  <c r="AD397" i="4" s="1"/>
  <c r="AD398" i="8"/>
  <c r="AD398" i="4" s="1"/>
  <c r="AD399" i="8"/>
  <c r="AD399" i="4" s="1"/>
  <c r="AD400" i="8"/>
  <c r="AD400" i="4" s="1"/>
  <c r="AD401" i="8"/>
  <c r="AD401" i="4" s="1"/>
  <c r="AD402" i="8"/>
  <c r="AD402" i="4" s="1"/>
  <c r="AD403" i="8"/>
  <c r="AD403" i="4" s="1"/>
  <c r="AD404" i="8"/>
  <c r="AD405" i="8"/>
  <c r="AD405" i="4" s="1"/>
  <c r="AD406" i="8"/>
  <c r="AD406" i="4" s="1"/>
  <c r="AD407" i="8"/>
  <c r="AD407" i="4" s="1"/>
  <c r="AD408" i="8"/>
  <c r="AD408" i="4" s="1"/>
  <c r="AD409" i="8"/>
  <c r="AD409" i="4" s="1"/>
  <c r="AD410" i="8"/>
  <c r="AD410" i="4" s="1"/>
  <c r="AD411" i="8"/>
  <c r="AD411" i="4" s="1"/>
  <c r="AD412" i="8"/>
  <c r="AD412" i="4" s="1"/>
  <c r="AD413" i="8"/>
  <c r="AD413" i="4" s="1"/>
  <c r="AC278" i="8"/>
  <c r="AC278" i="4" s="1"/>
  <c r="AC279" i="8"/>
  <c r="AC279" i="4" s="1"/>
  <c r="AC280" i="8"/>
  <c r="AC280" i="4" s="1"/>
  <c r="AC281" i="8"/>
  <c r="AC281" i="4" s="1"/>
  <c r="AC282" i="8"/>
  <c r="AC282" i="4" s="1"/>
  <c r="AC283" i="8"/>
  <c r="AC283" i="4" s="1"/>
  <c r="AC284" i="8"/>
  <c r="AC284" i="4" s="1"/>
  <c r="AC285" i="8"/>
  <c r="AC285" i="4" s="1"/>
  <c r="AC286" i="8"/>
  <c r="AC286" i="4" s="1"/>
  <c r="AC287" i="8"/>
  <c r="AC287" i="4" s="1"/>
  <c r="AC288" i="8"/>
  <c r="AC288" i="4" s="1"/>
  <c r="AC289" i="8"/>
  <c r="AC289" i="4" s="1"/>
  <c r="AC290" i="8"/>
  <c r="AC290" i="4" s="1"/>
  <c r="AC291" i="8"/>
  <c r="AC291" i="4" s="1"/>
  <c r="AC292" i="8"/>
  <c r="AC292" i="4" s="1"/>
  <c r="AC293" i="8"/>
  <c r="AC293" i="4" s="1"/>
  <c r="AC294" i="8"/>
  <c r="AC294" i="4" s="1"/>
  <c r="AC295" i="8"/>
  <c r="AC295" i="4" s="1"/>
  <c r="AC296" i="8"/>
  <c r="AC296" i="4" s="1"/>
  <c r="AC297" i="8"/>
  <c r="AC297" i="4" s="1"/>
  <c r="AC298" i="8"/>
  <c r="AC298" i="4" s="1"/>
  <c r="AC299" i="8"/>
  <c r="AC299" i="4" s="1"/>
  <c r="AC300" i="8"/>
  <c r="AC300" i="4" s="1"/>
  <c r="AC301" i="8"/>
  <c r="AC301" i="4" s="1"/>
  <c r="AC302" i="8"/>
  <c r="AC302" i="4" s="1"/>
  <c r="AC303" i="8"/>
  <c r="AC303" i="4" s="1"/>
  <c r="AC304" i="8"/>
  <c r="AC304" i="4" s="1"/>
  <c r="AC305" i="8"/>
  <c r="AC305" i="4" s="1"/>
  <c r="AC306" i="8"/>
  <c r="AC306" i="4" s="1"/>
  <c r="AC307" i="8"/>
  <c r="AC307" i="4" s="1"/>
  <c r="AC308" i="8"/>
  <c r="AC308" i="4" s="1"/>
  <c r="AC309" i="8"/>
  <c r="AC309" i="4" s="1"/>
  <c r="AC310" i="8"/>
  <c r="AC310" i="4" s="1"/>
  <c r="AC311" i="8"/>
  <c r="AC312" i="8"/>
  <c r="AC312" i="4" s="1"/>
  <c r="AC313" i="8"/>
  <c r="AC313" i="4" s="1"/>
  <c r="AC314" i="8"/>
  <c r="AC314" i="4" s="1"/>
  <c r="AC315" i="8"/>
  <c r="AC315" i="4" s="1"/>
  <c r="AC316" i="8"/>
  <c r="AC316" i="4" s="1"/>
  <c r="AC317" i="8"/>
  <c r="AC317" i="4" s="1"/>
  <c r="AC318" i="8"/>
  <c r="AC318" i="4" s="1"/>
  <c r="AC319" i="8"/>
  <c r="AC319" i="4" s="1"/>
  <c r="AC320" i="8"/>
  <c r="AC320" i="4" s="1"/>
  <c r="AC321" i="8"/>
  <c r="AC321" i="4" s="1"/>
  <c r="AC322" i="8"/>
  <c r="AC322" i="4" s="1"/>
  <c r="AC323" i="8"/>
  <c r="AC323" i="4" s="1"/>
  <c r="AC324" i="8"/>
  <c r="AC324" i="4" s="1"/>
  <c r="AC325" i="8"/>
  <c r="AC325" i="4" s="1"/>
  <c r="AC326" i="8"/>
  <c r="AC326" i="4" s="1"/>
  <c r="AC327" i="8"/>
  <c r="AC327" i="4" s="1"/>
  <c r="AC328" i="8"/>
  <c r="AC328" i="4" s="1"/>
  <c r="AC329" i="8"/>
  <c r="AC329" i="4" s="1"/>
  <c r="AC330" i="8"/>
  <c r="AC330" i="4" s="1"/>
  <c r="AC331" i="8"/>
  <c r="AC331" i="4" s="1"/>
  <c r="AC332" i="8"/>
  <c r="AC332" i="4" s="1"/>
  <c r="AC333" i="8"/>
  <c r="AC333" i="4" s="1"/>
  <c r="AC334" i="8"/>
  <c r="AC334" i="4" s="1"/>
  <c r="AC335" i="8"/>
  <c r="AC335" i="4" s="1"/>
  <c r="AC336" i="8"/>
  <c r="AC336" i="4" s="1"/>
  <c r="AC337" i="8"/>
  <c r="AC337" i="4" s="1"/>
  <c r="AC338" i="8"/>
  <c r="AC338" i="4" s="1"/>
  <c r="AC339" i="8"/>
  <c r="AC339" i="4" s="1"/>
  <c r="AC340" i="8"/>
  <c r="AC340" i="4" s="1"/>
  <c r="AC341" i="8"/>
  <c r="AC341" i="4" s="1"/>
  <c r="AC342" i="8"/>
  <c r="AC342" i="4" s="1"/>
  <c r="AC343" i="8"/>
  <c r="AC343" i="4" s="1"/>
  <c r="AC344" i="8"/>
  <c r="AC344" i="4" s="1"/>
  <c r="AC345" i="8"/>
  <c r="AC345" i="4" s="1"/>
  <c r="AC346" i="8"/>
  <c r="AC346" i="4" s="1"/>
  <c r="AC347" i="8"/>
  <c r="AC347" i="4" s="1"/>
  <c r="AC348" i="8"/>
  <c r="AC348" i="4" s="1"/>
  <c r="AC349" i="8"/>
  <c r="AC349" i="4" s="1"/>
  <c r="AC350" i="8"/>
  <c r="AC350" i="4" s="1"/>
  <c r="AC351" i="8"/>
  <c r="AC351" i="4" s="1"/>
  <c r="AC352" i="8"/>
  <c r="AC352" i="4" s="1"/>
  <c r="AC353" i="8"/>
  <c r="AC354" i="8"/>
  <c r="AC354" i="4" s="1"/>
  <c r="AC355" i="8"/>
  <c r="AC355" i="4" s="1"/>
  <c r="AC356" i="8"/>
  <c r="AC356" i="4" s="1"/>
  <c r="AC357" i="8"/>
  <c r="AC357" i="4" s="1"/>
  <c r="AC358" i="8"/>
  <c r="AC358" i="4" s="1"/>
  <c r="AC359" i="8"/>
  <c r="AC359" i="4" s="1"/>
  <c r="AC360" i="8"/>
  <c r="AC360" i="4" s="1"/>
  <c r="AC361" i="8"/>
  <c r="AC361" i="4" s="1"/>
  <c r="AC362" i="8"/>
  <c r="AC362" i="4" s="1"/>
  <c r="AC363" i="8"/>
  <c r="AC363" i="4" s="1"/>
  <c r="AC364" i="8"/>
  <c r="AC364" i="4" s="1"/>
  <c r="AC365" i="8"/>
  <c r="AC366" i="8"/>
  <c r="AC366" i="4" s="1"/>
  <c r="AC367" i="8"/>
  <c r="AC367" i="4" s="1"/>
  <c r="AC368" i="8"/>
  <c r="AC368" i="4" s="1"/>
  <c r="AC369" i="8"/>
  <c r="AC369" i="4" s="1"/>
  <c r="AC370" i="8"/>
  <c r="AC370" i="4" s="1"/>
  <c r="AC371" i="8"/>
  <c r="AC371" i="4" s="1"/>
  <c r="AC372" i="8"/>
  <c r="AC372" i="4" s="1"/>
  <c r="AC373" i="8"/>
  <c r="AC373" i="4" s="1"/>
  <c r="AC374" i="8"/>
  <c r="AC374" i="4" s="1"/>
  <c r="AC375" i="8"/>
  <c r="AC375" i="4" s="1"/>
  <c r="AC376" i="8"/>
  <c r="AC376" i="4" s="1"/>
  <c r="AC377" i="8"/>
  <c r="AC377" i="4" s="1"/>
  <c r="AC378" i="8"/>
  <c r="AC378" i="4" s="1"/>
  <c r="AC379" i="8"/>
  <c r="AC379" i="4" s="1"/>
  <c r="AC380" i="8"/>
  <c r="AC380" i="4" s="1"/>
  <c r="AC381" i="8"/>
  <c r="AC381" i="4" s="1"/>
  <c r="AC382" i="8"/>
  <c r="AC382" i="4" s="1"/>
  <c r="AC383" i="8"/>
  <c r="AC383" i="4" s="1"/>
  <c r="AC384" i="8"/>
  <c r="AC384" i="4" s="1"/>
  <c r="AC385" i="8"/>
  <c r="AC385" i="4" s="1"/>
  <c r="AC386" i="8"/>
  <c r="AC386" i="4" s="1"/>
  <c r="AC387" i="8"/>
  <c r="AC387" i="4" s="1"/>
  <c r="AC388" i="8"/>
  <c r="AC388" i="4" s="1"/>
  <c r="AC389" i="8"/>
  <c r="AC389" i="4" s="1"/>
  <c r="AC390" i="8"/>
  <c r="AC390" i="4" s="1"/>
  <c r="AC391" i="8"/>
  <c r="AC391" i="4" s="1"/>
  <c r="AC392" i="8"/>
  <c r="AC392" i="4" s="1"/>
  <c r="AC393" i="8"/>
  <c r="AC393" i="4" s="1"/>
  <c r="AC394" i="8"/>
  <c r="AC394" i="4" s="1"/>
  <c r="AC395" i="8"/>
  <c r="AC395" i="4" s="1"/>
  <c r="AC396" i="8"/>
  <c r="AC396" i="4" s="1"/>
  <c r="AC397" i="8"/>
  <c r="AC397" i="4" s="1"/>
  <c r="AC398" i="8"/>
  <c r="AC398" i="4" s="1"/>
  <c r="AC399" i="8"/>
  <c r="AC399" i="4" s="1"/>
  <c r="AC400" i="8"/>
  <c r="AC400" i="4" s="1"/>
  <c r="AC401" i="8"/>
  <c r="AC401" i="4" s="1"/>
  <c r="AC402" i="8"/>
  <c r="AC402" i="4" s="1"/>
  <c r="AC403" i="8"/>
  <c r="AC403" i="4" s="1"/>
  <c r="AC404" i="8"/>
  <c r="AC405" i="8"/>
  <c r="AC405" i="4" s="1"/>
  <c r="AC406" i="8"/>
  <c r="AC406" i="4" s="1"/>
  <c r="AC407" i="8"/>
  <c r="AC407" i="4" s="1"/>
  <c r="AC408" i="8"/>
  <c r="AC408" i="4" s="1"/>
  <c r="AC409" i="8"/>
  <c r="AC409" i="4" s="1"/>
  <c r="AC410" i="8"/>
  <c r="AC410" i="4" s="1"/>
  <c r="AC411" i="8"/>
  <c r="AC411" i="4" s="1"/>
  <c r="AC412" i="8"/>
  <c r="AC412" i="4" s="1"/>
  <c r="AC413" i="8"/>
  <c r="AC413" i="4" s="1"/>
  <c r="L278" i="8"/>
  <c r="L278" i="4" s="1"/>
  <c r="L279" i="8"/>
  <c r="L279" i="4" s="1"/>
  <c r="L280" i="8"/>
  <c r="L280" i="4" s="1"/>
  <c r="L281" i="8"/>
  <c r="L281" i="4" s="1"/>
  <c r="L282" i="8"/>
  <c r="L282" i="4" s="1"/>
  <c r="L283" i="8"/>
  <c r="L283" i="4" s="1"/>
  <c r="L284" i="8"/>
  <c r="L284" i="4" s="1"/>
  <c r="L285" i="8"/>
  <c r="L285" i="4" s="1"/>
  <c r="L286" i="8"/>
  <c r="L286" i="4" s="1"/>
  <c r="L287" i="8"/>
  <c r="L287" i="4" s="1"/>
  <c r="L288" i="8"/>
  <c r="L288" i="4" s="1"/>
  <c r="L289" i="8"/>
  <c r="L289" i="4" s="1"/>
  <c r="L290" i="8"/>
  <c r="L290" i="4" s="1"/>
  <c r="L291" i="8"/>
  <c r="L291" i="4" s="1"/>
  <c r="L292" i="8"/>
  <c r="L292" i="4" s="1"/>
  <c r="L293" i="8"/>
  <c r="L293" i="4" s="1"/>
  <c r="L294" i="8"/>
  <c r="L294" i="4" s="1"/>
  <c r="L295" i="8"/>
  <c r="L295" i="4" s="1"/>
  <c r="L296" i="8"/>
  <c r="L296" i="4" s="1"/>
  <c r="L297" i="8"/>
  <c r="L297" i="4" s="1"/>
  <c r="L298" i="8"/>
  <c r="L298" i="4" s="1"/>
  <c r="L299" i="8"/>
  <c r="L299" i="4" s="1"/>
  <c r="L300" i="8"/>
  <c r="L300" i="4" s="1"/>
  <c r="L301" i="8"/>
  <c r="L301" i="4" s="1"/>
  <c r="L302" i="8"/>
  <c r="L302" i="4" s="1"/>
  <c r="L303" i="8"/>
  <c r="L303" i="4" s="1"/>
  <c r="L304" i="8"/>
  <c r="L304" i="4" s="1"/>
  <c r="L305" i="8"/>
  <c r="L305" i="4" s="1"/>
  <c r="L306" i="8"/>
  <c r="L306" i="4" s="1"/>
  <c r="L307" i="8"/>
  <c r="L307" i="4" s="1"/>
  <c r="L308" i="8"/>
  <c r="L308" i="4" s="1"/>
  <c r="L309" i="8"/>
  <c r="L309" i="4" s="1"/>
  <c r="L310" i="8"/>
  <c r="L310" i="4" s="1"/>
  <c r="L311" i="8"/>
  <c r="L311" i="4" s="1"/>
  <c r="L312" i="8"/>
  <c r="L312" i="4" s="1"/>
  <c r="L313" i="8"/>
  <c r="L313" i="4" s="1"/>
  <c r="L314" i="8"/>
  <c r="L314" i="4" s="1"/>
  <c r="L315" i="8"/>
  <c r="L315" i="4" s="1"/>
  <c r="L316" i="8"/>
  <c r="L316" i="4" s="1"/>
  <c r="L317" i="8"/>
  <c r="L317" i="4" s="1"/>
  <c r="L318" i="8"/>
  <c r="L318" i="4" s="1"/>
  <c r="L319" i="8"/>
  <c r="L319" i="4" s="1"/>
  <c r="L320" i="8"/>
  <c r="L320" i="4" s="1"/>
  <c r="L321" i="8"/>
  <c r="L321" i="4" s="1"/>
  <c r="L322" i="8"/>
  <c r="L322" i="4" s="1"/>
  <c r="L323" i="8"/>
  <c r="L323" i="4" s="1"/>
  <c r="L324" i="8"/>
  <c r="L324" i="4" s="1"/>
  <c r="L325" i="8"/>
  <c r="L325" i="4" s="1"/>
  <c r="L326" i="8"/>
  <c r="L326" i="4" s="1"/>
  <c r="L327" i="8"/>
  <c r="L327" i="4" s="1"/>
  <c r="L328" i="8"/>
  <c r="L328" i="4" s="1"/>
  <c r="L329" i="8"/>
  <c r="L329" i="4" s="1"/>
  <c r="L330" i="8"/>
  <c r="L330" i="4" s="1"/>
  <c r="L331" i="8"/>
  <c r="L331" i="4" s="1"/>
  <c r="L332" i="8"/>
  <c r="L332" i="4" s="1"/>
  <c r="L333" i="8"/>
  <c r="L333" i="4" s="1"/>
  <c r="L334" i="8"/>
  <c r="L334" i="4" s="1"/>
  <c r="L335" i="8"/>
  <c r="L335" i="4" s="1"/>
  <c r="L336" i="8"/>
  <c r="L336" i="4" s="1"/>
  <c r="L337" i="8"/>
  <c r="L337" i="4" s="1"/>
  <c r="L338" i="8"/>
  <c r="L338" i="4" s="1"/>
  <c r="L339" i="8"/>
  <c r="L339" i="4" s="1"/>
  <c r="L340" i="8"/>
  <c r="L340" i="4" s="1"/>
  <c r="L341" i="8"/>
  <c r="L341" i="4" s="1"/>
  <c r="L342" i="8"/>
  <c r="L342" i="4" s="1"/>
  <c r="L343" i="8"/>
  <c r="L343" i="4" s="1"/>
  <c r="L344" i="8"/>
  <c r="L344" i="4" s="1"/>
  <c r="L345" i="8"/>
  <c r="L345" i="4" s="1"/>
  <c r="L346" i="8"/>
  <c r="L346" i="4" s="1"/>
  <c r="L347" i="8"/>
  <c r="L347" i="4" s="1"/>
  <c r="L348" i="8"/>
  <c r="L348" i="4" s="1"/>
  <c r="L349" i="8"/>
  <c r="L349" i="4" s="1"/>
  <c r="L350" i="8"/>
  <c r="L350" i="4" s="1"/>
  <c r="L351" i="8"/>
  <c r="L351" i="4" s="1"/>
  <c r="L352" i="8"/>
  <c r="L352" i="4" s="1"/>
  <c r="L353" i="8"/>
  <c r="L353" i="4" s="1"/>
  <c r="L354" i="8"/>
  <c r="L354" i="4" s="1"/>
  <c r="L355" i="8"/>
  <c r="L355" i="4" s="1"/>
  <c r="L356" i="8"/>
  <c r="L356" i="4" s="1"/>
  <c r="L357" i="8"/>
  <c r="L357" i="4" s="1"/>
  <c r="L358" i="8"/>
  <c r="L358" i="4" s="1"/>
  <c r="L359" i="8"/>
  <c r="L359" i="4" s="1"/>
  <c r="L360" i="8"/>
  <c r="L360" i="4" s="1"/>
  <c r="L361" i="8"/>
  <c r="L361" i="4" s="1"/>
  <c r="L362" i="8"/>
  <c r="L362" i="4" s="1"/>
  <c r="L363" i="8"/>
  <c r="L363" i="4" s="1"/>
  <c r="L364" i="8"/>
  <c r="L364" i="4" s="1"/>
  <c r="L365" i="8"/>
  <c r="L365" i="4" s="1"/>
  <c r="L366" i="8"/>
  <c r="L366" i="4" s="1"/>
  <c r="L367" i="8"/>
  <c r="L367" i="4" s="1"/>
  <c r="L368" i="8"/>
  <c r="L368" i="4" s="1"/>
  <c r="L369" i="8"/>
  <c r="L369" i="4" s="1"/>
  <c r="L370" i="8"/>
  <c r="L370" i="4" s="1"/>
  <c r="L371" i="8"/>
  <c r="L371" i="4" s="1"/>
  <c r="L372" i="8"/>
  <c r="L372" i="4" s="1"/>
  <c r="L373" i="8"/>
  <c r="L373" i="4" s="1"/>
  <c r="L374" i="8"/>
  <c r="L374" i="4" s="1"/>
  <c r="L375" i="8"/>
  <c r="L375" i="4" s="1"/>
  <c r="L376" i="8"/>
  <c r="L376" i="4" s="1"/>
  <c r="L377" i="8"/>
  <c r="L377" i="4" s="1"/>
  <c r="L378" i="8"/>
  <c r="L378" i="4" s="1"/>
  <c r="L379" i="8"/>
  <c r="L379" i="4" s="1"/>
  <c r="L380" i="8"/>
  <c r="L380" i="4" s="1"/>
  <c r="L381" i="8"/>
  <c r="L381" i="4" s="1"/>
  <c r="L382" i="8"/>
  <c r="L382" i="4" s="1"/>
  <c r="L383" i="8"/>
  <c r="L383" i="4" s="1"/>
  <c r="L384" i="8"/>
  <c r="L384" i="4" s="1"/>
  <c r="L385" i="8"/>
  <c r="L385" i="4" s="1"/>
  <c r="L386" i="8"/>
  <c r="L386" i="4" s="1"/>
  <c r="L387" i="8"/>
  <c r="L387" i="4" s="1"/>
  <c r="L388" i="8"/>
  <c r="L388" i="4" s="1"/>
  <c r="L389" i="8"/>
  <c r="L389" i="4" s="1"/>
  <c r="L390" i="8"/>
  <c r="L390" i="4" s="1"/>
  <c r="L391" i="8"/>
  <c r="L391" i="4" s="1"/>
  <c r="L392" i="8"/>
  <c r="L392" i="4" s="1"/>
  <c r="L393" i="8"/>
  <c r="L393" i="4" s="1"/>
  <c r="L394" i="8"/>
  <c r="L394" i="4" s="1"/>
  <c r="L395" i="8"/>
  <c r="L395" i="4" s="1"/>
  <c r="L396" i="8"/>
  <c r="L396" i="4" s="1"/>
  <c r="L397" i="8"/>
  <c r="L397" i="4" s="1"/>
  <c r="L398" i="8"/>
  <c r="L398" i="4" s="1"/>
  <c r="L399" i="8"/>
  <c r="L399" i="4" s="1"/>
  <c r="L400" i="8"/>
  <c r="L400" i="4" s="1"/>
  <c r="L401" i="8"/>
  <c r="L401" i="4" s="1"/>
  <c r="L402" i="8"/>
  <c r="L402" i="4" s="1"/>
  <c r="L403" i="8"/>
  <c r="L403" i="4" s="1"/>
  <c r="L404" i="8"/>
  <c r="L404" i="4" s="1"/>
  <c r="L405" i="8"/>
  <c r="L405" i="4" s="1"/>
  <c r="L406" i="8"/>
  <c r="L406" i="4" s="1"/>
  <c r="L407" i="8"/>
  <c r="L407" i="4" s="1"/>
  <c r="L408" i="8"/>
  <c r="L408" i="4" s="1"/>
  <c r="L409" i="8"/>
  <c r="L409" i="4" s="1"/>
  <c r="L410" i="8"/>
  <c r="L410" i="4" s="1"/>
  <c r="L411" i="8"/>
  <c r="L411" i="4" s="1"/>
  <c r="L412" i="8"/>
  <c r="L412" i="4" s="1"/>
  <c r="L413" i="8"/>
  <c r="L413" i="4" s="1"/>
  <c r="K278" i="8"/>
  <c r="K278" i="4" s="1"/>
  <c r="AY278" i="4" s="1"/>
  <c r="K279" i="8"/>
  <c r="K279" i="4" s="1"/>
  <c r="AY279" i="4" s="1"/>
  <c r="K280" i="8"/>
  <c r="K280" i="4" s="1"/>
  <c r="AY280" i="4" s="1"/>
  <c r="K281" i="8"/>
  <c r="K281" i="4" s="1"/>
  <c r="AY281" i="4" s="1"/>
  <c r="K282" i="8"/>
  <c r="K282" i="4" s="1"/>
  <c r="AY282" i="4" s="1"/>
  <c r="K283" i="8"/>
  <c r="K283" i="4" s="1"/>
  <c r="AY283" i="4" s="1"/>
  <c r="K284" i="8"/>
  <c r="K284" i="4" s="1"/>
  <c r="AY284" i="4" s="1"/>
  <c r="K285" i="8"/>
  <c r="K285" i="4" s="1"/>
  <c r="AY285" i="4" s="1"/>
  <c r="K286" i="8"/>
  <c r="K286" i="4" s="1"/>
  <c r="AY286" i="4" s="1"/>
  <c r="K287" i="8"/>
  <c r="K287" i="4" s="1"/>
  <c r="AY287" i="4" s="1"/>
  <c r="K288" i="8"/>
  <c r="K288" i="4" s="1"/>
  <c r="AY288" i="4" s="1"/>
  <c r="K289" i="8"/>
  <c r="K289" i="4" s="1"/>
  <c r="AY289" i="4" s="1"/>
  <c r="K290" i="8"/>
  <c r="K290" i="4" s="1"/>
  <c r="AY290" i="4" s="1"/>
  <c r="K291" i="8"/>
  <c r="K291" i="4" s="1"/>
  <c r="AY291" i="4" s="1"/>
  <c r="K292" i="8"/>
  <c r="K292" i="4" s="1"/>
  <c r="AY292" i="4" s="1"/>
  <c r="K293" i="8"/>
  <c r="K293" i="4" s="1"/>
  <c r="AY293" i="4" s="1"/>
  <c r="K294" i="8"/>
  <c r="K294" i="4" s="1"/>
  <c r="AY294" i="4" s="1"/>
  <c r="K295" i="8"/>
  <c r="K295" i="4" s="1"/>
  <c r="AY295" i="4" s="1"/>
  <c r="K296" i="8"/>
  <c r="K296" i="4" s="1"/>
  <c r="AY296" i="4" s="1"/>
  <c r="K297" i="8"/>
  <c r="K297" i="4" s="1"/>
  <c r="AY297" i="4" s="1"/>
  <c r="K298" i="8"/>
  <c r="K298" i="4" s="1"/>
  <c r="AY298" i="4" s="1"/>
  <c r="K299" i="8"/>
  <c r="K299" i="4" s="1"/>
  <c r="AY299" i="4" s="1"/>
  <c r="K300" i="8"/>
  <c r="K300" i="4" s="1"/>
  <c r="AY300" i="4" s="1"/>
  <c r="K301" i="8"/>
  <c r="K301" i="4" s="1"/>
  <c r="AY301" i="4" s="1"/>
  <c r="K302" i="8"/>
  <c r="K302" i="4" s="1"/>
  <c r="AY302" i="4" s="1"/>
  <c r="K303" i="8"/>
  <c r="K303" i="4" s="1"/>
  <c r="AY303" i="4" s="1"/>
  <c r="K304" i="8"/>
  <c r="K304" i="4" s="1"/>
  <c r="AY304" i="4" s="1"/>
  <c r="K305" i="8"/>
  <c r="K305" i="4" s="1"/>
  <c r="AY305" i="4" s="1"/>
  <c r="K306" i="8"/>
  <c r="K306" i="4" s="1"/>
  <c r="AY306" i="4" s="1"/>
  <c r="K307" i="8"/>
  <c r="K307" i="4" s="1"/>
  <c r="AY307" i="4" s="1"/>
  <c r="K308" i="8"/>
  <c r="K308" i="4" s="1"/>
  <c r="AY308" i="4" s="1"/>
  <c r="K309" i="8"/>
  <c r="K309" i="4" s="1"/>
  <c r="AY309" i="4" s="1"/>
  <c r="K310" i="8"/>
  <c r="K310" i="4" s="1"/>
  <c r="AY310" i="4" s="1"/>
  <c r="K311" i="8"/>
  <c r="K311" i="4" s="1"/>
  <c r="AY311" i="4" s="1"/>
  <c r="K312" i="8"/>
  <c r="K312" i="4" s="1"/>
  <c r="AY312" i="4" s="1"/>
  <c r="K313" i="8"/>
  <c r="K313" i="4" s="1"/>
  <c r="AY313" i="4" s="1"/>
  <c r="K314" i="8"/>
  <c r="K314" i="4" s="1"/>
  <c r="AY314" i="4" s="1"/>
  <c r="K315" i="8"/>
  <c r="K315" i="4" s="1"/>
  <c r="AY315" i="4" s="1"/>
  <c r="K316" i="8"/>
  <c r="K316" i="4" s="1"/>
  <c r="AY316" i="4" s="1"/>
  <c r="K317" i="8"/>
  <c r="K317" i="4" s="1"/>
  <c r="AY317" i="4" s="1"/>
  <c r="K318" i="8"/>
  <c r="K318" i="4" s="1"/>
  <c r="AY318" i="4" s="1"/>
  <c r="K319" i="8"/>
  <c r="K319" i="4" s="1"/>
  <c r="AY319" i="4" s="1"/>
  <c r="K320" i="8"/>
  <c r="K320" i="4" s="1"/>
  <c r="AY320" i="4" s="1"/>
  <c r="K321" i="8"/>
  <c r="K321" i="4" s="1"/>
  <c r="AY321" i="4" s="1"/>
  <c r="K322" i="8"/>
  <c r="K322" i="4" s="1"/>
  <c r="AY322" i="4" s="1"/>
  <c r="K323" i="8"/>
  <c r="K323" i="4" s="1"/>
  <c r="AY323" i="4" s="1"/>
  <c r="K324" i="8"/>
  <c r="K324" i="4" s="1"/>
  <c r="AY324" i="4" s="1"/>
  <c r="K325" i="8"/>
  <c r="K325" i="4" s="1"/>
  <c r="AY325" i="4" s="1"/>
  <c r="K326" i="8"/>
  <c r="K326" i="4" s="1"/>
  <c r="AY326" i="4" s="1"/>
  <c r="K327" i="8"/>
  <c r="K327" i="4" s="1"/>
  <c r="AY327" i="4" s="1"/>
  <c r="K328" i="8"/>
  <c r="K328" i="4" s="1"/>
  <c r="AY328" i="4" s="1"/>
  <c r="K329" i="8"/>
  <c r="K329" i="4" s="1"/>
  <c r="AY329" i="4" s="1"/>
  <c r="K330" i="8"/>
  <c r="K330" i="4" s="1"/>
  <c r="AY330" i="4" s="1"/>
  <c r="K331" i="8"/>
  <c r="K331" i="4" s="1"/>
  <c r="AY331" i="4" s="1"/>
  <c r="K332" i="8"/>
  <c r="K332" i="4" s="1"/>
  <c r="AY332" i="4" s="1"/>
  <c r="K333" i="8"/>
  <c r="K333" i="4" s="1"/>
  <c r="AY333" i="4" s="1"/>
  <c r="K334" i="8"/>
  <c r="K334" i="4" s="1"/>
  <c r="AY334" i="4" s="1"/>
  <c r="K335" i="8"/>
  <c r="K335" i="4" s="1"/>
  <c r="AY335" i="4" s="1"/>
  <c r="K336" i="8"/>
  <c r="K336" i="4" s="1"/>
  <c r="AY336" i="4" s="1"/>
  <c r="K337" i="8"/>
  <c r="K337" i="4" s="1"/>
  <c r="AY337" i="4" s="1"/>
  <c r="K338" i="8"/>
  <c r="K338" i="4" s="1"/>
  <c r="AY338" i="4" s="1"/>
  <c r="K339" i="8"/>
  <c r="K339" i="4" s="1"/>
  <c r="AY339" i="4" s="1"/>
  <c r="K340" i="8"/>
  <c r="K340" i="4" s="1"/>
  <c r="AY340" i="4" s="1"/>
  <c r="K341" i="8"/>
  <c r="K341" i="4" s="1"/>
  <c r="AY341" i="4" s="1"/>
  <c r="K342" i="8"/>
  <c r="K342" i="4" s="1"/>
  <c r="AY342" i="4" s="1"/>
  <c r="K343" i="8"/>
  <c r="K343" i="4" s="1"/>
  <c r="AY343" i="4" s="1"/>
  <c r="K344" i="8"/>
  <c r="K344" i="4" s="1"/>
  <c r="AY344" i="4" s="1"/>
  <c r="K345" i="8"/>
  <c r="K345" i="4" s="1"/>
  <c r="AY345" i="4" s="1"/>
  <c r="K346" i="8"/>
  <c r="K346" i="4" s="1"/>
  <c r="AY346" i="4" s="1"/>
  <c r="K347" i="8"/>
  <c r="K347" i="4" s="1"/>
  <c r="AY347" i="4" s="1"/>
  <c r="K348" i="8"/>
  <c r="K348" i="4" s="1"/>
  <c r="AY348" i="4" s="1"/>
  <c r="K349" i="8"/>
  <c r="K349" i="4" s="1"/>
  <c r="AY349" i="4" s="1"/>
  <c r="K350" i="8"/>
  <c r="K350" i="4" s="1"/>
  <c r="AY350" i="4" s="1"/>
  <c r="K351" i="8"/>
  <c r="K351" i="4" s="1"/>
  <c r="AY351" i="4" s="1"/>
  <c r="K352" i="8"/>
  <c r="K352" i="4" s="1"/>
  <c r="AY352" i="4" s="1"/>
  <c r="K353" i="8"/>
  <c r="K353" i="4" s="1"/>
  <c r="AY353" i="4" s="1"/>
  <c r="K354" i="8"/>
  <c r="K354" i="4" s="1"/>
  <c r="AY354" i="4" s="1"/>
  <c r="K355" i="8"/>
  <c r="K355" i="4" s="1"/>
  <c r="AY355" i="4" s="1"/>
  <c r="K356" i="8"/>
  <c r="K356" i="4" s="1"/>
  <c r="AY356" i="4" s="1"/>
  <c r="K357" i="8"/>
  <c r="K357" i="4" s="1"/>
  <c r="AY357" i="4" s="1"/>
  <c r="K358" i="8"/>
  <c r="K358" i="4" s="1"/>
  <c r="AY358" i="4" s="1"/>
  <c r="K359" i="8"/>
  <c r="K359" i="4" s="1"/>
  <c r="AY359" i="4" s="1"/>
  <c r="K360" i="8"/>
  <c r="K360" i="4" s="1"/>
  <c r="AY360" i="4" s="1"/>
  <c r="K361" i="8"/>
  <c r="K361" i="4" s="1"/>
  <c r="AY361" i="4" s="1"/>
  <c r="K362" i="8"/>
  <c r="K362" i="4" s="1"/>
  <c r="AY362" i="4" s="1"/>
  <c r="K363" i="8"/>
  <c r="K363" i="4" s="1"/>
  <c r="AY363" i="4" s="1"/>
  <c r="K364" i="8"/>
  <c r="K364" i="4" s="1"/>
  <c r="AY364" i="4" s="1"/>
  <c r="K365" i="8"/>
  <c r="K365" i="4" s="1"/>
  <c r="AY365" i="4" s="1"/>
  <c r="K366" i="8"/>
  <c r="K366" i="4" s="1"/>
  <c r="AY366" i="4" s="1"/>
  <c r="K367" i="8"/>
  <c r="K367" i="4" s="1"/>
  <c r="AY367" i="4" s="1"/>
  <c r="K368" i="8"/>
  <c r="K368" i="4" s="1"/>
  <c r="AY368" i="4" s="1"/>
  <c r="K369" i="8"/>
  <c r="K369" i="4" s="1"/>
  <c r="AY369" i="4" s="1"/>
  <c r="K370" i="8"/>
  <c r="K370" i="4" s="1"/>
  <c r="AY370" i="4" s="1"/>
  <c r="K371" i="8"/>
  <c r="K371" i="4" s="1"/>
  <c r="AY371" i="4" s="1"/>
  <c r="K372" i="8"/>
  <c r="K372" i="4" s="1"/>
  <c r="AY372" i="4" s="1"/>
  <c r="K373" i="8"/>
  <c r="K373" i="4" s="1"/>
  <c r="AY373" i="4" s="1"/>
  <c r="K374" i="8"/>
  <c r="K374" i="4" s="1"/>
  <c r="AY374" i="4" s="1"/>
  <c r="K375" i="8"/>
  <c r="K375" i="4" s="1"/>
  <c r="AY375" i="4" s="1"/>
  <c r="K376" i="8"/>
  <c r="K376" i="4" s="1"/>
  <c r="AY376" i="4" s="1"/>
  <c r="K377" i="8"/>
  <c r="K377" i="4" s="1"/>
  <c r="AY377" i="4" s="1"/>
  <c r="K378" i="8"/>
  <c r="K378" i="4" s="1"/>
  <c r="AY378" i="4" s="1"/>
  <c r="K379" i="8"/>
  <c r="K379" i="4" s="1"/>
  <c r="AY379" i="4" s="1"/>
  <c r="K380" i="8"/>
  <c r="K380" i="4" s="1"/>
  <c r="AY380" i="4" s="1"/>
  <c r="K381" i="8"/>
  <c r="K381" i="4" s="1"/>
  <c r="AY381" i="4" s="1"/>
  <c r="K382" i="8"/>
  <c r="K382" i="4" s="1"/>
  <c r="AY382" i="4" s="1"/>
  <c r="K383" i="8"/>
  <c r="K383" i="4" s="1"/>
  <c r="AY383" i="4" s="1"/>
  <c r="K384" i="8"/>
  <c r="K384" i="4" s="1"/>
  <c r="AY384" i="4" s="1"/>
  <c r="K385" i="8"/>
  <c r="K385" i="4" s="1"/>
  <c r="AY385" i="4" s="1"/>
  <c r="K386" i="8"/>
  <c r="K386" i="4" s="1"/>
  <c r="AY386" i="4" s="1"/>
  <c r="K387" i="8"/>
  <c r="K387" i="4" s="1"/>
  <c r="AY387" i="4" s="1"/>
  <c r="K388" i="8"/>
  <c r="K388" i="4" s="1"/>
  <c r="AY388" i="4" s="1"/>
  <c r="K389" i="8"/>
  <c r="K389" i="4" s="1"/>
  <c r="AY389" i="4" s="1"/>
  <c r="K390" i="8"/>
  <c r="K390" i="4" s="1"/>
  <c r="AY390" i="4" s="1"/>
  <c r="K391" i="8"/>
  <c r="K391" i="4" s="1"/>
  <c r="AY391" i="4" s="1"/>
  <c r="K392" i="8"/>
  <c r="K392" i="4" s="1"/>
  <c r="AY392" i="4" s="1"/>
  <c r="K393" i="8"/>
  <c r="K393" i="4" s="1"/>
  <c r="AY393" i="4" s="1"/>
  <c r="K394" i="8"/>
  <c r="K394" i="4" s="1"/>
  <c r="AY394" i="4" s="1"/>
  <c r="K395" i="8"/>
  <c r="K395" i="4" s="1"/>
  <c r="AY395" i="4" s="1"/>
  <c r="K396" i="8"/>
  <c r="K396" i="4" s="1"/>
  <c r="AY396" i="4" s="1"/>
  <c r="K397" i="8"/>
  <c r="K397" i="4" s="1"/>
  <c r="AY397" i="4" s="1"/>
  <c r="K398" i="8"/>
  <c r="K398" i="4" s="1"/>
  <c r="AY398" i="4" s="1"/>
  <c r="K399" i="8"/>
  <c r="K399" i="4" s="1"/>
  <c r="AY399" i="4" s="1"/>
  <c r="K400" i="8"/>
  <c r="K400" i="4" s="1"/>
  <c r="AY400" i="4" s="1"/>
  <c r="K401" i="8"/>
  <c r="K401" i="4" s="1"/>
  <c r="AY401" i="4" s="1"/>
  <c r="K402" i="8"/>
  <c r="K402" i="4" s="1"/>
  <c r="AY402" i="4" s="1"/>
  <c r="K403" i="8"/>
  <c r="K403" i="4" s="1"/>
  <c r="AY403" i="4" s="1"/>
  <c r="K404" i="8"/>
  <c r="K404" i="4" s="1"/>
  <c r="AY404" i="4" s="1"/>
  <c r="K405" i="8"/>
  <c r="K405" i="4" s="1"/>
  <c r="AY405" i="4" s="1"/>
  <c r="K406" i="8"/>
  <c r="K406" i="4" s="1"/>
  <c r="AY406" i="4" s="1"/>
  <c r="K407" i="8"/>
  <c r="K407" i="4" s="1"/>
  <c r="AY407" i="4" s="1"/>
  <c r="K408" i="8"/>
  <c r="K408" i="4" s="1"/>
  <c r="AY408" i="4" s="1"/>
  <c r="K409" i="8"/>
  <c r="K409" i="4" s="1"/>
  <c r="AY409" i="4" s="1"/>
  <c r="K410" i="8"/>
  <c r="K410" i="4" s="1"/>
  <c r="AY410" i="4" s="1"/>
  <c r="K411" i="8"/>
  <c r="K411" i="4" s="1"/>
  <c r="AY411" i="4" s="1"/>
  <c r="K412" i="8"/>
  <c r="K412" i="4" s="1"/>
  <c r="AY412" i="4" s="1"/>
  <c r="K413" i="8"/>
  <c r="K413" i="4" s="1"/>
  <c r="AY413" i="4" s="1"/>
  <c r="J278" i="8"/>
  <c r="J278" i="4" s="1"/>
  <c r="J279" i="8"/>
  <c r="J279" i="4" s="1"/>
  <c r="J280" i="8"/>
  <c r="J280" i="4" s="1"/>
  <c r="J281" i="8"/>
  <c r="J281" i="4" s="1"/>
  <c r="J282" i="8"/>
  <c r="J282" i="4" s="1"/>
  <c r="J283" i="8"/>
  <c r="J283" i="4" s="1"/>
  <c r="J284" i="8"/>
  <c r="J284" i="4" s="1"/>
  <c r="J285" i="8"/>
  <c r="J285" i="4" s="1"/>
  <c r="J286" i="8"/>
  <c r="J286" i="4" s="1"/>
  <c r="J287" i="8"/>
  <c r="J287" i="4" s="1"/>
  <c r="J288" i="8"/>
  <c r="J288" i="4" s="1"/>
  <c r="J289" i="8"/>
  <c r="J289" i="4" s="1"/>
  <c r="J290" i="8"/>
  <c r="J290" i="4" s="1"/>
  <c r="J291" i="8"/>
  <c r="J291" i="4" s="1"/>
  <c r="J292" i="8"/>
  <c r="J292" i="4" s="1"/>
  <c r="J293" i="8"/>
  <c r="J293" i="4" s="1"/>
  <c r="J294" i="8"/>
  <c r="J294" i="4" s="1"/>
  <c r="J295" i="8"/>
  <c r="J295" i="4" s="1"/>
  <c r="J296" i="8"/>
  <c r="J296" i="4" s="1"/>
  <c r="J297" i="8"/>
  <c r="J297" i="4" s="1"/>
  <c r="J298" i="8"/>
  <c r="J298" i="4" s="1"/>
  <c r="J299" i="8"/>
  <c r="J299" i="4" s="1"/>
  <c r="J300" i="8"/>
  <c r="J300" i="4" s="1"/>
  <c r="J301" i="8"/>
  <c r="J301" i="4" s="1"/>
  <c r="J302" i="8"/>
  <c r="J302" i="4" s="1"/>
  <c r="J303" i="8"/>
  <c r="J303" i="4" s="1"/>
  <c r="J304" i="8"/>
  <c r="J304" i="4" s="1"/>
  <c r="J305" i="8"/>
  <c r="J305" i="4" s="1"/>
  <c r="J306" i="8"/>
  <c r="J306" i="4" s="1"/>
  <c r="J307" i="8"/>
  <c r="J307" i="4" s="1"/>
  <c r="J308" i="8"/>
  <c r="J308" i="4" s="1"/>
  <c r="J309" i="8"/>
  <c r="J309" i="4" s="1"/>
  <c r="J310" i="8"/>
  <c r="J310" i="4" s="1"/>
  <c r="J311" i="8"/>
  <c r="J312" i="8"/>
  <c r="J312" i="4" s="1"/>
  <c r="J313" i="8"/>
  <c r="J313" i="4" s="1"/>
  <c r="J314" i="8"/>
  <c r="J314" i="4" s="1"/>
  <c r="J315" i="8"/>
  <c r="J315" i="4" s="1"/>
  <c r="J316" i="8"/>
  <c r="J316" i="4" s="1"/>
  <c r="J317" i="8"/>
  <c r="J317" i="4" s="1"/>
  <c r="J318" i="8"/>
  <c r="J318" i="4" s="1"/>
  <c r="J319" i="8"/>
  <c r="J319" i="4" s="1"/>
  <c r="J320" i="8"/>
  <c r="J320" i="4" s="1"/>
  <c r="J321" i="8"/>
  <c r="J321" i="4" s="1"/>
  <c r="J322" i="8"/>
  <c r="J322" i="4" s="1"/>
  <c r="J323" i="8"/>
  <c r="J323" i="4" s="1"/>
  <c r="J324" i="8"/>
  <c r="J324" i="4" s="1"/>
  <c r="J325" i="8"/>
  <c r="J326" i="8"/>
  <c r="J326" i="4" s="1"/>
  <c r="J327" i="8"/>
  <c r="J327" i="4" s="1"/>
  <c r="J328" i="8"/>
  <c r="J328" i="4" s="1"/>
  <c r="J329" i="8"/>
  <c r="J329" i="4" s="1"/>
  <c r="J330" i="8"/>
  <c r="J330" i="4" s="1"/>
  <c r="J331" i="8"/>
  <c r="J331" i="4" s="1"/>
  <c r="J332" i="8"/>
  <c r="J332" i="4" s="1"/>
  <c r="J333" i="8"/>
  <c r="J333" i="4" s="1"/>
  <c r="J334" i="8"/>
  <c r="J334" i="4" s="1"/>
  <c r="J335" i="8"/>
  <c r="J335" i="4" s="1"/>
  <c r="J336" i="8"/>
  <c r="J336" i="4" s="1"/>
  <c r="J337" i="8"/>
  <c r="J337" i="4" s="1"/>
  <c r="J338" i="8"/>
  <c r="J338" i="4" s="1"/>
  <c r="J339" i="8"/>
  <c r="J339" i="4" s="1"/>
  <c r="J340" i="8"/>
  <c r="J340" i="4" s="1"/>
  <c r="J341" i="8"/>
  <c r="J341" i="4" s="1"/>
  <c r="J342" i="8"/>
  <c r="J342" i="4" s="1"/>
  <c r="J343" i="8"/>
  <c r="J343" i="4" s="1"/>
  <c r="J344" i="8"/>
  <c r="J344" i="4" s="1"/>
  <c r="J345" i="8"/>
  <c r="J345" i="4" s="1"/>
  <c r="J346" i="8"/>
  <c r="J346" i="4" s="1"/>
  <c r="J347" i="8"/>
  <c r="J347" i="4" s="1"/>
  <c r="J348" i="8"/>
  <c r="J348" i="4" s="1"/>
  <c r="J349" i="8"/>
  <c r="J349" i="4" s="1"/>
  <c r="J350" i="8"/>
  <c r="J350" i="4" s="1"/>
  <c r="J351" i="8"/>
  <c r="J351" i="4" s="1"/>
  <c r="J352" i="8"/>
  <c r="J352" i="4" s="1"/>
  <c r="J353" i="8"/>
  <c r="J353" i="4" s="1"/>
  <c r="J354" i="8"/>
  <c r="J354" i="4" s="1"/>
  <c r="J355" i="8"/>
  <c r="J355" i="4" s="1"/>
  <c r="J356" i="8"/>
  <c r="J356" i="4" s="1"/>
  <c r="J357" i="8"/>
  <c r="J357" i="4" s="1"/>
  <c r="J358" i="8"/>
  <c r="J358" i="4" s="1"/>
  <c r="J359" i="8"/>
  <c r="J359" i="4" s="1"/>
  <c r="J360" i="8"/>
  <c r="J360" i="4" s="1"/>
  <c r="J361" i="8"/>
  <c r="J361" i="4" s="1"/>
  <c r="J362" i="8"/>
  <c r="J362" i="4" s="1"/>
  <c r="J363" i="8"/>
  <c r="J363" i="4" s="1"/>
  <c r="J364" i="8"/>
  <c r="J364" i="4" s="1"/>
  <c r="J365" i="8"/>
  <c r="J365" i="4" s="1"/>
  <c r="J366" i="8"/>
  <c r="J366" i="4" s="1"/>
  <c r="J367" i="8"/>
  <c r="J367" i="4" s="1"/>
  <c r="J368" i="8"/>
  <c r="J368" i="4" s="1"/>
  <c r="J369" i="8"/>
  <c r="J369" i="4" s="1"/>
  <c r="J370" i="8"/>
  <c r="J370" i="4" s="1"/>
  <c r="J371" i="8"/>
  <c r="J371" i="4" s="1"/>
  <c r="J372" i="8"/>
  <c r="J372" i="4" s="1"/>
  <c r="J373" i="8"/>
  <c r="J373" i="4" s="1"/>
  <c r="J374" i="8"/>
  <c r="J374" i="4" s="1"/>
  <c r="J375" i="8"/>
  <c r="J375" i="4" s="1"/>
  <c r="J376" i="8"/>
  <c r="J376" i="4" s="1"/>
  <c r="J377" i="8"/>
  <c r="J377" i="4" s="1"/>
  <c r="J378" i="8"/>
  <c r="J378" i="4" s="1"/>
  <c r="J379" i="8"/>
  <c r="J379" i="4" s="1"/>
  <c r="J380" i="8"/>
  <c r="J380" i="4" s="1"/>
  <c r="J381" i="8"/>
  <c r="J382" i="8"/>
  <c r="J382" i="4" s="1"/>
  <c r="J383" i="8"/>
  <c r="J383" i="4" s="1"/>
  <c r="J384" i="8"/>
  <c r="J384" i="4" s="1"/>
  <c r="J385" i="8"/>
  <c r="J385" i="4" s="1"/>
  <c r="J386" i="8"/>
  <c r="J386" i="4" s="1"/>
  <c r="J387" i="8"/>
  <c r="J387" i="4" s="1"/>
  <c r="J388" i="8"/>
  <c r="J388" i="4" s="1"/>
  <c r="J389" i="8"/>
  <c r="J389" i="4" s="1"/>
  <c r="J390" i="8"/>
  <c r="J390" i="4" s="1"/>
  <c r="J391" i="8"/>
  <c r="J391" i="4" s="1"/>
  <c r="J392" i="8"/>
  <c r="J392" i="4" s="1"/>
  <c r="J393" i="8"/>
  <c r="J393" i="4" s="1"/>
  <c r="J394" i="8"/>
  <c r="J394" i="4" s="1"/>
  <c r="J395" i="8"/>
  <c r="J395" i="4" s="1"/>
  <c r="J396" i="8"/>
  <c r="J396" i="4" s="1"/>
  <c r="J397" i="8"/>
  <c r="J397" i="4" s="1"/>
  <c r="J398" i="8"/>
  <c r="J398" i="4" s="1"/>
  <c r="J399" i="8"/>
  <c r="J399" i="4" s="1"/>
  <c r="J400" i="8"/>
  <c r="J400" i="4" s="1"/>
  <c r="J401" i="8"/>
  <c r="J401" i="4" s="1"/>
  <c r="J402" i="8"/>
  <c r="J402" i="4" s="1"/>
  <c r="J403" i="8"/>
  <c r="J403" i="4" s="1"/>
  <c r="J404" i="8"/>
  <c r="J404" i="4" s="1"/>
  <c r="J405" i="8"/>
  <c r="J405" i="4" s="1"/>
  <c r="J406" i="8"/>
  <c r="J406" i="4" s="1"/>
  <c r="J407" i="8"/>
  <c r="J407" i="4" s="1"/>
  <c r="J408" i="8"/>
  <c r="J408" i="4" s="1"/>
  <c r="J409" i="8"/>
  <c r="J409" i="4" s="1"/>
  <c r="J410" i="8"/>
  <c r="J410" i="4" s="1"/>
  <c r="J411" i="8"/>
  <c r="J411" i="4" s="1"/>
  <c r="J412" i="8"/>
  <c r="J412" i="4" s="1"/>
  <c r="J413" i="8"/>
  <c r="J413" i="4" s="1"/>
  <c r="AX140" i="8"/>
  <c r="AX140" i="4" s="1"/>
  <c r="AX141" i="8"/>
  <c r="AX141" i="4" s="1"/>
  <c r="AX142" i="8"/>
  <c r="AX142" i="4" s="1"/>
  <c r="AX143" i="8"/>
  <c r="AX143" i="4" s="1"/>
  <c r="AX144" i="8"/>
  <c r="AX144" i="4" s="1"/>
  <c r="AX145" i="8"/>
  <c r="AX145" i="4" s="1"/>
  <c r="AX146" i="8"/>
  <c r="AX146" i="4" s="1"/>
  <c r="AX147" i="8"/>
  <c r="AX147" i="4" s="1"/>
  <c r="AX148" i="8"/>
  <c r="AX148" i="4" s="1"/>
  <c r="AX149" i="8"/>
  <c r="AX149" i="4" s="1"/>
  <c r="AX150" i="8"/>
  <c r="AX150" i="4" s="1"/>
  <c r="AX151" i="8"/>
  <c r="AX151" i="4" s="1"/>
  <c r="AX152" i="8"/>
  <c r="AX152" i="4" s="1"/>
  <c r="AX153" i="8"/>
  <c r="AX153" i="4" s="1"/>
  <c r="AX154" i="8"/>
  <c r="AX154" i="4" s="1"/>
  <c r="AX155" i="8"/>
  <c r="AX155" i="4" s="1"/>
  <c r="AX156" i="8"/>
  <c r="AX156" i="4" s="1"/>
  <c r="AX157" i="8"/>
  <c r="AX157" i="4" s="1"/>
  <c r="AX158" i="8"/>
  <c r="AX158" i="4" s="1"/>
  <c r="AX159" i="8"/>
  <c r="AX159" i="4" s="1"/>
  <c r="AX160" i="8"/>
  <c r="AX160" i="4" s="1"/>
  <c r="AX161" i="8"/>
  <c r="AX161" i="4" s="1"/>
  <c r="AX162" i="8"/>
  <c r="AX162" i="4" s="1"/>
  <c r="AX163" i="8"/>
  <c r="AX163" i="4" s="1"/>
  <c r="AX164" i="8"/>
  <c r="AX164" i="4" s="1"/>
  <c r="AX165" i="8"/>
  <c r="AX165" i="4" s="1"/>
  <c r="AX166" i="8"/>
  <c r="AX166" i="4" s="1"/>
  <c r="AX167" i="8"/>
  <c r="AX167" i="4" s="1"/>
  <c r="AX168" i="8"/>
  <c r="AX168" i="4" s="1"/>
  <c r="AX169" i="8"/>
  <c r="AX169" i="4" s="1"/>
  <c r="AX170" i="8"/>
  <c r="AX170" i="4" s="1"/>
  <c r="AX171" i="8"/>
  <c r="AX171" i="4" s="1"/>
  <c r="AX172" i="8"/>
  <c r="AX172" i="4" s="1"/>
  <c r="AX173" i="8"/>
  <c r="AX174" i="8"/>
  <c r="AX174" i="4" s="1"/>
  <c r="AX175" i="8"/>
  <c r="AX175" i="4" s="1"/>
  <c r="AX176" i="8"/>
  <c r="AX176" i="4" s="1"/>
  <c r="AX177" i="8"/>
  <c r="AX177" i="4" s="1"/>
  <c r="AX178" i="8"/>
  <c r="AX178" i="4" s="1"/>
  <c r="AX179" i="8"/>
  <c r="AX179" i="4" s="1"/>
  <c r="AX180" i="8"/>
  <c r="AX180" i="4" s="1"/>
  <c r="AX181" i="8"/>
  <c r="AX181" i="4" s="1"/>
  <c r="AX182" i="8"/>
  <c r="AX182" i="4" s="1"/>
  <c r="AX183" i="8"/>
  <c r="AX183" i="4" s="1"/>
  <c r="AX184" i="8"/>
  <c r="AX184" i="4" s="1"/>
  <c r="AX185" i="8"/>
  <c r="AX185" i="4" s="1"/>
  <c r="AX186" i="8"/>
  <c r="AX186" i="4" s="1"/>
  <c r="AX187" i="8"/>
  <c r="AX187" i="4" s="1"/>
  <c r="AX188" i="8"/>
  <c r="AX188" i="4" s="1"/>
  <c r="AX189" i="8"/>
  <c r="AX189" i="4" s="1"/>
  <c r="AX190" i="8"/>
  <c r="AX190" i="4" s="1"/>
  <c r="AX191" i="8"/>
  <c r="AX191" i="4" s="1"/>
  <c r="AX192" i="8"/>
  <c r="AX192" i="4" s="1"/>
  <c r="AX193" i="8"/>
  <c r="AX193" i="4" s="1"/>
  <c r="AX194" i="8"/>
  <c r="AX194" i="4" s="1"/>
  <c r="AX195" i="8"/>
  <c r="AX195" i="4" s="1"/>
  <c r="AX196" i="8"/>
  <c r="AX196" i="4" s="1"/>
  <c r="AX197" i="8"/>
  <c r="AX197" i="4" s="1"/>
  <c r="AX198" i="8"/>
  <c r="AX198" i="4" s="1"/>
  <c r="AX199" i="8"/>
  <c r="AX199" i="4" s="1"/>
  <c r="AX200" i="8"/>
  <c r="AX200" i="4" s="1"/>
  <c r="AX201" i="8"/>
  <c r="AX201" i="4" s="1"/>
  <c r="AX202" i="8"/>
  <c r="AX202" i="4" s="1"/>
  <c r="AX203" i="8"/>
  <c r="AX203" i="4" s="1"/>
  <c r="AX204" i="8"/>
  <c r="AX204" i="4" s="1"/>
  <c r="AX205" i="8"/>
  <c r="AX205" i="4" s="1"/>
  <c r="AX206" i="8"/>
  <c r="AX206" i="4" s="1"/>
  <c r="AX207" i="8"/>
  <c r="AX207" i="4" s="1"/>
  <c r="AX208" i="8"/>
  <c r="AX208" i="4" s="1"/>
  <c r="AX209" i="8"/>
  <c r="AX209" i="4" s="1"/>
  <c r="AX210" i="8"/>
  <c r="AX210" i="4" s="1"/>
  <c r="AX211" i="8"/>
  <c r="AX211" i="4" s="1"/>
  <c r="AX212" i="8"/>
  <c r="AX212" i="4" s="1"/>
  <c r="AX213" i="8"/>
  <c r="AX213" i="4" s="1"/>
  <c r="AX214" i="8"/>
  <c r="AX214" i="4" s="1"/>
  <c r="AX215" i="8"/>
  <c r="AX216" i="8"/>
  <c r="AX216" i="4" s="1"/>
  <c r="AX217" i="8"/>
  <c r="AX217" i="4" s="1"/>
  <c r="AX218" i="8"/>
  <c r="AX218" i="4" s="1"/>
  <c r="AX219" i="8"/>
  <c r="AX219" i="4" s="1"/>
  <c r="AX220" i="8"/>
  <c r="AX220" i="4" s="1"/>
  <c r="AX221" i="8"/>
  <c r="AX221" i="4" s="1"/>
  <c r="AX222" i="8"/>
  <c r="AX222" i="4" s="1"/>
  <c r="AX223" i="8"/>
  <c r="AX223" i="4" s="1"/>
  <c r="AX224" i="8"/>
  <c r="AX224" i="4" s="1"/>
  <c r="AX225" i="8"/>
  <c r="AX225" i="4" s="1"/>
  <c r="AX226" i="8"/>
  <c r="AX226" i="4" s="1"/>
  <c r="AX227" i="8"/>
  <c r="AX228" i="8"/>
  <c r="AX228" i="4" s="1"/>
  <c r="AX229" i="8"/>
  <c r="AX229" i="4" s="1"/>
  <c r="AX230" i="8"/>
  <c r="AX230" i="4" s="1"/>
  <c r="AX231" i="8"/>
  <c r="AX231" i="4" s="1"/>
  <c r="AX232" i="8"/>
  <c r="AX232" i="4" s="1"/>
  <c r="AX233" i="8"/>
  <c r="AX233" i="4" s="1"/>
  <c r="AX234" i="8"/>
  <c r="AX234" i="4" s="1"/>
  <c r="AX235" i="8"/>
  <c r="AX235" i="4" s="1"/>
  <c r="AX236" i="8"/>
  <c r="AX236" i="4" s="1"/>
  <c r="AX237" i="8"/>
  <c r="AX237" i="4" s="1"/>
  <c r="AX238" i="8"/>
  <c r="AX238" i="4" s="1"/>
  <c r="AX239" i="8"/>
  <c r="AX239" i="4" s="1"/>
  <c r="AX240" i="8"/>
  <c r="AX240" i="4" s="1"/>
  <c r="AX241" i="8"/>
  <c r="AX241" i="4" s="1"/>
  <c r="AX242" i="8"/>
  <c r="AX242" i="4" s="1"/>
  <c r="AX243" i="8"/>
  <c r="AX243" i="4" s="1"/>
  <c r="AX244" i="8"/>
  <c r="AX244" i="4" s="1"/>
  <c r="AX245" i="8"/>
  <c r="AX245" i="4" s="1"/>
  <c r="AX246" i="8"/>
  <c r="AX246" i="4" s="1"/>
  <c r="AX247" i="8"/>
  <c r="AX247" i="4" s="1"/>
  <c r="AX248" i="8"/>
  <c r="AX248" i="4" s="1"/>
  <c r="AX249" i="8"/>
  <c r="AX249" i="4" s="1"/>
  <c r="AX250" i="8"/>
  <c r="AX250" i="4" s="1"/>
  <c r="AX251" i="8"/>
  <c r="AX251" i="4" s="1"/>
  <c r="AX252" i="8"/>
  <c r="AX252" i="4" s="1"/>
  <c r="AX253" i="8"/>
  <c r="AX253" i="4" s="1"/>
  <c r="AX254" i="8"/>
  <c r="AX254" i="4" s="1"/>
  <c r="AX255" i="8"/>
  <c r="AX255" i="4" s="1"/>
  <c r="AX256" i="8"/>
  <c r="AX256" i="4" s="1"/>
  <c r="AX257" i="8"/>
  <c r="AX257" i="4" s="1"/>
  <c r="AX258" i="8"/>
  <c r="AX258" i="4" s="1"/>
  <c r="AX259" i="8"/>
  <c r="AX259" i="4" s="1"/>
  <c r="AX260" i="8"/>
  <c r="AX260" i="4" s="1"/>
  <c r="AX261" i="8"/>
  <c r="AX261" i="4" s="1"/>
  <c r="AX262" i="8"/>
  <c r="AX262" i="4" s="1"/>
  <c r="AX263" i="8"/>
  <c r="AX263" i="4" s="1"/>
  <c r="AX264" i="8"/>
  <c r="AX264" i="4" s="1"/>
  <c r="AX265" i="8"/>
  <c r="AX265" i="4" s="1"/>
  <c r="AX266" i="8"/>
  <c r="AX267" i="8"/>
  <c r="AX267" i="4" s="1"/>
  <c r="AX268" i="8"/>
  <c r="AX268" i="4" s="1"/>
  <c r="AX269" i="8"/>
  <c r="AX269" i="4" s="1"/>
  <c r="AX270" i="8"/>
  <c r="AX270" i="4" s="1"/>
  <c r="AX271" i="8"/>
  <c r="AX271" i="4" s="1"/>
  <c r="AX272" i="8"/>
  <c r="AX272" i="4" s="1"/>
  <c r="AX273" i="8"/>
  <c r="AX273" i="4" s="1"/>
  <c r="AX274" i="8"/>
  <c r="AX274" i="4" s="1"/>
  <c r="AX275" i="8"/>
  <c r="AX275" i="4" s="1"/>
  <c r="AW140" i="8"/>
  <c r="AW140" i="4" s="1"/>
  <c r="AW141" i="8"/>
  <c r="AW141" i="4" s="1"/>
  <c r="AW142" i="8"/>
  <c r="AW142" i="4" s="1"/>
  <c r="AW143" i="8"/>
  <c r="AW143" i="4" s="1"/>
  <c r="AW144" i="8"/>
  <c r="AW144" i="4" s="1"/>
  <c r="AW145" i="8"/>
  <c r="AW145" i="4" s="1"/>
  <c r="AW146" i="8"/>
  <c r="AW146" i="4" s="1"/>
  <c r="AW147" i="8"/>
  <c r="AW147" i="4" s="1"/>
  <c r="AW148" i="8"/>
  <c r="AW148" i="4" s="1"/>
  <c r="AW149" i="8"/>
  <c r="AW149" i="4" s="1"/>
  <c r="AW150" i="8"/>
  <c r="AW150" i="4" s="1"/>
  <c r="AW151" i="8"/>
  <c r="AW151" i="4" s="1"/>
  <c r="AW152" i="8"/>
  <c r="AW152" i="4" s="1"/>
  <c r="AW153" i="8"/>
  <c r="AW153" i="4" s="1"/>
  <c r="AW154" i="8"/>
  <c r="AW154" i="4" s="1"/>
  <c r="AW155" i="8"/>
  <c r="AW155" i="4" s="1"/>
  <c r="AW156" i="8"/>
  <c r="AW156" i="4" s="1"/>
  <c r="AW157" i="8"/>
  <c r="AW157" i="4" s="1"/>
  <c r="AW158" i="8"/>
  <c r="AW158" i="4" s="1"/>
  <c r="AW159" i="8"/>
  <c r="AW159" i="4" s="1"/>
  <c r="AW160" i="8"/>
  <c r="AW160" i="4" s="1"/>
  <c r="AW161" i="8"/>
  <c r="AW161" i="4" s="1"/>
  <c r="AW162" i="8"/>
  <c r="AW162" i="4" s="1"/>
  <c r="AW163" i="8"/>
  <c r="AW163" i="4" s="1"/>
  <c r="AW164" i="8"/>
  <c r="AW164" i="4" s="1"/>
  <c r="AW165" i="8"/>
  <c r="AW165" i="4" s="1"/>
  <c r="AW166" i="8"/>
  <c r="AW166" i="4" s="1"/>
  <c r="AW167" i="8"/>
  <c r="AW167" i="4" s="1"/>
  <c r="AW168" i="8"/>
  <c r="AW168" i="4" s="1"/>
  <c r="AW169" i="8"/>
  <c r="AW169" i="4" s="1"/>
  <c r="AW170" i="8"/>
  <c r="AW170" i="4" s="1"/>
  <c r="AW171" i="8"/>
  <c r="AW171" i="4" s="1"/>
  <c r="AW172" i="8"/>
  <c r="AW172" i="4" s="1"/>
  <c r="AW173" i="8"/>
  <c r="AW174" i="8"/>
  <c r="AW174" i="4" s="1"/>
  <c r="AW175" i="8"/>
  <c r="AW175" i="4" s="1"/>
  <c r="AW176" i="8"/>
  <c r="AW176" i="4" s="1"/>
  <c r="AW177" i="8"/>
  <c r="AW177" i="4" s="1"/>
  <c r="AW178" i="8"/>
  <c r="AW178" i="4" s="1"/>
  <c r="AW179" i="8"/>
  <c r="AW179" i="4" s="1"/>
  <c r="AW180" i="8"/>
  <c r="AW180" i="4" s="1"/>
  <c r="AW181" i="8"/>
  <c r="AW181" i="4" s="1"/>
  <c r="AW182" i="8"/>
  <c r="AW182" i="4" s="1"/>
  <c r="AW183" i="8"/>
  <c r="AW183" i="4" s="1"/>
  <c r="AW184" i="8"/>
  <c r="AW184" i="4" s="1"/>
  <c r="AW185" i="8"/>
  <c r="AW185" i="4" s="1"/>
  <c r="AW186" i="8"/>
  <c r="AW186" i="4" s="1"/>
  <c r="AW187" i="8"/>
  <c r="AW187" i="4" s="1"/>
  <c r="AW188" i="8"/>
  <c r="AW188" i="4" s="1"/>
  <c r="AW189" i="8"/>
  <c r="AW189" i="4" s="1"/>
  <c r="AW190" i="8"/>
  <c r="AW190" i="4" s="1"/>
  <c r="AW191" i="8"/>
  <c r="AW191" i="4" s="1"/>
  <c r="AW192" i="8"/>
  <c r="AW192" i="4" s="1"/>
  <c r="AW193" i="8"/>
  <c r="AW193" i="4" s="1"/>
  <c r="AW194" i="8"/>
  <c r="AW194" i="4" s="1"/>
  <c r="AW195" i="8"/>
  <c r="AW195" i="4" s="1"/>
  <c r="AW196" i="8"/>
  <c r="AW196" i="4" s="1"/>
  <c r="AW197" i="8"/>
  <c r="AW197" i="4" s="1"/>
  <c r="AW198" i="8"/>
  <c r="AW198" i="4" s="1"/>
  <c r="AW199" i="8"/>
  <c r="AW199" i="4" s="1"/>
  <c r="AW200" i="8"/>
  <c r="AW200" i="4" s="1"/>
  <c r="AW201" i="8"/>
  <c r="AW201" i="4" s="1"/>
  <c r="AW202" i="8"/>
  <c r="AW202" i="4" s="1"/>
  <c r="AW203" i="8"/>
  <c r="AW203" i="4" s="1"/>
  <c r="AW204" i="8"/>
  <c r="AW204" i="4" s="1"/>
  <c r="AW205" i="8"/>
  <c r="AW205" i="4" s="1"/>
  <c r="AW206" i="8"/>
  <c r="AW206" i="4" s="1"/>
  <c r="AW207" i="8"/>
  <c r="AW207" i="4" s="1"/>
  <c r="AW208" i="8"/>
  <c r="AW208" i="4" s="1"/>
  <c r="AW209" i="8"/>
  <c r="AW209" i="4" s="1"/>
  <c r="AW210" i="8"/>
  <c r="AW210" i="4" s="1"/>
  <c r="AW211" i="8"/>
  <c r="AW211" i="4" s="1"/>
  <c r="AW212" i="8"/>
  <c r="AW212" i="4" s="1"/>
  <c r="AW213" i="8"/>
  <c r="AW213" i="4" s="1"/>
  <c r="AW214" i="8"/>
  <c r="AW214" i="4" s="1"/>
  <c r="AW215" i="8"/>
  <c r="AW216" i="8"/>
  <c r="AW216" i="4" s="1"/>
  <c r="AW217" i="8"/>
  <c r="AW217" i="4" s="1"/>
  <c r="AW218" i="8"/>
  <c r="AW218" i="4" s="1"/>
  <c r="AW219" i="8"/>
  <c r="AW219" i="4" s="1"/>
  <c r="AW220" i="8"/>
  <c r="AW220" i="4" s="1"/>
  <c r="AW221" i="8"/>
  <c r="AW221" i="4" s="1"/>
  <c r="AW222" i="8"/>
  <c r="AW222" i="4" s="1"/>
  <c r="AW223" i="8"/>
  <c r="AW223" i="4" s="1"/>
  <c r="AW224" i="8"/>
  <c r="AW224" i="4" s="1"/>
  <c r="AW225" i="8"/>
  <c r="AW225" i="4" s="1"/>
  <c r="AW226" i="8"/>
  <c r="AW226" i="4" s="1"/>
  <c r="AW227" i="8"/>
  <c r="AW228" i="8"/>
  <c r="AW228" i="4" s="1"/>
  <c r="AW229" i="8"/>
  <c r="AW229" i="4" s="1"/>
  <c r="AW230" i="8"/>
  <c r="AW230" i="4" s="1"/>
  <c r="AW231" i="8"/>
  <c r="AW231" i="4" s="1"/>
  <c r="AW232" i="8"/>
  <c r="AW232" i="4" s="1"/>
  <c r="AW233" i="8"/>
  <c r="AW233" i="4" s="1"/>
  <c r="AW234" i="8"/>
  <c r="AW234" i="4" s="1"/>
  <c r="AW235" i="8"/>
  <c r="AW235" i="4" s="1"/>
  <c r="AW236" i="8"/>
  <c r="AW236" i="4" s="1"/>
  <c r="AW237" i="8"/>
  <c r="AW237" i="4" s="1"/>
  <c r="AW238" i="8"/>
  <c r="AW238" i="4" s="1"/>
  <c r="AW239" i="8"/>
  <c r="AW239" i="4" s="1"/>
  <c r="AW240" i="8"/>
  <c r="AW240" i="4" s="1"/>
  <c r="AW241" i="8"/>
  <c r="AW241" i="4" s="1"/>
  <c r="AW242" i="8"/>
  <c r="AW242" i="4" s="1"/>
  <c r="AW243" i="8"/>
  <c r="AW243" i="4" s="1"/>
  <c r="AW244" i="8"/>
  <c r="AW244" i="4" s="1"/>
  <c r="AW245" i="8"/>
  <c r="AW245" i="4" s="1"/>
  <c r="AW246" i="8"/>
  <c r="AW246" i="4" s="1"/>
  <c r="AW247" i="8"/>
  <c r="AW247" i="4" s="1"/>
  <c r="AW248" i="8"/>
  <c r="AW248" i="4" s="1"/>
  <c r="AW249" i="8"/>
  <c r="AW249" i="4" s="1"/>
  <c r="AW250" i="8"/>
  <c r="AW250" i="4" s="1"/>
  <c r="AW251" i="8"/>
  <c r="AW251" i="4" s="1"/>
  <c r="AW252" i="8"/>
  <c r="AW252" i="4" s="1"/>
  <c r="AW253" i="8"/>
  <c r="AW253" i="4" s="1"/>
  <c r="AW254" i="8"/>
  <c r="AW254" i="4" s="1"/>
  <c r="AW255" i="8"/>
  <c r="AW255" i="4" s="1"/>
  <c r="AW256" i="8"/>
  <c r="AW256" i="4" s="1"/>
  <c r="AW257" i="8"/>
  <c r="AW257" i="4" s="1"/>
  <c r="AW258" i="8"/>
  <c r="AW258" i="4" s="1"/>
  <c r="AW259" i="8"/>
  <c r="AW259" i="4" s="1"/>
  <c r="AW260" i="8"/>
  <c r="AW260" i="4" s="1"/>
  <c r="AW261" i="8"/>
  <c r="AW261" i="4" s="1"/>
  <c r="AW262" i="8"/>
  <c r="AW262" i="4" s="1"/>
  <c r="AW263" i="8"/>
  <c r="AW263" i="4" s="1"/>
  <c r="AW264" i="8"/>
  <c r="AW264" i="4" s="1"/>
  <c r="AW265" i="8"/>
  <c r="AW265" i="4" s="1"/>
  <c r="AW266" i="8"/>
  <c r="AW267" i="8"/>
  <c r="AW267" i="4" s="1"/>
  <c r="AW268" i="8"/>
  <c r="AW268" i="4" s="1"/>
  <c r="AW269" i="8"/>
  <c r="AW269" i="4" s="1"/>
  <c r="AW270" i="8"/>
  <c r="AW270" i="4" s="1"/>
  <c r="AW271" i="8"/>
  <c r="AW271" i="4" s="1"/>
  <c r="AW272" i="8"/>
  <c r="AW272" i="4" s="1"/>
  <c r="AW273" i="8"/>
  <c r="AW273" i="4" s="1"/>
  <c r="AW274" i="8"/>
  <c r="AW274" i="4" s="1"/>
  <c r="AW275" i="8"/>
  <c r="AW275" i="4" s="1"/>
  <c r="AV140" i="8"/>
  <c r="AV140" i="4" s="1"/>
  <c r="AV141" i="8"/>
  <c r="AV141" i="4" s="1"/>
  <c r="AV142" i="8"/>
  <c r="AV142" i="4" s="1"/>
  <c r="AV143" i="8"/>
  <c r="AV143" i="4" s="1"/>
  <c r="AV144" i="8"/>
  <c r="AV144" i="4" s="1"/>
  <c r="AV145" i="8"/>
  <c r="AV145" i="4" s="1"/>
  <c r="AV146" i="8"/>
  <c r="AV146" i="4" s="1"/>
  <c r="AV147" i="8"/>
  <c r="AV147" i="4" s="1"/>
  <c r="AV148" i="8"/>
  <c r="AV148" i="4" s="1"/>
  <c r="AV149" i="8"/>
  <c r="AV149" i="4" s="1"/>
  <c r="AV150" i="8"/>
  <c r="AV150" i="4" s="1"/>
  <c r="AV151" i="8"/>
  <c r="AV151" i="4" s="1"/>
  <c r="AV152" i="8"/>
  <c r="AV152" i="4" s="1"/>
  <c r="AV153" i="8"/>
  <c r="AV153" i="4" s="1"/>
  <c r="AV154" i="8"/>
  <c r="AV154" i="4" s="1"/>
  <c r="AV155" i="8"/>
  <c r="AV155" i="4" s="1"/>
  <c r="AV156" i="8"/>
  <c r="AV156" i="4" s="1"/>
  <c r="AV157" i="8"/>
  <c r="AV157" i="4" s="1"/>
  <c r="AV158" i="8"/>
  <c r="AV158" i="4" s="1"/>
  <c r="AV159" i="8"/>
  <c r="AV159" i="4" s="1"/>
  <c r="AV160" i="8"/>
  <c r="AV160" i="4" s="1"/>
  <c r="AV161" i="8"/>
  <c r="AV161" i="4" s="1"/>
  <c r="AV162" i="8"/>
  <c r="AV162" i="4" s="1"/>
  <c r="AV163" i="8"/>
  <c r="AV163" i="4" s="1"/>
  <c r="AV164" i="8"/>
  <c r="AV164" i="4" s="1"/>
  <c r="AV165" i="8"/>
  <c r="AV165" i="4" s="1"/>
  <c r="AV166" i="8"/>
  <c r="AV166" i="4" s="1"/>
  <c r="AV167" i="8"/>
  <c r="AV167" i="4" s="1"/>
  <c r="AV168" i="8"/>
  <c r="AV168" i="4" s="1"/>
  <c r="AV169" i="8"/>
  <c r="AV169" i="4" s="1"/>
  <c r="AV170" i="8"/>
  <c r="AV170" i="4" s="1"/>
  <c r="AV171" i="8"/>
  <c r="AV171" i="4" s="1"/>
  <c r="AV172" i="8"/>
  <c r="AV172" i="4" s="1"/>
  <c r="AV173" i="8"/>
  <c r="AV174" i="8"/>
  <c r="AV174" i="4" s="1"/>
  <c r="AV175" i="8"/>
  <c r="AV175" i="4" s="1"/>
  <c r="AV176" i="8"/>
  <c r="AV176" i="4" s="1"/>
  <c r="AV177" i="8"/>
  <c r="AV177" i="4" s="1"/>
  <c r="AV178" i="8"/>
  <c r="AV178" i="4" s="1"/>
  <c r="AV179" i="8"/>
  <c r="AV179" i="4" s="1"/>
  <c r="AV180" i="8"/>
  <c r="AV180" i="4" s="1"/>
  <c r="AV181" i="8"/>
  <c r="AV181" i="4" s="1"/>
  <c r="AV182" i="8"/>
  <c r="AV182" i="4" s="1"/>
  <c r="AV183" i="8"/>
  <c r="AV183" i="4" s="1"/>
  <c r="AV184" i="8"/>
  <c r="AV184" i="4" s="1"/>
  <c r="AV185" i="8"/>
  <c r="AV185" i="4" s="1"/>
  <c r="AV186" i="8"/>
  <c r="AV186" i="4" s="1"/>
  <c r="AV187" i="8"/>
  <c r="AV187" i="4" s="1"/>
  <c r="AV188" i="8"/>
  <c r="AV188" i="4" s="1"/>
  <c r="AV189" i="8"/>
  <c r="AV189" i="4" s="1"/>
  <c r="AV190" i="8"/>
  <c r="AV190" i="4" s="1"/>
  <c r="AV191" i="8"/>
  <c r="AV191" i="4" s="1"/>
  <c r="AV192" i="8"/>
  <c r="AV192" i="4" s="1"/>
  <c r="AV193" i="8"/>
  <c r="AV193" i="4" s="1"/>
  <c r="AV194" i="8"/>
  <c r="AV194" i="4" s="1"/>
  <c r="AV195" i="8"/>
  <c r="AV195" i="4" s="1"/>
  <c r="AV196" i="8"/>
  <c r="AV196" i="4" s="1"/>
  <c r="AV197" i="8"/>
  <c r="AV197" i="4" s="1"/>
  <c r="AV198" i="8"/>
  <c r="AV198" i="4" s="1"/>
  <c r="AV199" i="8"/>
  <c r="AV199" i="4" s="1"/>
  <c r="AV200" i="8"/>
  <c r="AV200" i="4" s="1"/>
  <c r="AV201" i="8"/>
  <c r="AV201" i="4" s="1"/>
  <c r="AV202" i="8"/>
  <c r="AV202" i="4" s="1"/>
  <c r="AV203" i="8"/>
  <c r="AV203" i="4" s="1"/>
  <c r="AV204" i="8"/>
  <c r="AV204" i="4" s="1"/>
  <c r="AV205" i="8"/>
  <c r="AV205" i="4" s="1"/>
  <c r="AV206" i="8"/>
  <c r="AV206" i="4" s="1"/>
  <c r="AV207" i="8"/>
  <c r="AV207" i="4" s="1"/>
  <c r="AV208" i="8"/>
  <c r="AV208" i="4" s="1"/>
  <c r="AV209" i="8"/>
  <c r="AV209" i="4" s="1"/>
  <c r="AV210" i="8"/>
  <c r="AV210" i="4" s="1"/>
  <c r="AV211" i="8"/>
  <c r="AV211" i="4" s="1"/>
  <c r="AV212" i="8"/>
  <c r="AV212" i="4" s="1"/>
  <c r="AV213" i="8"/>
  <c r="AV213" i="4" s="1"/>
  <c r="AV214" i="8"/>
  <c r="AV214" i="4" s="1"/>
  <c r="AV215" i="8"/>
  <c r="AV216" i="8"/>
  <c r="AV216" i="4" s="1"/>
  <c r="AV217" i="8"/>
  <c r="AV217" i="4" s="1"/>
  <c r="AV218" i="8"/>
  <c r="AV218" i="4" s="1"/>
  <c r="AV219" i="8"/>
  <c r="AV219" i="4" s="1"/>
  <c r="AV220" i="8"/>
  <c r="AV220" i="4" s="1"/>
  <c r="AV221" i="8"/>
  <c r="AV221" i="4" s="1"/>
  <c r="AV222" i="8"/>
  <c r="AV222" i="4" s="1"/>
  <c r="AV223" i="8"/>
  <c r="AV223" i="4" s="1"/>
  <c r="AV224" i="8"/>
  <c r="AV224" i="4" s="1"/>
  <c r="AV225" i="8"/>
  <c r="AV225" i="4" s="1"/>
  <c r="AV226" i="8"/>
  <c r="AV226" i="4" s="1"/>
  <c r="AV227" i="8"/>
  <c r="AV228" i="8"/>
  <c r="AV228" i="4" s="1"/>
  <c r="AV229" i="8"/>
  <c r="AV229" i="4" s="1"/>
  <c r="AV230" i="8"/>
  <c r="AV230" i="4" s="1"/>
  <c r="AV231" i="8"/>
  <c r="AV231" i="4" s="1"/>
  <c r="AV232" i="8"/>
  <c r="AV232" i="4" s="1"/>
  <c r="AV233" i="8"/>
  <c r="AV233" i="4" s="1"/>
  <c r="AV234" i="8"/>
  <c r="AV234" i="4" s="1"/>
  <c r="AV235" i="8"/>
  <c r="AV235" i="4" s="1"/>
  <c r="AV236" i="8"/>
  <c r="AV236" i="4" s="1"/>
  <c r="AV237" i="8"/>
  <c r="AV237" i="4" s="1"/>
  <c r="AV238" i="8"/>
  <c r="AV238" i="4" s="1"/>
  <c r="AV239" i="8"/>
  <c r="AV239" i="4" s="1"/>
  <c r="AV240" i="8"/>
  <c r="AV240" i="4" s="1"/>
  <c r="AV241" i="8"/>
  <c r="AV241" i="4" s="1"/>
  <c r="AV242" i="8"/>
  <c r="AV242" i="4" s="1"/>
  <c r="AV243" i="8"/>
  <c r="AV243" i="4" s="1"/>
  <c r="AV244" i="8"/>
  <c r="AV244" i="4" s="1"/>
  <c r="AV245" i="8"/>
  <c r="AV245" i="4" s="1"/>
  <c r="AV246" i="8"/>
  <c r="AV246" i="4" s="1"/>
  <c r="AV247" i="8"/>
  <c r="AV247" i="4" s="1"/>
  <c r="AV248" i="8"/>
  <c r="AV248" i="4" s="1"/>
  <c r="AV249" i="8"/>
  <c r="AV249" i="4" s="1"/>
  <c r="AV250" i="8"/>
  <c r="AV250" i="4" s="1"/>
  <c r="AV251" i="8"/>
  <c r="AV251" i="4" s="1"/>
  <c r="AV252" i="8"/>
  <c r="AV252" i="4" s="1"/>
  <c r="AV253" i="8"/>
  <c r="AV253" i="4" s="1"/>
  <c r="AV254" i="8"/>
  <c r="AV254" i="4" s="1"/>
  <c r="AV255" i="8"/>
  <c r="AV255" i="4" s="1"/>
  <c r="AV256" i="8"/>
  <c r="AV256" i="4" s="1"/>
  <c r="AV257" i="8"/>
  <c r="AV257" i="4" s="1"/>
  <c r="AV258" i="8"/>
  <c r="AV258" i="4" s="1"/>
  <c r="AV259" i="8"/>
  <c r="AV259" i="4" s="1"/>
  <c r="AV260" i="8"/>
  <c r="AV260" i="4" s="1"/>
  <c r="AV261" i="8"/>
  <c r="AV261" i="4" s="1"/>
  <c r="AV262" i="8"/>
  <c r="AV262" i="4" s="1"/>
  <c r="AV263" i="8"/>
  <c r="AV263" i="4" s="1"/>
  <c r="AV264" i="8"/>
  <c r="AV264" i="4" s="1"/>
  <c r="AV265" i="8"/>
  <c r="AV265" i="4" s="1"/>
  <c r="AV266" i="8"/>
  <c r="AV267" i="8"/>
  <c r="AV267" i="4" s="1"/>
  <c r="AV268" i="8"/>
  <c r="AV268" i="4" s="1"/>
  <c r="AV269" i="8"/>
  <c r="AV269" i="4" s="1"/>
  <c r="AV270" i="8"/>
  <c r="AV270" i="4" s="1"/>
  <c r="AV271" i="8"/>
  <c r="AV271" i="4" s="1"/>
  <c r="AV272" i="8"/>
  <c r="AV272" i="4" s="1"/>
  <c r="AV273" i="8"/>
  <c r="AV273" i="4" s="1"/>
  <c r="AV274" i="8"/>
  <c r="AV274" i="4" s="1"/>
  <c r="AV275" i="8"/>
  <c r="AV275" i="4" s="1"/>
  <c r="AU140" i="8"/>
  <c r="AU140" i="4" s="1"/>
  <c r="AU141" i="8"/>
  <c r="AU141" i="4" s="1"/>
  <c r="AU142" i="8"/>
  <c r="AU142" i="4" s="1"/>
  <c r="AU143" i="8"/>
  <c r="AU143" i="4" s="1"/>
  <c r="AU144" i="8"/>
  <c r="AU144" i="4" s="1"/>
  <c r="AU145" i="8"/>
  <c r="AU145" i="4" s="1"/>
  <c r="AU146" i="8"/>
  <c r="AU146" i="4" s="1"/>
  <c r="AU147" i="8"/>
  <c r="AU147" i="4" s="1"/>
  <c r="AU148" i="8"/>
  <c r="AU148" i="4" s="1"/>
  <c r="AU149" i="8"/>
  <c r="AU149" i="4" s="1"/>
  <c r="AU150" i="8"/>
  <c r="AU150" i="4" s="1"/>
  <c r="AU151" i="8"/>
  <c r="AU151" i="4" s="1"/>
  <c r="AU152" i="8"/>
  <c r="AU152" i="4" s="1"/>
  <c r="AU153" i="8"/>
  <c r="AU153" i="4" s="1"/>
  <c r="AU154" i="8"/>
  <c r="AU154" i="4" s="1"/>
  <c r="AU155" i="8"/>
  <c r="AU155" i="4" s="1"/>
  <c r="AU156" i="8"/>
  <c r="AU156" i="4" s="1"/>
  <c r="AU157" i="8"/>
  <c r="AU157" i="4" s="1"/>
  <c r="AU158" i="8"/>
  <c r="AU158" i="4" s="1"/>
  <c r="AU159" i="8"/>
  <c r="AU159" i="4" s="1"/>
  <c r="AU160" i="8"/>
  <c r="AU160" i="4" s="1"/>
  <c r="AU161" i="8"/>
  <c r="AU161" i="4" s="1"/>
  <c r="AU162" i="8"/>
  <c r="AU162" i="4" s="1"/>
  <c r="AU163" i="8"/>
  <c r="AU163" i="4" s="1"/>
  <c r="AU164" i="8"/>
  <c r="AU164" i="4" s="1"/>
  <c r="AU165" i="8"/>
  <c r="AU165" i="4" s="1"/>
  <c r="AU166" i="8"/>
  <c r="AU166" i="4" s="1"/>
  <c r="AU167" i="8"/>
  <c r="AU167" i="4" s="1"/>
  <c r="AU168" i="8"/>
  <c r="AU168" i="4" s="1"/>
  <c r="AU169" i="8"/>
  <c r="AU169" i="4" s="1"/>
  <c r="AU170" i="8"/>
  <c r="AU170" i="4" s="1"/>
  <c r="AU171" i="8"/>
  <c r="AU171" i="4" s="1"/>
  <c r="AU172" i="8"/>
  <c r="AU172" i="4" s="1"/>
  <c r="AU173" i="8"/>
  <c r="AU174" i="8"/>
  <c r="AU174" i="4" s="1"/>
  <c r="AU175" i="8"/>
  <c r="AU175" i="4" s="1"/>
  <c r="AU176" i="8"/>
  <c r="AU176" i="4" s="1"/>
  <c r="AU177" i="8"/>
  <c r="AU177" i="4" s="1"/>
  <c r="AU178" i="8"/>
  <c r="AU178" i="4" s="1"/>
  <c r="AU179" i="8"/>
  <c r="AU179" i="4" s="1"/>
  <c r="AU180" i="8"/>
  <c r="AU180" i="4" s="1"/>
  <c r="AU181" i="8"/>
  <c r="AU181" i="4" s="1"/>
  <c r="AU182" i="8"/>
  <c r="AU182" i="4" s="1"/>
  <c r="AU183" i="8"/>
  <c r="AU183" i="4" s="1"/>
  <c r="AU184" i="8"/>
  <c r="AU184" i="4" s="1"/>
  <c r="AU185" i="8"/>
  <c r="AU185" i="4" s="1"/>
  <c r="AU186" i="8"/>
  <c r="AU186" i="4" s="1"/>
  <c r="AU187" i="8"/>
  <c r="AU187" i="4" s="1"/>
  <c r="AU188" i="8"/>
  <c r="AU188" i="4" s="1"/>
  <c r="AU189" i="8"/>
  <c r="AU189" i="4" s="1"/>
  <c r="AU190" i="8"/>
  <c r="AU190" i="4" s="1"/>
  <c r="AU191" i="8"/>
  <c r="AU191" i="4" s="1"/>
  <c r="AU192" i="8"/>
  <c r="AU192" i="4" s="1"/>
  <c r="AU193" i="8"/>
  <c r="AU193" i="4" s="1"/>
  <c r="AU194" i="8"/>
  <c r="AU194" i="4" s="1"/>
  <c r="AU195" i="8"/>
  <c r="AU195" i="4" s="1"/>
  <c r="AU196" i="8"/>
  <c r="AU196" i="4" s="1"/>
  <c r="AU197" i="8"/>
  <c r="AU197" i="4" s="1"/>
  <c r="AU198" i="8"/>
  <c r="AU198" i="4" s="1"/>
  <c r="AU199" i="8"/>
  <c r="AU199" i="4" s="1"/>
  <c r="AU200" i="8"/>
  <c r="AU200" i="4" s="1"/>
  <c r="AU201" i="8"/>
  <c r="AU201" i="4" s="1"/>
  <c r="AU202" i="8"/>
  <c r="AU202" i="4" s="1"/>
  <c r="AU203" i="8"/>
  <c r="AU203" i="4" s="1"/>
  <c r="AU204" i="8"/>
  <c r="AU204" i="4" s="1"/>
  <c r="AU205" i="8"/>
  <c r="AU205" i="4" s="1"/>
  <c r="AU206" i="8"/>
  <c r="AU206" i="4" s="1"/>
  <c r="AU207" i="8"/>
  <c r="AU207" i="4" s="1"/>
  <c r="AU208" i="8"/>
  <c r="AU208" i="4" s="1"/>
  <c r="AU209" i="8"/>
  <c r="AU209" i="4" s="1"/>
  <c r="AU210" i="8"/>
  <c r="AU210" i="4" s="1"/>
  <c r="AU211" i="8"/>
  <c r="AU211" i="4" s="1"/>
  <c r="AU212" i="8"/>
  <c r="AU212" i="4" s="1"/>
  <c r="AU213" i="8"/>
  <c r="AU213" i="4" s="1"/>
  <c r="AU214" i="8"/>
  <c r="AU214" i="4" s="1"/>
  <c r="AU215" i="8"/>
  <c r="AU216" i="8"/>
  <c r="AU216" i="4" s="1"/>
  <c r="AU217" i="8"/>
  <c r="AU217" i="4" s="1"/>
  <c r="AU218" i="8"/>
  <c r="AU218" i="4" s="1"/>
  <c r="AU219" i="8"/>
  <c r="AU219" i="4" s="1"/>
  <c r="AU220" i="8"/>
  <c r="AU220" i="4" s="1"/>
  <c r="AU221" i="8"/>
  <c r="AU221" i="4" s="1"/>
  <c r="AU222" i="8"/>
  <c r="AU222" i="4" s="1"/>
  <c r="AU223" i="8"/>
  <c r="AU223" i="4" s="1"/>
  <c r="AU224" i="8"/>
  <c r="AU224" i="4" s="1"/>
  <c r="AU225" i="8"/>
  <c r="AU225" i="4" s="1"/>
  <c r="AU226" i="8"/>
  <c r="AU226" i="4" s="1"/>
  <c r="AU227" i="8"/>
  <c r="AU228" i="8"/>
  <c r="AU228" i="4" s="1"/>
  <c r="AU229" i="8"/>
  <c r="AU229" i="4" s="1"/>
  <c r="AU230" i="8"/>
  <c r="AU230" i="4" s="1"/>
  <c r="AU231" i="8"/>
  <c r="AU231" i="4" s="1"/>
  <c r="AU232" i="8"/>
  <c r="AU232" i="4" s="1"/>
  <c r="AU233" i="8"/>
  <c r="AU233" i="4" s="1"/>
  <c r="AU234" i="8"/>
  <c r="AU234" i="4" s="1"/>
  <c r="AU235" i="8"/>
  <c r="AU235" i="4" s="1"/>
  <c r="AU236" i="8"/>
  <c r="AU236" i="4" s="1"/>
  <c r="AU237" i="8"/>
  <c r="AU237" i="4" s="1"/>
  <c r="AU238" i="8"/>
  <c r="AU238" i="4" s="1"/>
  <c r="AU239" i="8"/>
  <c r="AU239" i="4" s="1"/>
  <c r="AU240" i="8"/>
  <c r="AU240" i="4" s="1"/>
  <c r="AU241" i="8"/>
  <c r="AU241" i="4" s="1"/>
  <c r="AU242" i="8"/>
  <c r="AU242" i="4" s="1"/>
  <c r="AU243" i="8"/>
  <c r="AU243" i="4" s="1"/>
  <c r="AU244" i="8"/>
  <c r="AU244" i="4" s="1"/>
  <c r="AU245" i="8"/>
  <c r="AU245" i="4" s="1"/>
  <c r="AU246" i="8"/>
  <c r="AU246" i="4" s="1"/>
  <c r="AU247" i="8"/>
  <c r="AU247" i="4" s="1"/>
  <c r="AU248" i="8"/>
  <c r="AU248" i="4" s="1"/>
  <c r="AU249" i="8"/>
  <c r="AU249" i="4" s="1"/>
  <c r="AU250" i="8"/>
  <c r="AU250" i="4" s="1"/>
  <c r="AU251" i="8"/>
  <c r="AU251" i="4" s="1"/>
  <c r="AU252" i="8"/>
  <c r="AU252" i="4" s="1"/>
  <c r="AU253" i="8"/>
  <c r="AU253" i="4" s="1"/>
  <c r="AU254" i="8"/>
  <c r="AU254" i="4" s="1"/>
  <c r="AU255" i="8"/>
  <c r="AU255" i="4" s="1"/>
  <c r="AU256" i="8"/>
  <c r="AU256" i="4" s="1"/>
  <c r="AU257" i="8"/>
  <c r="AU257" i="4" s="1"/>
  <c r="AU258" i="8"/>
  <c r="AU258" i="4" s="1"/>
  <c r="AU259" i="8"/>
  <c r="AU259" i="4" s="1"/>
  <c r="AU260" i="8"/>
  <c r="AU260" i="4" s="1"/>
  <c r="AU261" i="8"/>
  <c r="AU261" i="4" s="1"/>
  <c r="AU262" i="8"/>
  <c r="AU262" i="4" s="1"/>
  <c r="AU263" i="8"/>
  <c r="AU263" i="4" s="1"/>
  <c r="AU264" i="8"/>
  <c r="AU264" i="4" s="1"/>
  <c r="AU265" i="8"/>
  <c r="AU265" i="4" s="1"/>
  <c r="AU266" i="8"/>
  <c r="AU267" i="8"/>
  <c r="AU267" i="4" s="1"/>
  <c r="AU268" i="8"/>
  <c r="AU268" i="4" s="1"/>
  <c r="AU269" i="8"/>
  <c r="AU269" i="4" s="1"/>
  <c r="AU270" i="8"/>
  <c r="AU270" i="4" s="1"/>
  <c r="AU271" i="8"/>
  <c r="AU271" i="4" s="1"/>
  <c r="AU272" i="8"/>
  <c r="AU272" i="4" s="1"/>
  <c r="AU273" i="8"/>
  <c r="AU273" i="4" s="1"/>
  <c r="AU274" i="8"/>
  <c r="AU274" i="4" s="1"/>
  <c r="AU275" i="8"/>
  <c r="AU275" i="4" s="1"/>
  <c r="AT140" i="8"/>
  <c r="AT140" i="4" s="1"/>
  <c r="AT141" i="8"/>
  <c r="AT141" i="4" s="1"/>
  <c r="AT142" i="8"/>
  <c r="AT142" i="4" s="1"/>
  <c r="AT143" i="8"/>
  <c r="AT143" i="4" s="1"/>
  <c r="AT144" i="8"/>
  <c r="AT144" i="4" s="1"/>
  <c r="AT145" i="8"/>
  <c r="AT145" i="4" s="1"/>
  <c r="AT146" i="8"/>
  <c r="AT146" i="4" s="1"/>
  <c r="AT147" i="8"/>
  <c r="AT147" i="4" s="1"/>
  <c r="AT148" i="8"/>
  <c r="AT148" i="4" s="1"/>
  <c r="AT149" i="8"/>
  <c r="AT149" i="4" s="1"/>
  <c r="AT150" i="8"/>
  <c r="AT150" i="4" s="1"/>
  <c r="AT151" i="8"/>
  <c r="AT151" i="4" s="1"/>
  <c r="AT152" i="8"/>
  <c r="AT152" i="4" s="1"/>
  <c r="AT153" i="8"/>
  <c r="AT153" i="4" s="1"/>
  <c r="AT154" i="8"/>
  <c r="AT154" i="4" s="1"/>
  <c r="AT155" i="8"/>
  <c r="AT155" i="4" s="1"/>
  <c r="AT156" i="8"/>
  <c r="AT156" i="4" s="1"/>
  <c r="AT157" i="8"/>
  <c r="AT157" i="4" s="1"/>
  <c r="AT158" i="8"/>
  <c r="AT158" i="4" s="1"/>
  <c r="AT159" i="8"/>
  <c r="AT159" i="4" s="1"/>
  <c r="AT160" i="8"/>
  <c r="AT160" i="4" s="1"/>
  <c r="AT161" i="8"/>
  <c r="AT161" i="4" s="1"/>
  <c r="AT162" i="8"/>
  <c r="AT162" i="4" s="1"/>
  <c r="AT163" i="8"/>
  <c r="AT163" i="4" s="1"/>
  <c r="AT164" i="8"/>
  <c r="AT164" i="4" s="1"/>
  <c r="AT165" i="8"/>
  <c r="AT165" i="4" s="1"/>
  <c r="AT166" i="8"/>
  <c r="AT166" i="4" s="1"/>
  <c r="AT167" i="8"/>
  <c r="AT167" i="4" s="1"/>
  <c r="AT168" i="8"/>
  <c r="AT168" i="4" s="1"/>
  <c r="AT169" i="8"/>
  <c r="AT169" i="4" s="1"/>
  <c r="AT170" i="8"/>
  <c r="AT170" i="4" s="1"/>
  <c r="AT171" i="8"/>
  <c r="AT171" i="4" s="1"/>
  <c r="AT172" i="8"/>
  <c r="AT172" i="4" s="1"/>
  <c r="AT173" i="8"/>
  <c r="AT174" i="8"/>
  <c r="AT174" i="4" s="1"/>
  <c r="AT175" i="8"/>
  <c r="AT175" i="4" s="1"/>
  <c r="AT176" i="8"/>
  <c r="AT176" i="4" s="1"/>
  <c r="AT177" i="8"/>
  <c r="AT177" i="4" s="1"/>
  <c r="AT178" i="8"/>
  <c r="AT178" i="4" s="1"/>
  <c r="AT179" i="8"/>
  <c r="AT179" i="4" s="1"/>
  <c r="AT180" i="8"/>
  <c r="AT180" i="4" s="1"/>
  <c r="AT181" i="8"/>
  <c r="AT181" i="4" s="1"/>
  <c r="AT182" i="8"/>
  <c r="AT182" i="4" s="1"/>
  <c r="AT183" i="8"/>
  <c r="AT183" i="4" s="1"/>
  <c r="AT184" i="8"/>
  <c r="AT184" i="4" s="1"/>
  <c r="AT185" i="8"/>
  <c r="AT185" i="4" s="1"/>
  <c r="AT186" i="8"/>
  <c r="AT186" i="4" s="1"/>
  <c r="AT187" i="8"/>
  <c r="AT187" i="4" s="1"/>
  <c r="AT188" i="8"/>
  <c r="AT188" i="4" s="1"/>
  <c r="AT189" i="8"/>
  <c r="AT189" i="4" s="1"/>
  <c r="AT190" i="8"/>
  <c r="AT190" i="4" s="1"/>
  <c r="AT191" i="8"/>
  <c r="AT191" i="4" s="1"/>
  <c r="AT192" i="8"/>
  <c r="AT192" i="4" s="1"/>
  <c r="AT193" i="8"/>
  <c r="AT193" i="4" s="1"/>
  <c r="AT194" i="8"/>
  <c r="AT194" i="4" s="1"/>
  <c r="AT195" i="8"/>
  <c r="AT195" i="4" s="1"/>
  <c r="AT196" i="8"/>
  <c r="AT196" i="4" s="1"/>
  <c r="AT197" i="8"/>
  <c r="AT197" i="4" s="1"/>
  <c r="AT198" i="8"/>
  <c r="AT198" i="4" s="1"/>
  <c r="AT199" i="8"/>
  <c r="AT199" i="4" s="1"/>
  <c r="AT200" i="8"/>
  <c r="AT200" i="4" s="1"/>
  <c r="AT201" i="8"/>
  <c r="AT201" i="4" s="1"/>
  <c r="AT202" i="8"/>
  <c r="AT202" i="4" s="1"/>
  <c r="AT203" i="8"/>
  <c r="AT203" i="4" s="1"/>
  <c r="AT204" i="8"/>
  <c r="AT204" i="4" s="1"/>
  <c r="AT205" i="8"/>
  <c r="AT205" i="4" s="1"/>
  <c r="AT206" i="8"/>
  <c r="AT206" i="4" s="1"/>
  <c r="AT207" i="8"/>
  <c r="AT207" i="4" s="1"/>
  <c r="AT208" i="8"/>
  <c r="AT208" i="4" s="1"/>
  <c r="AT209" i="8"/>
  <c r="AT209" i="4" s="1"/>
  <c r="AT210" i="8"/>
  <c r="AT210" i="4" s="1"/>
  <c r="AT211" i="8"/>
  <c r="AT211" i="4" s="1"/>
  <c r="AT212" i="8"/>
  <c r="AT212" i="4" s="1"/>
  <c r="AT213" i="8"/>
  <c r="AT213" i="4" s="1"/>
  <c r="AT214" i="8"/>
  <c r="AT214" i="4" s="1"/>
  <c r="AT215" i="8"/>
  <c r="AT216" i="8"/>
  <c r="AT216" i="4" s="1"/>
  <c r="AT217" i="8"/>
  <c r="AT217" i="4" s="1"/>
  <c r="AT218" i="8"/>
  <c r="AT218" i="4" s="1"/>
  <c r="AT219" i="8"/>
  <c r="AT219" i="4" s="1"/>
  <c r="AT220" i="8"/>
  <c r="AT220" i="4" s="1"/>
  <c r="AT221" i="8"/>
  <c r="AT221" i="4" s="1"/>
  <c r="AT222" i="8"/>
  <c r="AT222" i="4" s="1"/>
  <c r="AT223" i="8"/>
  <c r="AT223" i="4" s="1"/>
  <c r="AT224" i="8"/>
  <c r="AT224" i="4" s="1"/>
  <c r="AT225" i="8"/>
  <c r="AT225" i="4" s="1"/>
  <c r="AT226" i="8"/>
  <c r="AT226" i="4" s="1"/>
  <c r="AT227" i="8"/>
  <c r="AT228" i="8"/>
  <c r="AT228" i="4" s="1"/>
  <c r="AT229" i="8"/>
  <c r="AT229" i="4" s="1"/>
  <c r="AT230" i="8"/>
  <c r="AT230" i="4" s="1"/>
  <c r="AT231" i="8"/>
  <c r="AT231" i="4" s="1"/>
  <c r="AT232" i="8"/>
  <c r="AT232" i="4" s="1"/>
  <c r="AT233" i="8"/>
  <c r="AT233" i="4" s="1"/>
  <c r="AT234" i="8"/>
  <c r="AT234" i="4" s="1"/>
  <c r="AT235" i="8"/>
  <c r="AT235" i="4" s="1"/>
  <c r="AT236" i="8"/>
  <c r="AT236" i="4" s="1"/>
  <c r="AT237" i="8"/>
  <c r="AT237" i="4" s="1"/>
  <c r="AT238" i="8"/>
  <c r="AT238" i="4" s="1"/>
  <c r="AT239" i="8"/>
  <c r="AT239" i="4" s="1"/>
  <c r="AT240" i="8"/>
  <c r="AT240" i="4" s="1"/>
  <c r="AT241" i="8"/>
  <c r="AT241" i="4" s="1"/>
  <c r="AT242" i="8"/>
  <c r="AT242" i="4" s="1"/>
  <c r="AT243" i="8"/>
  <c r="AT243" i="4" s="1"/>
  <c r="AT244" i="8"/>
  <c r="AT244" i="4" s="1"/>
  <c r="AT245" i="8"/>
  <c r="AT245" i="4" s="1"/>
  <c r="AT246" i="8"/>
  <c r="AT246" i="4" s="1"/>
  <c r="AT247" i="8"/>
  <c r="AT247" i="4" s="1"/>
  <c r="AT248" i="8"/>
  <c r="AT248" i="4" s="1"/>
  <c r="AT249" i="8"/>
  <c r="AT249" i="4" s="1"/>
  <c r="AT250" i="8"/>
  <c r="AT250" i="4" s="1"/>
  <c r="AT251" i="8"/>
  <c r="AT251" i="4" s="1"/>
  <c r="AT252" i="8"/>
  <c r="AT252" i="4" s="1"/>
  <c r="AT253" i="8"/>
  <c r="AT253" i="4" s="1"/>
  <c r="AT254" i="8"/>
  <c r="AT254" i="4" s="1"/>
  <c r="AT255" i="8"/>
  <c r="AT255" i="4" s="1"/>
  <c r="AT256" i="8"/>
  <c r="AT256" i="4" s="1"/>
  <c r="AT257" i="8"/>
  <c r="AT257" i="4" s="1"/>
  <c r="AT258" i="8"/>
  <c r="AT258" i="4" s="1"/>
  <c r="AT259" i="8"/>
  <c r="AT259" i="4" s="1"/>
  <c r="AT260" i="8"/>
  <c r="AT260" i="4" s="1"/>
  <c r="AT261" i="8"/>
  <c r="AT261" i="4" s="1"/>
  <c r="AT262" i="8"/>
  <c r="AT262" i="4" s="1"/>
  <c r="AT263" i="8"/>
  <c r="AT263" i="4" s="1"/>
  <c r="AT264" i="8"/>
  <c r="AT264" i="4" s="1"/>
  <c r="AT265" i="8"/>
  <c r="AT265" i="4" s="1"/>
  <c r="AT266" i="8"/>
  <c r="AT267" i="8"/>
  <c r="AT267" i="4" s="1"/>
  <c r="AT268" i="8"/>
  <c r="AT268" i="4" s="1"/>
  <c r="AT269" i="8"/>
  <c r="AT269" i="4" s="1"/>
  <c r="AT270" i="8"/>
  <c r="AT270" i="4" s="1"/>
  <c r="AT271" i="8"/>
  <c r="AT271" i="4" s="1"/>
  <c r="AT272" i="8"/>
  <c r="AT272" i="4" s="1"/>
  <c r="AT273" i="8"/>
  <c r="AT273" i="4" s="1"/>
  <c r="AT274" i="8"/>
  <c r="AT274" i="4" s="1"/>
  <c r="AT275" i="8"/>
  <c r="AT275" i="4" s="1"/>
  <c r="AS140" i="8"/>
  <c r="AS140" i="4" s="1"/>
  <c r="AS141" i="8"/>
  <c r="AS141" i="4" s="1"/>
  <c r="AS142" i="8"/>
  <c r="AS142" i="4" s="1"/>
  <c r="AS143" i="8"/>
  <c r="AS143" i="4" s="1"/>
  <c r="AS144" i="8"/>
  <c r="AS144" i="4" s="1"/>
  <c r="AS145" i="8"/>
  <c r="AS145" i="4" s="1"/>
  <c r="AS146" i="8"/>
  <c r="AS146" i="4" s="1"/>
  <c r="AS147" i="8"/>
  <c r="AS147" i="4" s="1"/>
  <c r="AS148" i="8"/>
  <c r="AS148" i="4" s="1"/>
  <c r="AS149" i="8"/>
  <c r="AS149" i="4" s="1"/>
  <c r="AS150" i="8"/>
  <c r="AS150" i="4" s="1"/>
  <c r="AS151" i="8"/>
  <c r="AS151" i="4" s="1"/>
  <c r="AS152" i="8"/>
  <c r="AS152" i="4" s="1"/>
  <c r="AS153" i="8"/>
  <c r="AS153" i="4" s="1"/>
  <c r="AS154" i="8"/>
  <c r="AS154" i="4" s="1"/>
  <c r="AS155" i="8"/>
  <c r="AS155" i="4" s="1"/>
  <c r="AS156" i="8"/>
  <c r="AS156" i="4" s="1"/>
  <c r="AS157" i="8"/>
  <c r="AS157" i="4" s="1"/>
  <c r="AS158" i="8"/>
  <c r="AS158" i="4" s="1"/>
  <c r="AS159" i="8"/>
  <c r="AS159" i="4" s="1"/>
  <c r="AS160" i="8"/>
  <c r="AS160" i="4" s="1"/>
  <c r="AS161" i="8"/>
  <c r="AS161" i="4" s="1"/>
  <c r="AS162" i="8"/>
  <c r="AS162" i="4" s="1"/>
  <c r="AS163" i="8"/>
  <c r="AS163" i="4" s="1"/>
  <c r="AS164" i="8"/>
  <c r="AS164" i="4" s="1"/>
  <c r="AS165" i="8"/>
  <c r="AS165" i="4" s="1"/>
  <c r="AS166" i="8"/>
  <c r="AS166" i="4" s="1"/>
  <c r="AS167" i="8"/>
  <c r="AS167" i="4" s="1"/>
  <c r="AS168" i="8"/>
  <c r="AS168" i="4" s="1"/>
  <c r="AS169" i="8"/>
  <c r="AS169" i="4" s="1"/>
  <c r="AS170" i="8"/>
  <c r="AS170" i="4" s="1"/>
  <c r="AS171" i="8"/>
  <c r="AS171" i="4" s="1"/>
  <c r="AS172" i="8"/>
  <c r="AS172" i="4" s="1"/>
  <c r="AS173" i="8"/>
  <c r="AS174" i="8"/>
  <c r="AS174" i="4" s="1"/>
  <c r="AS175" i="8"/>
  <c r="AS175" i="4" s="1"/>
  <c r="AS176" i="8"/>
  <c r="AS176" i="4" s="1"/>
  <c r="AS177" i="8"/>
  <c r="AS177" i="4" s="1"/>
  <c r="AS178" i="8"/>
  <c r="AS178" i="4" s="1"/>
  <c r="AS179" i="8"/>
  <c r="AS179" i="4" s="1"/>
  <c r="AS180" i="8"/>
  <c r="AS180" i="4" s="1"/>
  <c r="AS181" i="8"/>
  <c r="AS181" i="4" s="1"/>
  <c r="AS182" i="8"/>
  <c r="AS182" i="4" s="1"/>
  <c r="AS183" i="8"/>
  <c r="AS183" i="4" s="1"/>
  <c r="AS184" i="8"/>
  <c r="AS184" i="4" s="1"/>
  <c r="AS185" i="8"/>
  <c r="AS185" i="4" s="1"/>
  <c r="AS186" i="8"/>
  <c r="AS186" i="4" s="1"/>
  <c r="AS187" i="8"/>
  <c r="AS187" i="4" s="1"/>
  <c r="AS188" i="8"/>
  <c r="AS188" i="4" s="1"/>
  <c r="AS189" i="8"/>
  <c r="AS189" i="4" s="1"/>
  <c r="AS190" i="8"/>
  <c r="AS190" i="4" s="1"/>
  <c r="AS191" i="8"/>
  <c r="AS191" i="4" s="1"/>
  <c r="AS192" i="8"/>
  <c r="AS192" i="4" s="1"/>
  <c r="AS193" i="8"/>
  <c r="AS193" i="4" s="1"/>
  <c r="AS194" i="8"/>
  <c r="AS194" i="4" s="1"/>
  <c r="AS195" i="8"/>
  <c r="AS195" i="4" s="1"/>
  <c r="AS196" i="8"/>
  <c r="AS196" i="4" s="1"/>
  <c r="AS197" i="8"/>
  <c r="AS197" i="4" s="1"/>
  <c r="AS198" i="8"/>
  <c r="AS198" i="4" s="1"/>
  <c r="AS199" i="8"/>
  <c r="AS199" i="4" s="1"/>
  <c r="AS200" i="8"/>
  <c r="AS200" i="4" s="1"/>
  <c r="AS201" i="8"/>
  <c r="AS201" i="4" s="1"/>
  <c r="AS202" i="8"/>
  <c r="AS202" i="4" s="1"/>
  <c r="AS203" i="8"/>
  <c r="AS203" i="4" s="1"/>
  <c r="AS204" i="8"/>
  <c r="AS204" i="4" s="1"/>
  <c r="AS205" i="8"/>
  <c r="AS205" i="4" s="1"/>
  <c r="AS206" i="8"/>
  <c r="AS206" i="4" s="1"/>
  <c r="AS207" i="8"/>
  <c r="AS207" i="4" s="1"/>
  <c r="AS208" i="8"/>
  <c r="AS208" i="4" s="1"/>
  <c r="AS209" i="8"/>
  <c r="AS209" i="4" s="1"/>
  <c r="AS210" i="8"/>
  <c r="AS210" i="4" s="1"/>
  <c r="AS211" i="8"/>
  <c r="AS211" i="4" s="1"/>
  <c r="AS212" i="8"/>
  <c r="AS212" i="4" s="1"/>
  <c r="AS213" i="8"/>
  <c r="AS213" i="4" s="1"/>
  <c r="AS214" i="8"/>
  <c r="AS214" i="4" s="1"/>
  <c r="AS215" i="8"/>
  <c r="AS216" i="8"/>
  <c r="AS216" i="4" s="1"/>
  <c r="AS217" i="8"/>
  <c r="AS217" i="4" s="1"/>
  <c r="AS218" i="8"/>
  <c r="AS218" i="4" s="1"/>
  <c r="AS219" i="8"/>
  <c r="AS219" i="4" s="1"/>
  <c r="AS220" i="8"/>
  <c r="AS220" i="4" s="1"/>
  <c r="AS221" i="8"/>
  <c r="AS221" i="4" s="1"/>
  <c r="AS222" i="8"/>
  <c r="AS222" i="4" s="1"/>
  <c r="AS223" i="8"/>
  <c r="AS223" i="4" s="1"/>
  <c r="AS224" i="8"/>
  <c r="AS224" i="4" s="1"/>
  <c r="AS225" i="8"/>
  <c r="AS225" i="4" s="1"/>
  <c r="AS226" i="8"/>
  <c r="AS226" i="4" s="1"/>
  <c r="AS227" i="8"/>
  <c r="AS228" i="8"/>
  <c r="AS228" i="4" s="1"/>
  <c r="AS229" i="8"/>
  <c r="AS229" i="4" s="1"/>
  <c r="AS230" i="8"/>
  <c r="AS230" i="4" s="1"/>
  <c r="AS231" i="8"/>
  <c r="AS231" i="4" s="1"/>
  <c r="AS232" i="8"/>
  <c r="AS232" i="4" s="1"/>
  <c r="AS233" i="8"/>
  <c r="AS233" i="4" s="1"/>
  <c r="AS234" i="8"/>
  <c r="AS234" i="4" s="1"/>
  <c r="AS235" i="8"/>
  <c r="AS235" i="4" s="1"/>
  <c r="AS236" i="8"/>
  <c r="AS236" i="4" s="1"/>
  <c r="AS237" i="8"/>
  <c r="AS237" i="4" s="1"/>
  <c r="AS238" i="8"/>
  <c r="AS238" i="4" s="1"/>
  <c r="AS239" i="8"/>
  <c r="AS239" i="4" s="1"/>
  <c r="AS240" i="8"/>
  <c r="AS240" i="4" s="1"/>
  <c r="AS241" i="8"/>
  <c r="AS241" i="4" s="1"/>
  <c r="AS242" i="8"/>
  <c r="AS242" i="4" s="1"/>
  <c r="AS243" i="8"/>
  <c r="AS243" i="4" s="1"/>
  <c r="AS244" i="8"/>
  <c r="AS244" i="4" s="1"/>
  <c r="AS245" i="8"/>
  <c r="AS245" i="4" s="1"/>
  <c r="AS246" i="8"/>
  <c r="AS246" i="4" s="1"/>
  <c r="AS247" i="8"/>
  <c r="AS247" i="4" s="1"/>
  <c r="AS248" i="8"/>
  <c r="AS248" i="4" s="1"/>
  <c r="AS249" i="8"/>
  <c r="AS249" i="4" s="1"/>
  <c r="AS250" i="8"/>
  <c r="AS250" i="4" s="1"/>
  <c r="AS251" i="8"/>
  <c r="AS251" i="4" s="1"/>
  <c r="AS252" i="8"/>
  <c r="AS252" i="4" s="1"/>
  <c r="AS253" i="8"/>
  <c r="AS253" i="4" s="1"/>
  <c r="AS254" i="8"/>
  <c r="AS254" i="4" s="1"/>
  <c r="AS255" i="8"/>
  <c r="AS255" i="4" s="1"/>
  <c r="AS256" i="8"/>
  <c r="AS256" i="4" s="1"/>
  <c r="AS257" i="8"/>
  <c r="AS257" i="4" s="1"/>
  <c r="AS258" i="8"/>
  <c r="AS258" i="4" s="1"/>
  <c r="AS259" i="8"/>
  <c r="AS259" i="4" s="1"/>
  <c r="AS260" i="8"/>
  <c r="AS260" i="4" s="1"/>
  <c r="AS261" i="8"/>
  <c r="AS261" i="4" s="1"/>
  <c r="AS262" i="8"/>
  <c r="AS262" i="4" s="1"/>
  <c r="AS263" i="8"/>
  <c r="AS263" i="4" s="1"/>
  <c r="AS264" i="8"/>
  <c r="AS264" i="4" s="1"/>
  <c r="AS265" i="8"/>
  <c r="AS265" i="4" s="1"/>
  <c r="AS266" i="8"/>
  <c r="AS267" i="8"/>
  <c r="AS267" i="4" s="1"/>
  <c r="AS268" i="8"/>
  <c r="AS268" i="4" s="1"/>
  <c r="AS269" i="8"/>
  <c r="AS269" i="4" s="1"/>
  <c r="AS270" i="8"/>
  <c r="AS270" i="4" s="1"/>
  <c r="AS271" i="8"/>
  <c r="AS271" i="4" s="1"/>
  <c r="AS272" i="8"/>
  <c r="AS272" i="4" s="1"/>
  <c r="AS273" i="8"/>
  <c r="AS273" i="4" s="1"/>
  <c r="AS274" i="8"/>
  <c r="AS274" i="4" s="1"/>
  <c r="AS275" i="8"/>
  <c r="AS275" i="4" s="1"/>
  <c r="AR140" i="8"/>
  <c r="AR140" i="4" s="1"/>
  <c r="AR141" i="8"/>
  <c r="AR141" i="4" s="1"/>
  <c r="AR142" i="8"/>
  <c r="AR142" i="4" s="1"/>
  <c r="AR143" i="8"/>
  <c r="AR143" i="4" s="1"/>
  <c r="AR144" i="8"/>
  <c r="AR144" i="4" s="1"/>
  <c r="AR145" i="8"/>
  <c r="AR145" i="4" s="1"/>
  <c r="AR146" i="8"/>
  <c r="AR146" i="4" s="1"/>
  <c r="AR147" i="8"/>
  <c r="AR147" i="4" s="1"/>
  <c r="AR148" i="8"/>
  <c r="AR148" i="4" s="1"/>
  <c r="AR149" i="8"/>
  <c r="AR149" i="4" s="1"/>
  <c r="AR150" i="8"/>
  <c r="AR150" i="4" s="1"/>
  <c r="AR151" i="8"/>
  <c r="AR151" i="4" s="1"/>
  <c r="AR152" i="8"/>
  <c r="AR152" i="4" s="1"/>
  <c r="AR153" i="8"/>
  <c r="AR153" i="4" s="1"/>
  <c r="AR154" i="8"/>
  <c r="AR154" i="4" s="1"/>
  <c r="AR155" i="8"/>
  <c r="AR155" i="4" s="1"/>
  <c r="AR156" i="8"/>
  <c r="AR156" i="4" s="1"/>
  <c r="AR157" i="8"/>
  <c r="AR157" i="4" s="1"/>
  <c r="AR158" i="8"/>
  <c r="AR158" i="4" s="1"/>
  <c r="AR159" i="8"/>
  <c r="AR159" i="4" s="1"/>
  <c r="AR160" i="8"/>
  <c r="AR160" i="4" s="1"/>
  <c r="AR161" i="8"/>
  <c r="AR161" i="4" s="1"/>
  <c r="AR162" i="8"/>
  <c r="AR162" i="4" s="1"/>
  <c r="AR163" i="8"/>
  <c r="AR163" i="4" s="1"/>
  <c r="AR164" i="8"/>
  <c r="AR164" i="4" s="1"/>
  <c r="AR165" i="8"/>
  <c r="AR165" i="4" s="1"/>
  <c r="AR166" i="8"/>
  <c r="AR166" i="4" s="1"/>
  <c r="AR167" i="8"/>
  <c r="AR167" i="4" s="1"/>
  <c r="AR168" i="8"/>
  <c r="AR168" i="4" s="1"/>
  <c r="AR169" i="8"/>
  <c r="AR169" i="4" s="1"/>
  <c r="AR170" i="8"/>
  <c r="AR170" i="4" s="1"/>
  <c r="AR171" i="8"/>
  <c r="AR171" i="4" s="1"/>
  <c r="AR172" i="8"/>
  <c r="AR172" i="4" s="1"/>
  <c r="AR173" i="8"/>
  <c r="AR174" i="8"/>
  <c r="AR174" i="4" s="1"/>
  <c r="AR175" i="8"/>
  <c r="AR175" i="4" s="1"/>
  <c r="AR176" i="8"/>
  <c r="AR176" i="4" s="1"/>
  <c r="AR177" i="8"/>
  <c r="AR177" i="4" s="1"/>
  <c r="AR178" i="8"/>
  <c r="AR178" i="4" s="1"/>
  <c r="AR179" i="8"/>
  <c r="AR179" i="4" s="1"/>
  <c r="AR180" i="8"/>
  <c r="AR180" i="4" s="1"/>
  <c r="AR181" i="8"/>
  <c r="AR181" i="4" s="1"/>
  <c r="AR182" i="8"/>
  <c r="AR182" i="4" s="1"/>
  <c r="AR183" i="8"/>
  <c r="AR183" i="4" s="1"/>
  <c r="AR184" i="8"/>
  <c r="AR184" i="4" s="1"/>
  <c r="AR185" i="8"/>
  <c r="AR185" i="4" s="1"/>
  <c r="AR186" i="8"/>
  <c r="AR186" i="4" s="1"/>
  <c r="AR187" i="8"/>
  <c r="AR187" i="4" s="1"/>
  <c r="AR188" i="8"/>
  <c r="AR188" i="4" s="1"/>
  <c r="AR189" i="8"/>
  <c r="AR189" i="4" s="1"/>
  <c r="AR190" i="8"/>
  <c r="AR190" i="4" s="1"/>
  <c r="AR191" i="8"/>
  <c r="AR191" i="4" s="1"/>
  <c r="AR192" i="8"/>
  <c r="AR192" i="4" s="1"/>
  <c r="AR193" i="8"/>
  <c r="AR193" i="4" s="1"/>
  <c r="AR194" i="8"/>
  <c r="AR194" i="4" s="1"/>
  <c r="AR195" i="8"/>
  <c r="AR195" i="4" s="1"/>
  <c r="AR196" i="8"/>
  <c r="AR196" i="4" s="1"/>
  <c r="AR197" i="8"/>
  <c r="AR197" i="4" s="1"/>
  <c r="AR198" i="8"/>
  <c r="AR198" i="4" s="1"/>
  <c r="AR199" i="8"/>
  <c r="AR199" i="4" s="1"/>
  <c r="AR200" i="8"/>
  <c r="AR200" i="4" s="1"/>
  <c r="AR201" i="8"/>
  <c r="AR201" i="4" s="1"/>
  <c r="AR202" i="8"/>
  <c r="AR202" i="4" s="1"/>
  <c r="AR203" i="8"/>
  <c r="AR203" i="4" s="1"/>
  <c r="AR204" i="8"/>
  <c r="AR204" i="4" s="1"/>
  <c r="AR205" i="8"/>
  <c r="AR205" i="4" s="1"/>
  <c r="AR206" i="8"/>
  <c r="AR206" i="4" s="1"/>
  <c r="AR207" i="8"/>
  <c r="AR207" i="4" s="1"/>
  <c r="AR208" i="8"/>
  <c r="AR208" i="4" s="1"/>
  <c r="AR209" i="8"/>
  <c r="AR209" i="4" s="1"/>
  <c r="AR210" i="8"/>
  <c r="AR210" i="4" s="1"/>
  <c r="AR211" i="8"/>
  <c r="AR211" i="4" s="1"/>
  <c r="AR212" i="8"/>
  <c r="AR212" i="4" s="1"/>
  <c r="AR213" i="8"/>
  <c r="AR213" i="4" s="1"/>
  <c r="AR214" i="8"/>
  <c r="AR214" i="4" s="1"/>
  <c r="AR215" i="8"/>
  <c r="AR216" i="8"/>
  <c r="AR216" i="4" s="1"/>
  <c r="AR217" i="8"/>
  <c r="AR217" i="4" s="1"/>
  <c r="AR218" i="8"/>
  <c r="AR218" i="4" s="1"/>
  <c r="AR219" i="8"/>
  <c r="AR219" i="4" s="1"/>
  <c r="AR220" i="8"/>
  <c r="AR220" i="4" s="1"/>
  <c r="AR221" i="8"/>
  <c r="AR221" i="4" s="1"/>
  <c r="AR222" i="8"/>
  <c r="AR222" i="4" s="1"/>
  <c r="AR223" i="8"/>
  <c r="AR223" i="4" s="1"/>
  <c r="AR224" i="8"/>
  <c r="AR224" i="4" s="1"/>
  <c r="AR225" i="8"/>
  <c r="AR225" i="4" s="1"/>
  <c r="AR226" i="8"/>
  <c r="AR226" i="4" s="1"/>
  <c r="AR227" i="8"/>
  <c r="AR228" i="8"/>
  <c r="AR228" i="4" s="1"/>
  <c r="AR229" i="8"/>
  <c r="AR229" i="4" s="1"/>
  <c r="AR230" i="8"/>
  <c r="AR230" i="4" s="1"/>
  <c r="AR231" i="8"/>
  <c r="AR231" i="4" s="1"/>
  <c r="AR232" i="8"/>
  <c r="AR232" i="4" s="1"/>
  <c r="AR233" i="8"/>
  <c r="AR233" i="4" s="1"/>
  <c r="AR234" i="8"/>
  <c r="AR234" i="4" s="1"/>
  <c r="AR235" i="8"/>
  <c r="AR235" i="4" s="1"/>
  <c r="AR236" i="8"/>
  <c r="AR236" i="4" s="1"/>
  <c r="AR237" i="8"/>
  <c r="AR237" i="4" s="1"/>
  <c r="AR238" i="8"/>
  <c r="AR238" i="4" s="1"/>
  <c r="AR239" i="8"/>
  <c r="AR239" i="4" s="1"/>
  <c r="AR240" i="8"/>
  <c r="AR240" i="4" s="1"/>
  <c r="AR241" i="8"/>
  <c r="AR241" i="4" s="1"/>
  <c r="AR242" i="8"/>
  <c r="AR242" i="4" s="1"/>
  <c r="AR243" i="8"/>
  <c r="AR243" i="4" s="1"/>
  <c r="AR244" i="8"/>
  <c r="AR244" i="4" s="1"/>
  <c r="AR245" i="8"/>
  <c r="AR245" i="4" s="1"/>
  <c r="AR246" i="8"/>
  <c r="AR246" i="4" s="1"/>
  <c r="AR247" i="8"/>
  <c r="AR247" i="4" s="1"/>
  <c r="AR248" i="8"/>
  <c r="AR248" i="4" s="1"/>
  <c r="AR249" i="8"/>
  <c r="AR249" i="4" s="1"/>
  <c r="AR250" i="8"/>
  <c r="AR250" i="4" s="1"/>
  <c r="AR251" i="8"/>
  <c r="AR251" i="4" s="1"/>
  <c r="AR252" i="8"/>
  <c r="AR252" i="4" s="1"/>
  <c r="AR253" i="8"/>
  <c r="AR253" i="4" s="1"/>
  <c r="AR254" i="8"/>
  <c r="AR254" i="4" s="1"/>
  <c r="AR255" i="8"/>
  <c r="AR255" i="4" s="1"/>
  <c r="AR256" i="8"/>
  <c r="AR256" i="4" s="1"/>
  <c r="AR257" i="8"/>
  <c r="AR257" i="4" s="1"/>
  <c r="AR258" i="8"/>
  <c r="AR258" i="4" s="1"/>
  <c r="AR259" i="8"/>
  <c r="AR259" i="4" s="1"/>
  <c r="AR260" i="8"/>
  <c r="AR260" i="4" s="1"/>
  <c r="AR261" i="8"/>
  <c r="AR261" i="4" s="1"/>
  <c r="AR262" i="8"/>
  <c r="AR262" i="4" s="1"/>
  <c r="AR263" i="8"/>
  <c r="AR263" i="4" s="1"/>
  <c r="AR264" i="8"/>
  <c r="AR264" i="4" s="1"/>
  <c r="AR265" i="8"/>
  <c r="AR265" i="4" s="1"/>
  <c r="AR266" i="8"/>
  <c r="AR267" i="8"/>
  <c r="AR267" i="4" s="1"/>
  <c r="AR268" i="8"/>
  <c r="AR268" i="4" s="1"/>
  <c r="AR269" i="8"/>
  <c r="AR269" i="4" s="1"/>
  <c r="AR270" i="8"/>
  <c r="AR270" i="4" s="1"/>
  <c r="AR271" i="8"/>
  <c r="AR271" i="4" s="1"/>
  <c r="AR272" i="8"/>
  <c r="AR272" i="4" s="1"/>
  <c r="AR273" i="8"/>
  <c r="AR273" i="4" s="1"/>
  <c r="AR274" i="8"/>
  <c r="AR274" i="4" s="1"/>
  <c r="AR275" i="8"/>
  <c r="AR275" i="4" s="1"/>
  <c r="AQ140" i="8"/>
  <c r="AQ140" i="4" s="1"/>
  <c r="AQ141" i="8"/>
  <c r="AQ141" i="4" s="1"/>
  <c r="AQ142" i="8"/>
  <c r="AQ142" i="4" s="1"/>
  <c r="AQ143" i="8"/>
  <c r="AQ143" i="4" s="1"/>
  <c r="AQ144" i="8"/>
  <c r="AQ144" i="4" s="1"/>
  <c r="AQ145" i="8"/>
  <c r="AQ145" i="4" s="1"/>
  <c r="AQ146" i="8"/>
  <c r="AQ146" i="4" s="1"/>
  <c r="AQ147" i="8"/>
  <c r="AQ147" i="4" s="1"/>
  <c r="AQ148" i="8"/>
  <c r="AQ148" i="4" s="1"/>
  <c r="AQ149" i="8"/>
  <c r="AQ149" i="4" s="1"/>
  <c r="AQ150" i="8"/>
  <c r="AQ150" i="4" s="1"/>
  <c r="AQ151" i="8"/>
  <c r="AQ151" i="4" s="1"/>
  <c r="AQ152" i="8"/>
  <c r="AQ152" i="4" s="1"/>
  <c r="AQ153" i="8"/>
  <c r="AQ153" i="4" s="1"/>
  <c r="AQ154" i="8"/>
  <c r="AQ154" i="4" s="1"/>
  <c r="AQ155" i="8"/>
  <c r="AQ155" i="4" s="1"/>
  <c r="AQ156" i="8"/>
  <c r="AQ156" i="4" s="1"/>
  <c r="AQ157" i="8"/>
  <c r="AQ157" i="4" s="1"/>
  <c r="AQ158" i="8"/>
  <c r="AQ158" i="4" s="1"/>
  <c r="AQ159" i="8"/>
  <c r="AQ159" i="4" s="1"/>
  <c r="AQ160" i="8"/>
  <c r="AQ160" i="4" s="1"/>
  <c r="AQ161" i="8"/>
  <c r="AQ161" i="4" s="1"/>
  <c r="AQ162" i="8"/>
  <c r="AQ162" i="4" s="1"/>
  <c r="AQ163" i="8"/>
  <c r="AQ163" i="4" s="1"/>
  <c r="AQ164" i="8"/>
  <c r="AQ164" i="4" s="1"/>
  <c r="AQ165" i="8"/>
  <c r="AQ165" i="4" s="1"/>
  <c r="AQ166" i="8"/>
  <c r="AQ166" i="4" s="1"/>
  <c r="AQ167" i="8"/>
  <c r="AQ167" i="4" s="1"/>
  <c r="AQ168" i="8"/>
  <c r="AQ168" i="4" s="1"/>
  <c r="AQ169" i="8"/>
  <c r="AQ169" i="4" s="1"/>
  <c r="AQ170" i="8"/>
  <c r="AQ170" i="4" s="1"/>
  <c r="AQ171" i="8"/>
  <c r="AQ171" i="4" s="1"/>
  <c r="AQ172" i="8"/>
  <c r="AQ172" i="4" s="1"/>
  <c r="AQ173" i="8"/>
  <c r="AQ174" i="8"/>
  <c r="AQ174" i="4" s="1"/>
  <c r="AQ175" i="8"/>
  <c r="AQ175" i="4" s="1"/>
  <c r="AQ176" i="8"/>
  <c r="AQ176" i="4" s="1"/>
  <c r="AQ177" i="8"/>
  <c r="AQ177" i="4" s="1"/>
  <c r="AQ178" i="8"/>
  <c r="AQ178" i="4" s="1"/>
  <c r="AQ179" i="8"/>
  <c r="AQ179" i="4" s="1"/>
  <c r="AQ180" i="8"/>
  <c r="AQ180" i="4" s="1"/>
  <c r="AQ181" i="8"/>
  <c r="AQ181" i="4" s="1"/>
  <c r="AQ182" i="8"/>
  <c r="AQ182" i="4" s="1"/>
  <c r="AQ183" i="8"/>
  <c r="AQ183" i="4" s="1"/>
  <c r="AQ184" i="8"/>
  <c r="AQ184" i="4" s="1"/>
  <c r="AQ185" i="8"/>
  <c r="AQ185" i="4" s="1"/>
  <c r="AQ186" i="8"/>
  <c r="AQ186" i="4" s="1"/>
  <c r="AQ187" i="8"/>
  <c r="AQ187" i="4" s="1"/>
  <c r="AQ188" i="8"/>
  <c r="AQ188" i="4" s="1"/>
  <c r="AQ189" i="8"/>
  <c r="AQ189" i="4" s="1"/>
  <c r="AQ190" i="8"/>
  <c r="AQ190" i="4" s="1"/>
  <c r="AQ191" i="8"/>
  <c r="AQ191" i="4" s="1"/>
  <c r="AQ192" i="8"/>
  <c r="AQ192" i="4" s="1"/>
  <c r="AQ193" i="8"/>
  <c r="AQ193" i="4" s="1"/>
  <c r="AQ194" i="8"/>
  <c r="AQ194" i="4" s="1"/>
  <c r="AQ195" i="8"/>
  <c r="AQ195" i="4" s="1"/>
  <c r="AQ196" i="8"/>
  <c r="AQ196" i="4" s="1"/>
  <c r="AQ197" i="8"/>
  <c r="AQ197" i="4" s="1"/>
  <c r="AQ198" i="8"/>
  <c r="AQ198" i="4" s="1"/>
  <c r="AQ199" i="8"/>
  <c r="AQ199" i="4" s="1"/>
  <c r="AQ200" i="8"/>
  <c r="AQ200" i="4" s="1"/>
  <c r="AQ201" i="8"/>
  <c r="AQ201" i="4" s="1"/>
  <c r="AQ202" i="8"/>
  <c r="AQ202" i="4" s="1"/>
  <c r="AQ203" i="8"/>
  <c r="AQ203" i="4" s="1"/>
  <c r="AQ204" i="8"/>
  <c r="AQ204" i="4" s="1"/>
  <c r="AQ205" i="8"/>
  <c r="AQ205" i="4" s="1"/>
  <c r="AQ206" i="8"/>
  <c r="AQ206" i="4" s="1"/>
  <c r="AQ207" i="8"/>
  <c r="AQ207" i="4" s="1"/>
  <c r="AQ208" i="8"/>
  <c r="AQ208" i="4" s="1"/>
  <c r="AQ209" i="8"/>
  <c r="AQ209" i="4" s="1"/>
  <c r="AQ210" i="8"/>
  <c r="AQ210" i="4" s="1"/>
  <c r="AQ211" i="8"/>
  <c r="AQ211" i="4" s="1"/>
  <c r="AQ212" i="8"/>
  <c r="AQ212" i="4" s="1"/>
  <c r="AQ213" i="8"/>
  <c r="AQ213" i="4" s="1"/>
  <c r="AQ214" i="8"/>
  <c r="AQ214" i="4" s="1"/>
  <c r="AQ215" i="8"/>
  <c r="AQ216" i="8"/>
  <c r="AQ216" i="4" s="1"/>
  <c r="AQ217" i="8"/>
  <c r="AQ217" i="4" s="1"/>
  <c r="AQ218" i="8"/>
  <c r="AQ218" i="4" s="1"/>
  <c r="AQ219" i="8"/>
  <c r="AQ219" i="4" s="1"/>
  <c r="AQ220" i="8"/>
  <c r="AQ220" i="4" s="1"/>
  <c r="AQ221" i="8"/>
  <c r="AQ221" i="4" s="1"/>
  <c r="AQ222" i="8"/>
  <c r="AQ222" i="4" s="1"/>
  <c r="AQ223" i="8"/>
  <c r="AQ223" i="4" s="1"/>
  <c r="AQ224" i="8"/>
  <c r="AQ224" i="4" s="1"/>
  <c r="AQ225" i="8"/>
  <c r="AQ225" i="4" s="1"/>
  <c r="AQ226" i="8"/>
  <c r="AQ226" i="4" s="1"/>
  <c r="AQ227" i="8"/>
  <c r="AQ228" i="8"/>
  <c r="AQ228" i="4" s="1"/>
  <c r="AQ229" i="8"/>
  <c r="AQ229" i="4" s="1"/>
  <c r="AQ230" i="8"/>
  <c r="AQ230" i="4" s="1"/>
  <c r="AQ231" i="8"/>
  <c r="AQ231" i="4" s="1"/>
  <c r="AQ232" i="8"/>
  <c r="AQ232" i="4" s="1"/>
  <c r="AQ233" i="8"/>
  <c r="AQ233" i="4" s="1"/>
  <c r="AQ234" i="8"/>
  <c r="AQ234" i="4" s="1"/>
  <c r="AQ235" i="8"/>
  <c r="AQ235" i="4" s="1"/>
  <c r="AQ236" i="8"/>
  <c r="AQ236" i="4" s="1"/>
  <c r="AQ237" i="8"/>
  <c r="AQ237" i="4" s="1"/>
  <c r="AQ238" i="8"/>
  <c r="AQ238" i="4" s="1"/>
  <c r="AQ239" i="8"/>
  <c r="AQ239" i="4" s="1"/>
  <c r="AQ240" i="8"/>
  <c r="AQ240" i="4" s="1"/>
  <c r="AQ241" i="8"/>
  <c r="AQ241" i="4" s="1"/>
  <c r="AQ242" i="8"/>
  <c r="AQ242" i="4" s="1"/>
  <c r="AQ243" i="8"/>
  <c r="AQ243" i="4" s="1"/>
  <c r="AQ244" i="8"/>
  <c r="AQ244" i="4" s="1"/>
  <c r="AQ245" i="8"/>
  <c r="AQ245" i="4" s="1"/>
  <c r="AQ246" i="8"/>
  <c r="AQ246" i="4" s="1"/>
  <c r="AQ247" i="8"/>
  <c r="AQ247" i="4" s="1"/>
  <c r="AQ248" i="8"/>
  <c r="AQ248" i="4" s="1"/>
  <c r="AQ249" i="8"/>
  <c r="AQ249" i="4" s="1"/>
  <c r="AQ250" i="8"/>
  <c r="AQ250" i="4" s="1"/>
  <c r="AQ251" i="8"/>
  <c r="AQ251" i="4" s="1"/>
  <c r="AQ252" i="8"/>
  <c r="AQ252" i="4" s="1"/>
  <c r="AQ253" i="8"/>
  <c r="AQ253" i="4" s="1"/>
  <c r="AQ254" i="8"/>
  <c r="AQ254" i="4" s="1"/>
  <c r="AQ255" i="8"/>
  <c r="AQ255" i="4" s="1"/>
  <c r="AQ256" i="8"/>
  <c r="AQ256" i="4" s="1"/>
  <c r="AQ257" i="8"/>
  <c r="AQ257" i="4" s="1"/>
  <c r="AQ258" i="8"/>
  <c r="AQ258" i="4" s="1"/>
  <c r="AQ259" i="8"/>
  <c r="AQ259" i="4" s="1"/>
  <c r="AQ260" i="8"/>
  <c r="AQ260" i="4" s="1"/>
  <c r="AQ261" i="8"/>
  <c r="AQ261" i="4" s="1"/>
  <c r="AQ262" i="8"/>
  <c r="AQ262" i="4" s="1"/>
  <c r="AQ263" i="8"/>
  <c r="AQ263" i="4" s="1"/>
  <c r="AQ264" i="8"/>
  <c r="AQ264" i="4" s="1"/>
  <c r="AQ265" i="8"/>
  <c r="AQ265" i="4" s="1"/>
  <c r="AQ266" i="8"/>
  <c r="AQ267" i="8"/>
  <c r="AQ267" i="4" s="1"/>
  <c r="AQ268" i="8"/>
  <c r="AQ268" i="4" s="1"/>
  <c r="AQ269" i="8"/>
  <c r="AQ269" i="4" s="1"/>
  <c r="AQ270" i="8"/>
  <c r="AQ270" i="4" s="1"/>
  <c r="AQ271" i="8"/>
  <c r="AQ271" i="4" s="1"/>
  <c r="AQ272" i="8"/>
  <c r="AQ272" i="4" s="1"/>
  <c r="AQ273" i="8"/>
  <c r="AQ273" i="4" s="1"/>
  <c r="AQ274" i="8"/>
  <c r="AQ274" i="4" s="1"/>
  <c r="AQ275" i="8"/>
  <c r="AQ275" i="4" s="1"/>
  <c r="AP140" i="8"/>
  <c r="AP140" i="4" s="1"/>
  <c r="AP141" i="8"/>
  <c r="AP141" i="4" s="1"/>
  <c r="AP142" i="8"/>
  <c r="AP142" i="4" s="1"/>
  <c r="AP143" i="8"/>
  <c r="AP143" i="4" s="1"/>
  <c r="AP144" i="8"/>
  <c r="AP144" i="4" s="1"/>
  <c r="AP145" i="8"/>
  <c r="AP145" i="4" s="1"/>
  <c r="AP146" i="8"/>
  <c r="AP146" i="4" s="1"/>
  <c r="AP147" i="8"/>
  <c r="AP147" i="4" s="1"/>
  <c r="AP148" i="8"/>
  <c r="AP148" i="4" s="1"/>
  <c r="AP149" i="8"/>
  <c r="AP149" i="4" s="1"/>
  <c r="AP150" i="8"/>
  <c r="AP150" i="4" s="1"/>
  <c r="AP151" i="8"/>
  <c r="AP151" i="4" s="1"/>
  <c r="AP152" i="8"/>
  <c r="AP152" i="4" s="1"/>
  <c r="AP153" i="8"/>
  <c r="AP153" i="4" s="1"/>
  <c r="AP154" i="8"/>
  <c r="AP154" i="4" s="1"/>
  <c r="AP155" i="8"/>
  <c r="AP155" i="4" s="1"/>
  <c r="AP156" i="8"/>
  <c r="AP156" i="4" s="1"/>
  <c r="AP157" i="8"/>
  <c r="AP157" i="4" s="1"/>
  <c r="AP158" i="8"/>
  <c r="AP158" i="4" s="1"/>
  <c r="AP159" i="8"/>
  <c r="AP159" i="4" s="1"/>
  <c r="AP160" i="8"/>
  <c r="AP160" i="4" s="1"/>
  <c r="AP161" i="8"/>
  <c r="AP161" i="4" s="1"/>
  <c r="AP162" i="8"/>
  <c r="AP162" i="4" s="1"/>
  <c r="AP163" i="8"/>
  <c r="AP163" i="4" s="1"/>
  <c r="AP164" i="8"/>
  <c r="AP164" i="4" s="1"/>
  <c r="AP165" i="8"/>
  <c r="AP165" i="4" s="1"/>
  <c r="AP166" i="8"/>
  <c r="AP166" i="4" s="1"/>
  <c r="AP167" i="8"/>
  <c r="AP167" i="4" s="1"/>
  <c r="AP168" i="8"/>
  <c r="AP168" i="4" s="1"/>
  <c r="AP169" i="8"/>
  <c r="AP169" i="4" s="1"/>
  <c r="AP170" i="8"/>
  <c r="AP170" i="4" s="1"/>
  <c r="AP171" i="8"/>
  <c r="AP171" i="4" s="1"/>
  <c r="AP172" i="8"/>
  <c r="AP172" i="4" s="1"/>
  <c r="AP173" i="8"/>
  <c r="AP174" i="8"/>
  <c r="AP174" i="4" s="1"/>
  <c r="AP175" i="8"/>
  <c r="AP175" i="4" s="1"/>
  <c r="AP176" i="8"/>
  <c r="AP176" i="4" s="1"/>
  <c r="AP177" i="8"/>
  <c r="AP177" i="4" s="1"/>
  <c r="AP178" i="8"/>
  <c r="AP178" i="4" s="1"/>
  <c r="AP179" i="8"/>
  <c r="AP179" i="4" s="1"/>
  <c r="AP180" i="8"/>
  <c r="AP180" i="4" s="1"/>
  <c r="AP181" i="8"/>
  <c r="AP181" i="4" s="1"/>
  <c r="AP182" i="8"/>
  <c r="AP182" i="4" s="1"/>
  <c r="AP183" i="8"/>
  <c r="AP183" i="4" s="1"/>
  <c r="AP184" i="8"/>
  <c r="AP184" i="4" s="1"/>
  <c r="AP185" i="8"/>
  <c r="AP185" i="4" s="1"/>
  <c r="AP186" i="8"/>
  <c r="AP186" i="4" s="1"/>
  <c r="AP187" i="8"/>
  <c r="AP187" i="4" s="1"/>
  <c r="AP188" i="8"/>
  <c r="AP188" i="4" s="1"/>
  <c r="AP189" i="8"/>
  <c r="AP189" i="4" s="1"/>
  <c r="AP190" i="8"/>
  <c r="AP190" i="4" s="1"/>
  <c r="AP191" i="8"/>
  <c r="AP191" i="4" s="1"/>
  <c r="AP192" i="8"/>
  <c r="AP192" i="4" s="1"/>
  <c r="AP193" i="8"/>
  <c r="AP193" i="4" s="1"/>
  <c r="AP194" i="8"/>
  <c r="AP194" i="4" s="1"/>
  <c r="AP195" i="8"/>
  <c r="AP195" i="4" s="1"/>
  <c r="AP196" i="8"/>
  <c r="AP196" i="4" s="1"/>
  <c r="AP197" i="8"/>
  <c r="AP197" i="4" s="1"/>
  <c r="AP198" i="8"/>
  <c r="AP198" i="4" s="1"/>
  <c r="AP199" i="8"/>
  <c r="AP199" i="4" s="1"/>
  <c r="AP200" i="8"/>
  <c r="AP200" i="4" s="1"/>
  <c r="AP201" i="8"/>
  <c r="AP201" i="4" s="1"/>
  <c r="AP202" i="8"/>
  <c r="AP202" i="4" s="1"/>
  <c r="AP203" i="8"/>
  <c r="AP203" i="4" s="1"/>
  <c r="AP204" i="8"/>
  <c r="AP204" i="4" s="1"/>
  <c r="AP205" i="8"/>
  <c r="AP205" i="4" s="1"/>
  <c r="AP206" i="8"/>
  <c r="AP206" i="4" s="1"/>
  <c r="AP207" i="8"/>
  <c r="AP207" i="4" s="1"/>
  <c r="AP208" i="8"/>
  <c r="AP208" i="4" s="1"/>
  <c r="AP209" i="8"/>
  <c r="AP209" i="4" s="1"/>
  <c r="AP210" i="8"/>
  <c r="AP210" i="4" s="1"/>
  <c r="AP211" i="8"/>
  <c r="AP211" i="4" s="1"/>
  <c r="AP212" i="8"/>
  <c r="AP212" i="4" s="1"/>
  <c r="AP213" i="8"/>
  <c r="AP213" i="4" s="1"/>
  <c r="AP214" i="8"/>
  <c r="AP214" i="4" s="1"/>
  <c r="AP215" i="8"/>
  <c r="AP216" i="8"/>
  <c r="AP216" i="4" s="1"/>
  <c r="AP217" i="8"/>
  <c r="AP217" i="4" s="1"/>
  <c r="AP218" i="8"/>
  <c r="AP218" i="4" s="1"/>
  <c r="AP219" i="8"/>
  <c r="AP219" i="4" s="1"/>
  <c r="AP220" i="8"/>
  <c r="AP220" i="4" s="1"/>
  <c r="AP221" i="8"/>
  <c r="AP221" i="4" s="1"/>
  <c r="AP222" i="8"/>
  <c r="AP222" i="4" s="1"/>
  <c r="AP223" i="8"/>
  <c r="AP223" i="4" s="1"/>
  <c r="AP224" i="8"/>
  <c r="AP224" i="4" s="1"/>
  <c r="AP225" i="8"/>
  <c r="AP225" i="4" s="1"/>
  <c r="AP226" i="8"/>
  <c r="AP226" i="4" s="1"/>
  <c r="AP227" i="8"/>
  <c r="AP228" i="8"/>
  <c r="AP228" i="4" s="1"/>
  <c r="AP229" i="8"/>
  <c r="AP229" i="4" s="1"/>
  <c r="AP230" i="8"/>
  <c r="AP230" i="4" s="1"/>
  <c r="AP231" i="8"/>
  <c r="AP231" i="4" s="1"/>
  <c r="AP232" i="8"/>
  <c r="AP232" i="4" s="1"/>
  <c r="AP233" i="8"/>
  <c r="AP233" i="4" s="1"/>
  <c r="AP234" i="8"/>
  <c r="AP234" i="4" s="1"/>
  <c r="AP235" i="8"/>
  <c r="AP235" i="4" s="1"/>
  <c r="AP236" i="8"/>
  <c r="AP236" i="4" s="1"/>
  <c r="AP237" i="8"/>
  <c r="AP237" i="4" s="1"/>
  <c r="AP238" i="8"/>
  <c r="AP238" i="4" s="1"/>
  <c r="AP239" i="8"/>
  <c r="AP239" i="4" s="1"/>
  <c r="AP240" i="8"/>
  <c r="AP240" i="4" s="1"/>
  <c r="AP241" i="8"/>
  <c r="AP241" i="4" s="1"/>
  <c r="AP242" i="8"/>
  <c r="AP242" i="4" s="1"/>
  <c r="AP243" i="8"/>
  <c r="AP243" i="4" s="1"/>
  <c r="AP244" i="8"/>
  <c r="AP244" i="4" s="1"/>
  <c r="AP245" i="8"/>
  <c r="AP245" i="4" s="1"/>
  <c r="AP246" i="8"/>
  <c r="AP246" i="4" s="1"/>
  <c r="AP247" i="8"/>
  <c r="AP247" i="4" s="1"/>
  <c r="AP248" i="8"/>
  <c r="AP248" i="4" s="1"/>
  <c r="AP249" i="8"/>
  <c r="AP249" i="4" s="1"/>
  <c r="AP250" i="8"/>
  <c r="AP250" i="4" s="1"/>
  <c r="AP251" i="8"/>
  <c r="AP251" i="4" s="1"/>
  <c r="AP252" i="8"/>
  <c r="AP252" i="4" s="1"/>
  <c r="AP253" i="8"/>
  <c r="AP253" i="4" s="1"/>
  <c r="AP254" i="8"/>
  <c r="AP254" i="4" s="1"/>
  <c r="AP255" i="8"/>
  <c r="AP255" i="4" s="1"/>
  <c r="AP256" i="8"/>
  <c r="AP256" i="4" s="1"/>
  <c r="AP257" i="8"/>
  <c r="AP257" i="4" s="1"/>
  <c r="AP258" i="8"/>
  <c r="AP258" i="4" s="1"/>
  <c r="AP259" i="8"/>
  <c r="AP259" i="4" s="1"/>
  <c r="AP260" i="8"/>
  <c r="AP260" i="4" s="1"/>
  <c r="AP261" i="8"/>
  <c r="AP261" i="4" s="1"/>
  <c r="AP262" i="8"/>
  <c r="AP262" i="4" s="1"/>
  <c r="AP263" i="8"/>
  <c r="AP263" i="4" s="1"/>
  <c r="AP264" i="8"/>
  <c r="AP264" i="4" s="1"/>
  <c r="AP265" i="8"/>
  <c r="AP265" i="4" s="1"/>
  <c r="AP266" i="8"/>
  <c r="AP267" i="8"/>
  <c r="AP267" i="4" s="1"/>
  <c r="AP268" i="8"/>
  <c r="AP268" i="4" s="1"/>
  <c r="AP269" i="8"/>
  <c r="AP269" i="4" s="1"/>
  <c r="AP270" i="8"/>
  <c r="AP270" i="4" s="1"/>
  <c r="AP271" i="8"/>
  <c r="AP271" i="4" s="1"/>
  <c r="AP272" i="8"/>
  <c r="AP272" i="4" s="1"/>
  <c r="AP273" i="8"/>
  <c r="AP273" i="4" s="1"/>
  <c r="AP274" i="8"/>
  <c r="AP274" i="4" s="1"/>
  <c r="AP275" i="8"/>
  <c r="AP275" i="4" s="1"/>
  <c r="AO140" i="8"/>
  <c r="AO140" i="4" s="1"/>
  <c r="AO141" i="8"/>
  <c r="AO141" i="4" s="1"/>
  <c r="AO142" i="8"/>
  <c r="AO142" i="4" s="1"/>
  <c r="AO143" i="8"/>
  <c r="AO143" i="4" s="1"/>
  <c r="AO144" i="8"/>
  <c r="AO144" i="4" s="1"/>
  <c r="AO145" i="8"/>
  <c r="AO145" i="4" s="1"/>
  <c r="AO146" i="8"/>
  <c r="AO146" i="4" s="1"/>
  <c r="AO147" i="8"/>
  <c r="AO147" i="4" s="1"/>
  <c r="AO148" i="8"/>
  <c r="AO148" i="4" s="1"/>
  <c r="AO149" i="8"/>
  <c r="AO149" i="4" s="1"/>
  <c r="AO150" i="8"/>
  <c r="AO150" i="4" s="1"/>
  <c r="AO151" i="8"/>
  <c r="AO151" i="4" s="1"/>
  <c r="AO152" i="8"/>
  <c r="AO152" i="4" s="1"/>
  <c r="AO153" i="8"/>
  <c r="AO153" i="4" s="1"/>
  <c r="AO154" i="8"/>
  <c r="AO154" i="4" s="1"/>
  <c r="AO155" i="8"/>
  <c r="AO155" i="4" s="1"/>
  <c r="AO156" i="8"/>
  <c r="AO156" i="4" s="1"/>
  <c r="AO157" i="8"/>
  <c r="AO157" i="4" s="1"/>
  <c r="AO158" i="8"/>
  <c r="AO158" i="4" s="1"/>
  <c r="AO159" i="8"/>
  <c r="AO159" i="4" s="1"/>
  <c r="AO160" i="8"/>
  <c r="AO160" i="4" s="1"/>
  <c r="AO161" i="8"/>
  <c r="AO161" i="4" s="1"/>
  <c r="AO162" i="8"/>
  <c r="AO162" i="4" s="1"/>
  <c r="AO163" i="8"/>
  <c r="AO163" i="4" s="1"/>
  <c r="AO164" i="8"/>
  <c r="AO164" i="4" s="1"/>
  <c r="AO165" i="8"/>
  <c r="AO165" i="4" s="1"/>
  <c r="AO166" i="8"/>
  <c r="AO166" i="4" s="1"/>
  <c r="AO167" i="8"/>
  <c r="AO167" i="4" s="1"/>
  <c r="AO168" i="8"/>
  <c r="AO168" i="4" s="1"/>
  <c r="AO169" i="8"/>
  <c r="AO169" i="4" s="1"/>
  <c r="AO170" i="8"/>
  <c r="AO170" i="4" s="1"/>
  <c r="AO171" i="8"/>
  <c r="AO171" i="4" s="1"/>
  <c r="AO172" i="8"/>
  <c r="AO172" i="4" s="1"/>
  <c r="AO173" i="8"/>
  <c r="AO174" i="8"/>
  <c r="AO174" i="4" s="1"/>
  <c r="AO175" i="8"/>
  <c r="AO175" i="4" s="1"/>
  <c r="AO176" i="8"/>
  <c r="AO176" i="4" s="1"/>
  <c r="AO177" i="8"/>
  <c r="AO177" i="4" s="1"/>
  <c r="AO178" i="8"/>
  <c r="AO178" i="4" s="1"/>
  <c r="AO179" i="8"/>
  <c r="AO179" i="4" s="1"/>
  <c r="AO180" i="8"/>
  <c r="AO180" i="4" s="1"/>
  <c r="AO181" i="8"/>
  <c r="AO181" i="4" s="1"/>
  <c r="AO182" i="8"/>
  <c r="AO182" i="4" s="1"/>
  <c r="AO183" i="8"/>
  <c r="AO183" i="4" s="1"/>
  <c r="AO184" i="8"/>
  <c r="AO184" i="4" s="1"/>
  <c r="AO185" i="8"/>
  <c r="AO185" i="4" s="1"/>
  <c r="AO186" i="8"/>
  <c r="AO186" i="4" s="1"/>
  <c r="AO187" i="8"/>
  <c r="AO187" i="4" s="1"/>
  <c r="AO188" i="8"/>
  <c r="AO188" i="4" s="1"/>
  <c r="AO189" i="8"/>
  <c r="AO189" i="4" s="1"/>
  <c r="AO190" i="8"/>
  <c r="AO190" i="4" s="1"/>
  <c r="AO191" i="8"/>
  <c r="AO191" i="4" s="1"/>
  <c r="AO192" i="8"/>
  <c r="AO192" i="4" s="1"/>
  <c r="AO193" i="8"/>
  <c r="AO193" i="4" s="1"/>
  <c r="AO194" i="8"/>
  <c r="AO194" i="4" s="1"/>
  <c r="AO195" i="8"/>
  <c r="AO195" i="4" s="1"/>
  <c r="AO196" i="8"/>
  <c r="AO196" i="4" s="1"/>
  <c r="AO197" i="8"/>
  <c r="AO197" i="4" s="1"/>
  <c r="AO198" i="8"/>
  <c r="AO198" i="4" s="1"/>
  <c r="AO199" i="8"/>
  <c r="AO199" i="4" s="1"/>
  <c r="AO200" i="8"/>
  <c r="AO200" i="4" s="1"/>
  <c r="AO201" i="8"/>
  <c r="AO201" i="4" s="1"/>
  <c r="AO202" i="8"/>
  <c r="AO202" i="4" s="1"/>
  <c r="AO203" i="8"/>
  <c r="AO203" i="4" s="1"/>
  <c r="AO204" i="8"/>
  <c r="AO204" i="4" s="1"/>
  <c r="AO205" i="8"/>
  <c r="AO205" i="4" s="1"/>
  <c r="AO206" i="8"/>
  <c r="AO206" i="4" s="1"/>
  <c r="AO207" i="8"/>
  <c r="AO207" i="4" s="1"/>
  <c r="AO208" i="8"/>
  <c r="AO208" i="4" s="1"/>
  <c r="AO209" i="8"/>
  <c r="AO209" i="4" s="1"/>
  <c r="AO210" i="8"/>
  <c r="AO210" i="4" s="1"/>
  <c r="AO211" i="8"/>
  <c r="AO211" i="4" s="1"/>
  <c r="AO212" i="8"/>
  <c r="AO212" i="4" s="1"/>
  <c r="AO213" i="8"/>
  <c r="AO213" i="4" s="1"/>
  <c r="AO214" i="8"/>
  <c r="AO214" i="4" s="1"/>
  <c r="AO215" i="8"/>
  <c r="AO216" i="8"/>
  <c r="AO216" i="4" s="1"/>
  <c r="AO217" i="8"/>
  <c r="AO217" i="4" s="1"/>
  <c r="AO218" i="8"/>
  <c r="AO218" i="4" s="1"/>
  <c r="AO219" i="8"/>
  <c r="AO219" i="4" s="1"/>
  <c r="AO220" i="8"/>
  <c r="AO220" i="4" s="1"/>
  <c r="AO221" i="8"/>
  <c r="AO221" i="4" s="1"/>
  <c r="AO222" i="8"/>
  <c r="AO222" i="4" s="1"/>
  <c r="AO223" i="8"/>
  <c r="AO223" i="4" s="1"/>
  <c r="AO224" i="8"/>
  <c r="AO224" i="4" s="1"/>
  <c r="AO225" i="8"/>
  <c r="AO225" i="4" s="1"/>
  <c r="AO226" i="8"/>
  <c r="AO226" i="4" s="1"/>
  <c r="AO227" i="8"/>
  <c r="AO228" i="8"/>
  <c r="AO228" i="4" s="1"/>
  <c r="AO229" i="8"/>
  <c r="AO229" i="4" s="1"/>
  <c r="AO230" i="8"/>
  <c r="AO230" i="4" s="1"/>
  <c r="AO231" i="8"/>
  <c r="AO231" i="4" s="1"/>
  <c r="AO232" i="8"/>
  <c r="AO232" i="4" s="1"/>
  <c r="AO233" i="8"/>
  <c r="AO233" i="4" s="1"/>
  <c r="AO234" i="8"/>
  <c r="AO234" i="4" s="1"/>
  <c r="AO235" i="8"/>
  <c r="AO235" i="4" s="1"/>
  <c r="AO236" i="8"/>
  <c r="AO236" i="4" s="1"/>
  <c r="AO237" i="8"/>
  <c r="AO237" i="4" s="1"/>
  <c r="AO238" i="8"/>
  <c r="AO238" i="4" s="1"/>
  <c r="AO239" i="8"/>
  <c r="AO239" i="4" s="1"/>
  <c r="AO240" i="8"/>
  <c r="AO240" i="4" s="1"/>
  <c r="AO241" i="8"/>
  <c r="AO241" i="4" s="1"/>
  <c r="AO242" i="8"/>
  <c r="AO242" i="4" s="1"/>
  <c r="AO243" i="8"/>
  <c r="AO243" i="4" s="1"/>
  <c r="AO244" i="8"/>
  <c r="AO244" i="4" s="1"/>
  <c r="AO245" i="8"/>
  <c r="AO245" i="4" s="1"/>
  <c r="AO246" i="8"/>
  <c r="AO246" i="4" s="1"/>
  <c r="AO247" i="8"/>
  <c r="AO247" i="4" s="1"/>
  <c r="AO248" i="8"/>
  <c r="AO248" i="4" s="1"/>
  <c r="AO249" i="8"/>
  <c r="AO249" i="4" s="1"/>
  <c r="AO250" i="8"/>
  <c r="AO250" i="4" s="1"/>
  <c r="AO251" i="8"/>
  <c r="AO251" i="4" s="1"/>
  <c r="AO252" i="8"/>
  <c r="AO252" i="4" s="1"/>
  <c r="AO253" i="8"/>
  <c r="AO253" i="4" s="1"/>
  <c r="AO254" i="8"/>
  <c r="AO254" i="4" s="1"/>
  <c r="AO255" i="8"/>
  <c r="AO255" i="4" s="1"/>
  <c r="AO256" i="8"/>
  <c r="AO256" i="4" s="1"/>
  <c r="AO257" i="8"/>
  <c r="AO257" i="4" s="1"/>
  <c r="AO258" i="8"/>
  <c r="AO258" i="4" s="1"/>
  <c r="AO259" i="8"/>
  <c r="AO259" i="4" s="1"/>
  <c r="AO260" i="8"/>
  <c r="AO260" i="4" s="1"/>
  <c r="AO261" i="8"/>
  <c r="AO261" i="4" s="1"/>
  <c r="AO262" i="8"/>
  <c r="AO262" i="4" s="1"/>
  <c r="AO263" i="8"/>
  <c r="AO263" i="4" s="1"/>
  <c r="AO264" i="8"/>
  <c r="AO264" i="4" s="1"/>
  <c r="AO265" i="8"/>
  <c r="AO265" i="4" s="1"/>
  <c r="AO266" i="8"/>
  <c r="AO267" i="8"/>
  <c r="AO267" i="4" s="1"/>
  <c r="AO268" i="8"/>
  <c r="AO268" i="4" s="1"/>
  <c r="AO269" i="8"/>
  <c r="AO269" i="4" s="1"/>
  <c r="AO270" i="8"/>
  <c r="AO270" i="4" s="1"/>
  <c r="AO271" i="8"/>
  <c r="AO271" i="4" s="1"/>
  <c r="AO272" i="8"/>
  <c r="AO272" i="4" s="1"/>
  <c r="AO273" i="8"/>
  <c r="AO273" i="4" s="1"/>
  <c r="AO274" i="8"/>
  <c r="AO274" i="4" s="1"/>
  <c r="AO275" i="8"/>
  <c r="AO275" i="4" s="1"/>
  <c r="AN140" i="8"/>
  <c r="AN140" i="4" s="1"/>
  <c r="AN141" i="8"/>
  <c r="AN141" i="4" s="1"/>
  <c r="AN142" i="8"/>
  <c r="AN142" i="4" s="1"/>
  <c r="AN143" i="8"/>
  <c r="AN143" i="4" s="1"/>
  <c r="AN144" i="8"/>
  <c r="AN144" i="4" s="1"/>
  <c r="AN145" i="8"/>
  <c r="AN145" i="4" s="1"/>
  <c r="AN146" i="8"/>
  <c r="AN146" i="4" s="1"/>
  <c r="AN147" i="8"/>
  <c r="AN147" i="4" s="1"/>
  <c r="AN148" i="8"/>
  <c r="AN148" i="4" s="1"/>
  <c r="AN149" i="8"/>
  <c r="AN149" i="4" s="1"/>
  <c r="AN150" i="8"/>
  <c r="AN150" i="4" s="1"/>
  <c r="AN151" i="8"/>
  <c r="AN151" i="4" s="1"/>
  <c r="AN152" i="8"/>
  <c r="AN152" i="4" s="1"/>
  <c r="AN153" i="8"/>
  <c r="AN153" i="4" s="1"/>
  <c r="AN154" i="8"/>
  <c r="AN154" i="4" s="1"/>
  <c r="AN155" i="8"/>
  <c r="AN155" i="4" s="1"/>
  <c r="AN156" i="8"/>
  <c r="AN156" i="4" s="1"/>
  <c r="AN157" i="8"/>
  <c r="AN157" i="4" s="1"/>
  <c r="AN158" i="8"/>
  <c r="AN158" i="4" s="1"/>
  <c r="AN159" i="8"/>
  <c r="AN159" i="4" s="1"/>
  <c r="AN160" i="8"/>
  <c r="AN160" i="4" s="1"/>
  <c r="AN161" i="8"/>
  <c r="AN161" i="4" s="1"/>
  <c r="AN162" i="8"/>
  <c r="AN162" i="4" s="1"/>
  <c r="AN163" i="8"/>
  <c r="AN163" i="4" s="1"/>
  <c r="AN164" i="8"/>
  <c r="AN164" i="4" s="1"/>
  <c r="AN165" i="8"/>
  <c r="AN165" i="4" s="1"/>
  <c r="AN166" i="8"/>
  <c r="AN166" i="4" s="1"/>
  <c r="AN167" i="8"/>
  <c r="AN167" i="4" s="1"/>
  <c r="AN168" i="8"/>
  <c r="AN168" i="4" s="1"/>
  <c r="AN169" i="8"/>
  <c r="AN169" i="4" s="1"/>
  <c r="AN170" i="8"/>
  <c r="AN170" i="4" s="1"/>
  <c r="AN171" i="8"/>
  <c r="AN171" i="4" s="1"/>
  <c r="AN172" i="8"/>
  <c r="AN172" i="4" s="1"/>
  <c r="AN173" i="8"/>
  <c r="AN174" i="8"/>
  <c r="AN174" i="4" s="1"/>
  <c r="AN175" i="8"/>
  <c r="AN175" i="4" s="1"/>
  <c r="AN176" i="8"/>
  <c r="AN176" i="4" s="1"/>
  <c r="AN177" i="8"/>
  <c r="AN177" i="4" s="1"/>
  <c r="AN178" i="8"/>
  <c r="AN178" i="4" s="1"/>
  <c r="AN179" i="8"/>
  <c r="AN179" i="4" s="1"/>
  <c r="AN180" i="8"/>
  <c r="AN180" i="4" s="1"/>
  <c r="AN181" i="8"/>
  <c r="AN181" i="4" s="1"/>
  <c r="AN182" i="8"/>
  <c r="AN182" i="4" s="1"/>
  <c r="AN183" i="8"/>
  <c r="AN183" i="4" s="1"/>
  <c r="AN184" i="8"/>
  <c r="AN184" i="4" s="1"/>
  <c r="AN185" i="8"/>
  <c r="AN185" i="4" s="1"/>
  <c r="AN186" i="8"/>
  <c r="AN186" i="4" s="1"/>
  <c r="AN187" i="8"/>
  <c r="AN187" i="4" s="1"/>
  <c r="AN188" i="8"/>
  <c r="AN188" i="4" s="1"/>
  <c r="AN189" i="8"/>
  <c r="AN189" i="4" s="1"/>
  <c r="AN190" i="8"/>
  <c r="AN190" i="4" s="1"/>
  <c r="AN191" i="8"/>
  <c r="AN191" i="4" s="1"/>
  <c r="AN192" i="8"/>
  <c r="AN192" i="4" s="1"/>
  <c r="AN193" i="8"/>
  <c r="AN193" i="4" s="1"/>
  <c r="AN194" i="8"/>
  <c r="AN194" i="4" s="1"/>
  <c r="AN195" i="8"/>
  <c r="AN195" i="4" s="1"/>
  <c r="AN196" i="8"/>
  <c r="AN196" i="4" s="1"/>
  <c r="AN197" i="8"/>
  <c r="AN197" i="4" s="1"/>
  <c r="AN198" i="8"/>
  <c r="AN198" i="4" s="1"/>
  <c r="AN199" i="8"/>
  <c r="AN199" i="4" s="1"/>
  <c r="AN200" i="8"/>
  <c r="AN200" i="4" s="1"/>
  <c r="AN201" i="8"/>
  <c r="AN201" i="4" s="1"/>
  <c r="AN202" i="8"/>
  <c r="AN202" i="4" s="1"/>
  <c r="AN203" i="8"/>
  <c r="AN203" i="4" s="1"/>
  <c r="AN204" i="8"/>
  <c r="AN204" i="4" s="1"/>
  <c r="AN205" i="8"/>
  <c r="AN205" i="4" s="1"/>
  <c r="AN206" i="8"/>
  <c r="AN206" i="4" s="1"/>
  <c r="AN207" i="8"/>
  <c r="AN207" i="4" s="1"/>
  <c r="AN208" i="8"/>
  <c r="AN208" i="4" s="1"/>
  <c r="AN209" i="8"/>
  <c r="AN209" i="4" s="1"/>
  <c r="AN210" i="8"/>
  <c r="AN210" i="4" s="1"/>
  <c r="AN211" i="8"/>
  <c r="AN211" i="4" s="1"/>
  <c r="AN212" i="8"/>
  <c r="AN212" i="4" s="1"/>
  <c r="AN213" i="8"/>
  <c r="AN213" i="4" s="1"/>
  <c r="AN214" i="8"/>
  <c r="AN214" i="4" s="1"/>
  <c r="AN215" i="8"/>
  <c r="AN216" i="8"/>
  <c r="AN216" i="4" s="1"/>
  <c r="AN217" i="8"/>
  <c r="AN217" i="4" s="1"/>
  <c r="AN218" i="8"/>
  <c r="AN218" i="4" s="1"/>
  <c r="AN219" i="8"/>
  <c r="AN219" i="4" s="1"/>
  <c r="AN220" i="8"/>
  <c r="AN220" i="4" s="1"/>
  <c r="AN221" i="8"/>
  <c r="AN221" i="4" s="1"/>
  <c r="AN222" i="8"/>
  <c r="AN222" i="4" s="1"/>
  <c r="AN223" i="8"/>
  <c r="AN223" i="4" s="1"/>
  <c r="AN224" i="8"/>
  <c r="AN224" i="4" s="1"/>
  <c r="AN225" i="8"/>
  <c r="AN225" i="4" s="1"/>
  <c r="AN226" i="8"/>
  <c r="AN226" i="4" s="1"/>
  <c r="AN227" i="8"/>
  <c r="AN228" i="8"/>
  <c r="AN228" i="4" s="1"/>
  <c r="AN229" i="8"/>
  <c r="AN229" i="4" s="1"/>
  <c r="AN230" i="8"/>
  <c r="AN230" i="4" s="1"/>
  <c r="AN231" i="8"/>
  <c r="AN231" i="4" s="1"/>
  <c r="AN232" i="8"/>
  <c r="AN232" i="4" s="1"/>
  <c r="AN233" i="8"/>
  <c r="AN233" i="4" s="1"/>
  <c r="AN234" i="8"/>
  <c r="AN234" i="4" s="1"/>
  <c r="AN235" i="8"/>
  <c r="AN235" i="4" s="1"/>
  <c r="AN236" i="8"/>
  <c r="AN236" i="4" s="1"/>
  <c r="AN237" i="8"/>
  <c r="AN237" i="4" s="1"/>
  <c r="AN238" i="8"/>
  <c r="AN238" i="4" s="1"/>
  <c r="AN239" i="8"/>
  <c r="AN239" i="4" s="1"/>
  <c r="AN240" i="8"/>
  <c r="AN240" i="4" s="1"/>
  <c r="AN241" i="8"/>
  <c r="AN241" i="4" s="1"/>
  <c r="AN242" i="8"/>
  <c r="AN242" i="4" s="1"/>
  <c r="AN243" i="8"/>
  <c r="AN243" i="4" s="1"/>
  <c r="AN244" i="8"/>
  <c r="AN244" i="4" s="1"/>
  <c r="AN245" i="8"/>
  <c r="AN245" i="4" s="1"/>
  <c r="AN246" i="8"/>
  <c r="AN246" i="4" s="1"/>
  <c r="AN247" i="8"/>
  <c r="AN247" i="4" s="1"/>
  <c r="AN248" i="8"/>
  <c r="AN248" i="4" s="1"/>
  <c r="AN249" i="8"/>
  <c r="AN249" i="4" s="1"/>
  <c r="AN250" i="8"/>
  <c r="AN250" i="4" s="1"/>
  <c r="AN251" i="8"/>
  <c r="AN251" i="4" s="1"/>
  <c r="AN252" i="8"/>
  <c r="AN252" i="4" s="1"/>
  <c r="AN253" i="8"/>
  <c r="AN253" i="4" s="1"/>
  <c r="AN254" i="8"/>
  <c r="AN254" i="4" s="1"/>
  <c r="AN255" i="8"/>
  <c r="AN255" i="4" s="1"/>
  <c r="AN256" i="8"/>
  <c r="AN256" i="4" s="1"/>
  <c r="AN257" i="8"/>
  <c r="AN257" i="4" s="1"/>
  <c r="AN258" i="8"/>
  <c r="AN258" i="4" s="1"/>
  <c r="AN259" i="8"/>
  <c r="AN259" i="4" s="1"/>
  <c r="AN260" i="8"/>
  <c r="AN260" i="4" s="1"/>
  <c r="AN261" i="8"/>
  <c r="AN261" i="4" s="1"/>
  <c r="AN262" i="8"/>
  <c r="AN262" i="4" s="1"/>
  <c r="AN263" i="8"/>
  <c r="AN263" i="4" s="1"/>
  <c r="AN264" i="8"/>
  <c r="AN264" i="4" s="1"/>
  <c r="AN265" i="8"/>
  <c r="AN265" i="4" s="1"/>
  <c r="AN266" i="8"/>
  <c r="AN267" i="8"/>
  <c r="AN267" i="4" s="1"/>
  <c r="AN268" i="8"/>
  <c r="AN268" i="4" s="1"/>
  <c r="AN269" i="8"/>
  <c r="AN269" i="4" s="1"/>
  <c r="AN270" i="8"/>
  <c r="AN270" i="4" s="1"/>
  <c r="AN271" i="8"/>
  <c r="AN271" i="4" s="1"/>
  <c r="AN272" i="8"/>
  <c r="AN272" i="4" s="1"/>
  <c r="AN273" i="8"/>
  <c r="AN273" i="4" s="1"/>
  <c r="AN274" i="8"/>
  <c r="AN274" i="4" s="1"/>
  <c r="AN275" i="8"/>
  <c r="AN275" i="4" s="1"/>
  <c r="AM140" i="8"/>
  <c r="AM140" i="4" s="1"/>
  <c r="AM141" i="8"/>
  <c r="AM141" i="4" s="1"/>
  <c r="AM142" i="8"/>
  <c r="AM142" i="4" s="1"/>
  <c r="AM143" i="8"/>
  <c r="AM143" i="4" s="1"/>
  <c r="AM144" i="8"/>
  <c r="AM144" i="4" s="1"/>
  <c r="AM145" i="8"/>
  <c r="AM145" i="4" s="1"/>
  <c r="AM146" i="8"/>
  <c r="AM146" i="4" s="1"/>
  <c r="AM147" i="8"/>
  <c r="AM147" i="4" s="1"/>
  <c r="AM148" i="8"/>
  <c r="AM148" i="4" s="1"/>
  <c r="AM149" i="8"/>
  <c r="AM149" i="4" s="1"/>
  <c r="AM150" i="8"/>
  <c r="AM150" i="4" s="1"/>
  <c r="AM151" i="8"/>
  <c r="AM151" i="4" s="1"/>
  <c r="AM152" i="8"/>
  <c r="AM152" i="4" s="1"/>
  <c r="AM153" i="8"/>
  <c r="AM153" i="4" s="1"/>
  <c r="AM154" i="8"/>
  <c r="AM154" i="4" s="1"/>
  <c r="AM155" i="8"/>
  <c r="AM155" i="4" s="1"/>
  <c r="AM156" i="8"/>
  <c r="AM156" i="4" s="1"/>
  <c r="AM157" i="8"/>
  <c r="AM157" i="4" s="1"/>
  <c r="AM158" i="8"/>
  <c r="AM158" i="4" s="1"/>
  <c r="AM159" i="8"/>
  <c r="AM159" i="4" s="1"/>
  <c r="AM160" i="8"/>
  <c r="AM160" i="4" s="1"/>
  <c r="AM161" i="8"/>
  <c r="AM161" i="4" s="1"/>
  <c r="AM162" i="8"/>
  <c r="AM162" i="4" s="1"/>
  <c r="AM163" i="8"/>
  <c r="AM163" i="4" s="1"/>
  <c r="AM164" i="8"/>
  <c r="AM164" i="4" s="1"/>
  <c r="AM165" i="8"/>
  <c r="AM165" i="4" s="1"/>
  <c r="AM166" i="8"/>
  <c r="AM166" i="4" s="1"/>
  <c r="AM167" i="8"/>
  <c r="AM167" i="4" s="1"/>
  <c r="AM168" i="8"/>
  <c r="AM168" i="4" s="1"/>
  <c r="AM169" i="8"/>
  <c r="AM169" i="4" s="1"/>
  <c r="AM170" i="8"/>
  <c r="AM170" i="4" s="1"/>
  <c r="AM171" i="8"/>
  <c r="AM171" i="4" s="1"/>
  <c r="AM172" i="8"/>
  <c r="AM172" i="4" s="1"/>
  <c r="AM173" i="8"/>
  <c r="AM174" i="8"/>
  <c r="AM174" i="4" s="1"/>
  <c r="AM175" i="8"/>
  <c r="AM175" i="4" s="1"/>
  <c r="AM176" i="8"/>
  <c r="AM176" i="4" s="1"/>
  <c r="AM177" i="8"/>
  <c r="AM177" i="4" s="1"/>
  <c r="AM178" i="8"/>
  <c r="AM178" i="4" s="1"/>
  <c r="AM179" i="8"/>
  <c r="AM179" i="4" s="1"/>
  <c r="AM180" i="8"/>
  <c r="AM180" i="4" s="1"/>
  <c r="AM181" i="8"/>
  <c r="AM181" i="4" s="1"/>
  <c r="AM182" i="8"/>
  <c r="AM182" i="4" s="1"/>
  <c r="AM183" i="8"/>
  <c r="AM183" i="4" s="1"/>
  <c r="AM184" i="8"/>
  <c r="AM184" i="4" s="1"/>
  <c r="AM185" i="8"/>
  <c r="AM185" i="4" s="1"/>
  <c r="AM186" i="8"/>
  <c r="AM186" i="4" s="1"/>
  <c r="AM187" i="8"/>
  <c r="AM187" i="4" s="1"/>
  <c r="AM188" i="8"/>
  <c r="AM188" i="4" s="1"/>
  <c r="AM189" i="8"/>
  <c r="AM189" i="4" s="1"/>
  <c r="AM190" i="8"/>
  <c r="AM190" i="4" s="1"/>
  <c r="AM191" i="8"/>
  <c r="AM191" i="4" s="1"/>
  <c r="AM192" i="8"/>
  <c r="AM192" i="4" s="1"/>
  <c r="AM193" i="8"/>
  <c r="AM193" i="4" s="1"/>
  <c r="AM194" i="8"/>
  <c r="AM194" i="4" s="1"/>
  <c r="AM195" i="8"/>
  <c r="AM195" i="4" s="1"/>
  <c r="AM196" i="8"/>
  <c r="AM196" i="4" s="1"/>
  <c r="AM197" i="8"/>
  <c r="AM197" i="4" s="1"/>
  <c r="AM198" i="8"/>
  <c r="AM198" i="4" s="1"/>
  <c r="AM199" i="8"/>
  <c r="AM199" i="4" s="1"/>
  <c r="AM200" i="8"/>
  <c r="AM200" i="4" s="1"/>
  <c r="AM201" i="8"/>
  <c r="AM201" i="4" s="1"/>
  <c r="AM202" i="8"/>
  <c r="AM202" i="4" s="1"/>
  <c r="AM203" i="8"/>
  <c r="AM203" i="4" s="1"/>
  <c r="AM204" i="8"/>
  <c r="AM204" i="4" s="1"/>
  <c r="AM205" i="8"/>
  <c r="AM205" i="4" s="1"/>
  <c r="AM206" i="8"/>
  <c r="AM206" i="4" s="1"/>
  <c r="AM207" i="8"/>
  <c r="AM207" i="4" s="1"/>
  <c r="AM208" i="8"/>
  <c r="AM208" i="4" s="1"/>
  <c r="AM209" i="8"/>
  <c r="AM209" i="4" s="1"/>
  <c r="AM210" i="8"/>
  <c r="AM210" i="4" s="1"/>
  <c r="AM211" i="8"/>
  <c r="AM211" i="4" s="1"/>
  <c r="AM212" i="8"/>
  <c r="AM212" i="4" s="1"/>
  <c r="AM213" i="8"/>
  <c r="AM213" i="4" s="1"/>
  <c r="AM214" i="8"/>
  <c r="AM214" i="4" s="1"/>
  <c r="AM215" i="8"/>
  <c r="AM216" i="8"/>
  <c r="AM216" i="4" s="1"/>
  <c r="AM217" i="8"/>
  <c r="AM217" i="4" s="1"/>
  <c r="AM218" i="8"/>
  <c r="AM218" i="4" s="1"/>
  <c r="AM219" i="8"/>
  <c r="AM219" i="4" s="1"/>
  <c r="AM220" i="8"/>
  <c r="AM220" i="4" s="1"/>
  <c r="AM221" i="8"/>
  <c r="AM221" i="4" s="1"/>
  <c r="AM222" i="8"/>
  <c r="AM222" i="4" s="1"/>
  <c r="AM223" i="8"/>
  <c r="AM223" i="4" s="1"/>
  <c r="AM224" i="8"/>
  <c r="AM224" i="4" s="1"/>
  <c r="AM225" i="8"/>
  <c r="AM225" i="4" s="1"/>
  <c r="AM226" i="8"/>
  <c r="AM226" i="4" s="1"/>
  <c r="AM227" i="8"/>
  <c r="AM228" i="8"/>
  <c r="AM228" i="4" s="1"/>
  <c r="AM229" i="8"/>
  <c r="AM229" i="4" s="1"/>
  <c r="AM230" i="8"/>
  <c r="AM230" i="4" s="1"/>
  <c r="AM231" i="8"/>
  <c r="AM231" i="4" s="1"/>
  <c r="AM232" i="8"/>
  <c r="AM232" i="4" s="1"/>
  <c r="AM233" i="8"/>
  <c r="AM233" i="4" s="1"/>
  <c r="AM234" i="8"/>
  <c r="AM234" i="4" s="1"/>
  <c r="AM235" i="8"/>
  <c r="AM235" i="4" s="1"/>
  <c r="AM236" i="8"/>
  <c r="AM236" i="4" s="1"/>
  <c r="AM237" i="8"/>
  <c r="AM237" i="4" s="1"/>
  <c r="AM238" i="8"/>
  <c r="AM238" i="4" s="1"/>
  <c r="AM239" i="8"/>
  <c r="AM239" i="4" s="1"/>
  <c r="AM240" i="8"/>
  <c r="AM240" i="4" s="1"/>
  <c r="AM241" i="8"/>
  <c r="AM241" i="4" s="1"/>
  <c r="AM242" i="8"/>
  <c r="AM242" i="4" s="1"/>
  <c r="AM243" i="8"/>
  <c r="AM243" i="4" s="1"/>
  <c r="AM244" i="8"/>
  <c r="AM244" i="4" s="1"/>
  <c r="AM245" i="8"/>
  <c r="AM245" i="4" s="1"/>
  <c r="AM246" i="8"/>
  <c r="AM246" i="4" s="1"/>
  <c r="AM247" i="8"/>
  <c r="AM247" i="4" s="1"/>
  <c r="AM248" i="8"/>
  <c r="AM248" i="4" s="1"/>
  <c r="AM249" i="8"/>
  <c r="AM249" i="4" s="1"/>
  <c r="AM250" i="8"/>
  <c r="AM250" i="4" s="1"/>
  <c r="AM251" i="8"/>
  <c r="AM251" i="4" s="1"/>
  <c r="AM252" i="8"/>
  <c r="AM252" i="4" s="1"/>
  <c r="AM253" i="8"/>
  <c r="AM253" i="4" s="1"/>
  <c r="AM254" i="8"/>
  <c r="AM254" i="4" s="1"/>
  <c r="AM255" i="8"/>
  <c r="AM255" i="4" s="1"/>
  <c r="AM256" i="8"/>
  <c r="AM256" i="4" s="1"/>
  <c r="AM257" i="8"/>
  <c r="AM257" i="4" s="1"/>
  <c r="AM258" i="8"/>
  <c r="AM258" i="4" s="1"/>
  <c r="AM259" i="8"/>
  <c r="AM259" i="4" s="1"/>
  <c r="AM260" i="8"/>
  <c r="AM260" i="4" s="1"/>
  <c r="AM261" i="8"/>
  <c r="AM261" i="4" s="1"/>
  <c r="AM262" i="8"/>
  <c r="AM262" i="4" s="1"/>
  <c r="AM263" i="8"/>
  <c r="AM263" i="4" s="1"/>
  <c r="AM264" i="8"/>
  <c r="AM264" i="4" s="1"/>
  <c r="AM265" i="8"/>
  <c r="AM265" i="4" s="1"/>
  <c r="AM266" i="8"/>
  <c r="AM267" i="8"/>
  <c r="AM267" i="4" s="1"/>
  <c r="AM268" i="8"/>
  <c r="AM268" i="4" s="1"/>
  <c r="AM269" i="8"/>
  <c r="AM269" i="4" s="1"/>
  <c r="AM270" i="8"/>
  <c r="AM270" i="4" s="1"/>
  <c r="AM271" i="8"/>
  <c r="AM271" i="4" s="1"/>
  <c r="AM272" i="8"/>
  <c r="AM272" i="4" s="1"/>
  <c r="AM273" i="8"/>
  <c r="AM273" i="4" s="1"/>
  <c r="AM274" i="8"/>
  <c r="AM274" i="4" s="1"/>
  <c r="AM275" i="8"/>
  <c r="AM275" i="4" s="1"/>
  <c r="AL140" i="8"/>
  <c r="AL140" i="4" s="1"/>
  <c r="AL141" i="8"/>
  <c r="AL141" i="4" s="1"/>
  <c r="AL142" i="8"/>
  <c r="AL142" i="4" s="1"/>
  <c r="AL143" i="8"/>
  <c r="AL143" i="4" s="1"/>
  <c r="AL144" i="8"/>
  <c r="AL144" i="4" s="1"/>
  <c r="AL145" i="8"/>
  <c r="AL145" i="4" s="1"/>
  <c r="AL146" i="8"/>
  <c r="AL146" i="4" s="1"/>
  <c r="AL147" i="8"/>
  <c r="AL147" i="4" s="1"/>
  <c r="AL148" i="8"/>
  <c r="AL148" i="4" s="1"/>
  <c r="AL149" i="8"/>
  <c r="AL149" i="4" s="1"/>
  <c r="AL150" i="8"/>
  <c r="AL150" i="4" s="1"/>
  <c r="AL151" i="8"/>
  <c r="AL151" i="4" s="1"/>
  <c r="AL152" i="8"/>
  <c r="AL152" i="4" s="1"/>
  <c r="AL153" i="8"/>
  <c r="AL153" i="4" s="1"/>
  <c r="AL154" i="8"/>
  <c r="AL154" i="4" s="1"/>
  <c r="AL155" i="8"/>
  <c r="AL155" i="4" s="1"/>
  <c r="AL156" i="8"/>
  <c r="AL156" i="4" s="1"/>
  <c r="AL157" i="8"/>
  <c r="AL157" i="4" s="1"/>
  <c r="AL158" i="8"/>
  <c r="AL158" i="4" s="1"/>
  <c r="AL159" i="8"/>
  <c r="AL159" i="4" s="1"/>
  <c r="AL160" i="8"/>
  <c r="AL160" i="4" s="1"/>
  <c r="AL161" i="8"/>
  <c r="AL161" i="4" s="1"/>
  <c r="AL162" i="8"/>
  <c r="AL162" i="4" s="1"/>
  <c r="AL163" i="8"/>
  <c r="AL163" i="4" s="1"/>
  <c r="AL164" i="8"/>
  <c r="AL164" i="4" s="1"/>
  <c r="AL165" i="8"/>
  <c r="AL165" i="4" s="1"/>
  <c r="AL166" i="8"/>
  <c r="AL166" i="4" s="1"/>
  <c r="AL167" i="8"/>
  <c r="AL167" i="4" s="1"/>
  <c r="AL168" i="8"/>
  <c r="AL168" i="4" s="1"/>
  <c r="AL169" i="8"/>
  <c r="AL169" i="4" s="1"/>
  <c r="AL170" i="8"/>
  <c r="AL170" i="4" s="1"/>
  <c r="AL171" i="8"/>
  <c r="AL171" i="4" s="1"/>
  <c r="AL172" i="8"/>
  <c r="AL172" i="4" s="1"/>
  <c r="AL173" i="8"/>
  <c r="AL174" i="8"/>
  <c r="AL174" i="4" s="1"/>
  <c r="AL175" i="8"/>
  <c r="AL175" i="4" s="1"/>
  <c r="AL176" i="8"/>
  <c r="AL176" i="4" s="1"/>
  <c r="AL177" i="8"/>
  <c r="AL177" i="4" s="1"/>
  <c r="AL178" i="8"/>
  <c r="AL178" i="4" s="1"/>
  <c r="AL179" i="8"/>
  <c r="AL179" i="4" s="1"/>
  <c r="AL180" i="8"/>
  <c r="AL180" i="4" s="1"/>
  <c r="AL181" i="8"/>
  <c r="AL181" i="4" s="1"/>
  <c r="AL182" i="8"/>
  <c r="AL182" i="4" s="1"/>
  <c r="AL183" i="8"/>
  <c r="AL183" i="4" s="1"/>
  <c r="AL184" i="8"/>
  <c r="AL184" i="4" s="1"/>
  <c r="AL185" i="8"/>
  <c r="AL185" i="4" s="1"/>
  <c r="AL186" i="8"/>
  <c r="AL186" i="4" s="1"/>
  <c r="AL187" i="8"/>
  <c r="AL187" i="4" s="1"/>
  <c r="AL188" i="8"/>
  <c r="AL188" i="4" s="1"/>
  <c r="AL189" i="8"/>
  <c r="AL189" i="4" s="1"/>
  <c r="AL190" i="8"/>
  <c r="AL190" i="4" s="1"/>
  <c r="AL191" i="8"/>
  <c r="AL191" i="4" s="1"/>
  <c r="AL192" i="8"/>
  <c r="AL192" i="4" s="1"/>
  <c r="AL193" i="8"/>
  <c r="AL193" i="4" s="1"/>
  <c r="AL194" i="8"/>
  <c r="AL194" i="4" s="1"/>
  <c r="AL195" i="8"/>
  <c r="AL195" i="4" s="1"/>
  <c r="AL196" i="8"/>
  <c r="AL196" i="4" s="1"/>
  <c r="AL197" i="8"/>
  <c r="AL197" i="4" s="1"/>
  <c r="AL198" i="8"/>
  <c r="AL198" i="4" s="1"/>
  <c r="AL199" i="8"/>
  <c r="AL199" i="4" s="1"/>
  <c r="AL200" i="8"/>
  <c r="AL200" i="4" s="1"/>
  <c r="AL201" i="8"/>
  <c r="AL201" i="4" s="1"/>
  <c r="AL202" i="8"/>
  <c r="AL202" i="4" s="1"/>
  <c r="AL203" i="8"/>
  <c r="AL203" i="4" s="1"/>
  <c r="AL204" i="8"/>
  <c r="AL204" i="4" s="1"/>
  <c r="AL205" i="8"/>
  <c r="AL205" i="4" s="1"/>
  <c r="AL206" i="8"/>
  <c r="AL206" i="4" s="1"/>
  <c r="AL207" i="8"/>
  <c r="AL207" i="4" s="1"/>
  <c r="AL208" i="8"/>
  <c r="AL208" i="4" s="1"/>
  <c r="AL209" i="8"/>
  <c r="AL209" i="4" s="1"/>
  <c r="AL210" i="8"/>
  <c r="AL210" i="4" s="1"/>
  <c r="AL211" i="8"/>
  <c r="AL211" i="4" s="1"/>
  <c r="AL212" i="8"/>
  <c r="AL212" i="4" s="1"/>
  <c r="AL213" i="8"/>
  <c r="AL213" i="4" s="1"/>
  <c r="AL214" i="8"/>
  <c r="AL214" i="4" s="1"/>
  <c r="AL215" i="8"/>
  <c r="AL216" i="8"/>
  <c r="AL216" i="4" s="1"/>
  <c r="AL217" i="8"/>
  <c r="AL217" i="4" s="1"/>
  <c r="AL218" i="8"/>
  <c r="AL218" i="4" s="1"/>
  <c r="AL219" i="8"/>
  <c r="AL219" i="4" s="1"/>
  <c r="AL220" i="8"/>
  <c r="AL220" i="4" s="1"/>
  <c r="AL221" i="8"/>
  <c r="AL221" i="4" s="1"/>
  <c r="AL222" i="8"/>
  <c r="AL222" i="4" s="1"/>
  <c r="AL223" i="8"/>
  <c r="AL223" i="4" s="1"/>
  <c r="AL224" i="8"/>
  <c r="AL224" i="4" s="1"/>
  <c r="AL225" i="8"/>
  <c r="AL225" i="4" s="1"/>
  <c r="AL226" i="8"/>
  <c r="AL226" i="4" s="1"/>
  <c r="AL227" i="8"/>
  <c r="AL228" i="8"/>
  <c r="AL228" i="4" s="1"/>
  <c r="AL229" i="8"/>
  <c r="AL229" i="4" s="1"/>
  <c r="AL230" i="8"/>
  <c r="AL230" i="4" s="1"/>
  <c r="AL231" i="8"/>
  <c r="AL231" i="4" s="1"/>
  <c r="AL232" i="8"/>
  <c r="AL232" i="4" s="1"/>
  <c r="AL233" i="8"/>
  <c r="AL233" i="4" s="1"/>
  <c r="AL234" i="8"/>
  <c r="AL234" i="4" s="1"/>
  <c r="AL235" i="8"/>
  <c r="AL235" i="4" s="1"/>
  <c r="AL236" i="8"/>
  <c r="AL236" i="4" s="1"/>
  <c r="AL237" i="8"/>
  <c r="AL237" i="4" s="1"/>
  <c r="AL238" i="8"/>
  <c r="AL238" i="4" s="1"/>
  <c r="AL239" i="8"/>
  <c r="AL239" i="4" s="1"/>
  <c r="AL240" i="8"/>
  <c r="AL240" i="4" s="1"/>
  <c r="AL241" i="8"/>
  <c r="AL241" i="4" s="1"/>
  <c r="AL242" i="8"/>
  <c r="AL242" i="4" s="1"/>
  <c r="AL243" i="8"/>
  <c r="AL243" i="4" s="1"/>
  <c r="AL244" i="8"/>
  <c r="AL244" i="4" s="1"/>
  <c r="AL245" i="8"/>
  <c r="AL245" i="4" s="1"/>
  <c r="AL246" i="8"/>
  <c r="AL246" i="4" s="1"/>
  <c r="AL247" i="8"/>
  <c r="AL247" i="4" s="1"/>
  <c r="AL248" i="8"/>
  <c r="AL248" i="4" s="1"/>
  <c r="AL249" i="8"/>
  <c r="AL249" i="4" s="1"/>
  <c r="AL250" i="8"/>
  <c r="AL250" i="4" s="1"/>
  <c r="AL251" i="8"/>
  <c r="AL251" i="4" s="1"/>
  <c r="AL252" i="8"/>
  <c r="AL252" i="4" s="1"/>
  <c r="AL253" i="8"/>
  <c r="AL253" i="4" s="1"/>
  <c r="AL254" i="8"/>
  <c r="AL254" i="4" s="1"/>
  <c r="AL255" i="8"/>
  <c r="AL255" i="4" s="1"/>
  <c r="AL256" i="8"/>
  <c r="AL256" i="4" s="1"/>
  <c r="AL257" i="8"/>
  <c r="AL257" i="4" s="1"/>
  <c r="AL258" i="8"/>
  <c r="AL258" i="4" s="1"/>
  <c r="AL259" i="8"/>
  <c r="AL259" i="4" s="1"/>
  <c r="AL260" i="8"/>
  <c r="AL260" i="4" s="1"/>
  <c r="AL261" i="8"/>
  <c r="AL261" i="4" s="1"/>
  <c r="AL262" i="8"/>
  <c r="AL262" i="4" s="1"/>
  <c r="AL263" i="8"/>
  <c r="AL263" i="4" s="1"/>
  <c r="AL264" i="8"/>
  <c r="AL264" i="4" s="1"/>
  <c r="AL265" i="8"/>
  <c r="AL265" i="4" s="1"/>
  <c r="AL266" i="8"/>
  <c r="AL267" i="8"/>
  <c r="AL267" i="4" s="1"/>
  <c r="AL268" i="8"/>
  <c r="AL268" i="4" s="1"/>
  <c r="AL269" i="8"/>
  <c r="AL269" i="4" s="1"/>
  <c r="AL270" i="8"/>
  <c r="AL270" i="4" s="1"/>
  <c r="AL271" i="8"/>
  <c r="AL271" i="4" s="1"/>
  <c r="AL272" i="8"/>
  <c r="AL272" i="4" s="1"/>
  <c r="AL273" i="8"/>
  <c r="AL273" i="4" s="1"/>
  <c r="AL274" i="8"/>
  <c r="AL274" i="4" s="1"/>
  <c r="AL275" i="8"/>
  <c r="AL275" i="4" s="1"/>
  <c r="AK140" i="8"/>
  <c r="AK140" i="4" s="1"/>
  <c r="AK141" i="8"/>
  <c r="AK141" i="4" s="1"/>
  <c r="AK142" i="8"/>
  <c r="AK142" i="4" s="1"/>
  <c r="AK143" i="8"/>
  <c r="AK143" i="4" s="1"/>
  <c r="AK144" i="8"/>
  <c r="AK144" i="4" s="1"/>
  <c r="AK145" i="8"/>
  <c r="AK145" i="4" s="1"/>
  <c r="AK146" i="8"/>
  <c r="AK146" i="4" s="1"/>
  <c r="AK147" i="8"/>
  <c r="AK147" i="4" s="1"/>
  <c r="AK148" i="8"/>
  <c r="AK148" i="4" s="1"/>
  <c r="AK149" i="8"/>
  <c r="AK149" i="4" s="1"/>
  <c r="AK150" i="8"/>
  <c r="AK150" i="4" s="1"/>
  <c r="AK151" i="8"/>
  <c r="AK151" i="4" s="1"/>
  <c r="AK152" i="8"/>
  <c r="AK152" i="4" s="1"/>
  <c r="AK153" i="8"/>
  <c r="AK153" i="4" s="1"/>
  <c r="AK154" i="8"/>
  <c r="AK154" i="4" s="1"/>
  <c r="AK155" i="8"/>
  <c r="AK155" i="4" s="1"/>
  <c r="AK156" i="8"/>
  <c r="AK156" i="4" s="1"/>
  <c r="AK157" i="8"/>
  <c r="AK157" i="4" s="1"/>
  <c r="AK158" i="8"/>
  <c r="AK158" i="4" s="1"/>
  <c r="AK159" i="8"/>
  <c r="AK159" i="4" s="1"/>
  <c r="AK160" i="8"/>
  <c r="AK160" i="4" s="1"/>
  <c r="AK161" i="8"/>
  <c r="AK161" i="4" s="1"/>
  <c r="AK162" i="8"/>
  <c r="AK162" i="4" s="1"/>
  <c r="AK163" i="8"/>
  <c r="AK163" i="4" s="1"/>
  <c r="AK164" i="8"/>
  <c r="AK164" i="4" s="1"/>
  <c r="AK165" i="8"/>
  <c r="AK165" i="4" s="1"/>
  <c r="AK166" i="8"/>
  <c r="AK166" i="4" s="1"/>
  <c r="AK167" i="8"/>
  <c r="AK167" i="4" s="1"/>
  <c r="AK168" i="8"/>
  <c r="AK168" i="4" s="1"/>
  <c r="AK169" i="8"/>
  <c r="AK169" i="4" s="1"/>
  <c r="AK170" i="8"/>
  <c r="AK170" i="4" s="1"/>
  <c r="AK171" i="8"/>
  <c r="AK171" i="4" s="1"/>
  <c r="AK172" i="8"/>
  <c r="AK172" i="4" s="1"/>
  <c r="AK173" i="8"/>
  <c r="AK174" i="8"/>
  <c r="AK174" i="4" s="1"/>
  <c r="AK175" i="8"/>
  <c r="AK175" i="4" s="1"/>
  <c r="AK176" i="8"/>
  <c r="AK176" i="4" s="1"/>
  <c r="AK177" i="8"/>
  <c r="AK177" i="4" s="1"/>
  <c r="AK178" i="8"/>
  <c r="AK178" i="4" s="1"/>
  <c r="AK179" i="8"/>
  <c r="AK179" i="4" s="1"/>
  <c r="AK180" i="8"/>
  <c r="AK180" i="4" s="1"/>
  <c r="AK181" i="8"/>
  <c r="AK181" i="4" s="1"/>
  <c r="AK182" i="8"/>
  <c r="AK182" i="4" s="1"/>
  <c r="AK183" i="8"/>
  <c r="AK183" i="4" s="1"/>
  <c r="AK184" i="8"/>
  <c r="AK184" i="4" s="1"/>
  <c r="AK185" i="8"/>
  <c r="AK185" i="4" s="1"/>
  <c r="AK186" i="8"/>
  <c r="AK186" i="4" s="1"/>
  <c r="AK187" i="8"/>
  <c r="AK187" i="4" s="1"/>
  <c r="AK188" i="8"/>
  <c r="AK188" i="4" s="1"/>
  <c r="AK189" i="8"/>
  <c r="AK189" i="4" s="1"/>
  <c r="AK190" i="8"/>
  <c r="AK190" i="4" s="1"/>
  <c r="AK191" i="8"/>
  <c r="AK191" i="4" s="1"/>
  <c r="AK192" i="8"/>
  <c r="AK192" i="4" s="1"/>
  <c r="AK193" i="8"/>
  <c r="AK193" i="4" s="1"/>
  <c r="AK194" i="8"/>
  <c r="AK194" i="4" s="1"/>
  <c r="AK195" i="8"/>
  <c r="AK195" i="4" s="1"/>
  <c r="AK196" i="8"/>
  <c r="AK196" i="4" s="1"/>
  <c r="AK197" i="8"/>
  <c r="AK197" i="4" s="1"/>
  <c r="AK198" i="8"/>
  <c r="AK198" i="4" s="1"/>
  <c r="AK199" i="8"/>
  <c r="AK199" i="4" s="1"/>
  <c r="AK200" i="8"/>
  <c r="AK200" i="4" s="1"/>
  <c r="AK201" i="8"/>
  <c r="AK201" i="4" s="1"/>
  <c r="AK202" i="8"/>
  <c r="AK202" i="4" s="1"/>
  <c r="AK203" i="8"/>
  <c r="AK203" i="4" s="1"/>
  <c r="AK204" i="8"/>
  <c r="AK204" i="4" s="1"/>
  <c r="AK205" i="8"/>
  <c r="AK205" i="4" s="1"/>
  <c r="AK206" i="8"/>
  <c r="AK206" i="4" s="1"/>
  <c r="AK207" i="8"/>
  <c r="AK207" i="4" s="1"/>
  <c r="AK208" i="8"/>
  <c r="AK208" i="4" s="1"/>
  <c r="AK209" i="8"/>
  <c r="AK209" i="4" s="1"/>
  <c r="AK210" i="8"/>
  <c r="AK210" i="4" s="1"/>
  <c r="AK211" i="8"/>
  <c r="AK211" i="4" s="1"/>
  <c r="AK212" i="8"/>
  <c r="AK212" i="4" s="1"/>
  <c r="AK213" i="8"/>
  <c r="AK213" i="4" s="1"/>
  <c r="AK214" i="8"/>
  <c r="AK214" i="4" s="1"/>
  <c r="AK215" i="8"/>
  <c r="AK216" i="8"/>
  <c r="AK216" i="4" s="1"/>
  <c r="AK217" i="8"/>
  <c r="AK217" i="4" s="1"/>
  <c r="AK218" i="8"/>
  <c r="AK218" i="4" s="1"/>
  <c r="AK219" i="8"/>
  <c r="AK219" i="4" s="1"/>
  <c r="AK220" i="8"/>
  <c r="AK220" i="4" s="1"/>
  <c r="AK221" i="8"/>
  <c r="AK221" i="4" s="1"/>
  <c r="AK222" i="8"/>
  <c r="AK222" i="4" s="1"/>
  <c r="AK223" i="8"/>
  <c r="AK223" i="4" s="1"/>
  <c r="AK224" i="8"/>
  <c r="AK224" i="4" s="1"/>
  <c r="AK225" i="8"/>
  <c r="AK225" i="4" s="1"/>
  <c r="AK226" i="8"/>
  <c r="AK226" i="4" s="1"/>
  <c r="AK227" i="8"/>
  <c r="AK228" i="8"/>
  <c r="AK228" i="4" s="1"/>
  <c r="AK229" i="8"/>
  <c r="AK229" i="4" s="1"/>
  <c r="AK230" i="8"/>
  <c r="AK230" i="4" s="1"/>
  <c r="AK231" i="8"/>
  <c r="AK231" i="4" s="1"/>
  <c r="AK232" i="8"/>
  <c r="AK232" i="4" s="1"/>
  <c r="AK233" i="8"/>
  <c r="AK233" i="4" s="1"/>
  <c r="AK234" i="8"/>
  <c r="AK234" i="4" s="1"/>
  <c r="AK235" i="8"/>
  <c r="AK235" i="4" s="1"/>
  <c r="AK236" i="8"/>
  <c r="AK236" i="4" s="1"/>
  <c r="AK237" i="8"/>
  <c r="AK237" i="4" s="1"/>
  <c r="AK238" i="8"/>
  <c r="AK238" i="4" s="1"/>
  <c r="AK239" i="8"/>
  <c r="AK239" i="4" s="1"/>
  <c r="AK240" i="8"/>
  <c r="AK240" i="4" s="1"/>
  <c r="AK241" i="8"/>
  <c r="AK241" i="4" s="1"/>
  <c r="AK242" i="8"/>
  <c r="AK242" i="4" s="1"/>
  <c r="AK243" i="8"/>
  <c r="AK243" i="4" s="1"/>
  <c r="AK244" i="8"/>
  <c r="AK244" i="4" s="1"/>
  <c r="AK245" i="8"/>
  <c r="AK245" i="4" s="1"/>
  <c r="AK246" i="8"/>
  <c r="AK246" i="4" s="1"/>
  <c r="AK247" i="8"/>
  <c r="AK247" i="4" s="1"/>
  <c r="AK248" i="8"/>
  <c r="AK248" i="4" s="1"/>
  <c r="AK249" i="8"/>
  <c r="AK249" i="4" s="1"/>
  <c r="AK250" i="8"/>
  <c r="AK250" i="4" s="1"/>
  <c r="AK251" i="8"/>
  <c r="AK251" i="4" s="1"/>
  <c r="AK252" i="8"/>
  <c r="AK252" i="4" s="1"/>
  <c r="AK253" i="8"/>
  <c r="AK253" i="4" s="1"/>
  <c r="AK254" i="8"/>
  <c r="AK254" i="4" s="1"/>
  <c r="AK255" i="8"/>
  <c r="AK255" i="4" s="1"/>
  <c r="AK256" i="8"/>
  <c r="AK256" i="4" s="1"/>
  <c r="AK257" i="8"/>
  <c r="AK257" i="4" s="1"/>
  <c r="AK258" i="8"/>
  <c r="AK258" i="4" s="1"/>
  <c r="AK259" i="8"/>
  <c r="AK259" i="4" s="1"/>
  <c r="AK260" i="8"/>
  <c r="AK260" i="4" s="1"/>
  <c r="AK261" i="8"/>
  <c r="AK261" i="4" s="1"/>
  <c r="AK262" i="8"/>
  <c r="AK262" i="4" s="1"/>
  <c r="AK263" i="8"/>
  <c r="AK263" i="4" s="1"/>
  <c r="AK264" i="8"/>
  <c r="AK264" i="4" s="1"/>
  <c r="AK265" i="8"/>
  <c r="AK265" i="4" s="1"/>
  <c r="AK266" i="8"/>
  <c r="AK267" i="8"/>
  <c r="AK267" i="4" s="1"/>
  <c r="AK268" i="8"/>
  <c r="AK268" i="4" s="1"/>
  <c r="AK269" i="8"/>
  <c r="AK269" i="4" s="1"/>
  <c r="AK270" i="8"/>
  <c r="AK270" i="4" s="1"/>
  <c r="AK271" i="8"/>
  <c r="AK271" i="4" s="1"/>
  <c r="AK272" i="8"/>
  <c r="AK272" i="4" s="1"/>
  <c r="AK273" i="8"/>
  <c r="AK273" i="4" s="1"/>
  <c r="AK274" i="8"/>
  <c r="AK274" i="4" s="1"/>
  <c r="AK275" i="8"/>
  <c r="AK275" i="4" s="1"/>
  <c r="AJ140" i="8"/>
  <c r="AJ140" i="4" s="1"/>
  <c r="AJ141" i="8"/>
  <c r="AJ141" i="4" s="1"/>
  <c r="AJ142" i="8"/>
  <c r="AJ142" i="4" s="1"/>
  <c r="AJ143" i="8"/>
  <c r="AJ143" i="4" s="1"/>
  <c r="AJ144" i="8"/>
  <c r="AJ144" i="4" s="1"/>
  <c r="AJ145" i="8"/>
  <c r="AJ145" i="4" s="1"/>
  <c r="AJ146" i="8"/>
  <c r="AJ146" i="4" s="1"/>
  <c r="AJ147" i="8"/>
  <c r="AJ147" i="4" s="1"/>
  <c r="AJ148" i="8"/>
  <c r="AJ148" i="4" s="1"/>
  <c r="AJ149" i="8"/>
  <c r="AJ149" i="4" s="1"/>
  <c r="AJ150" i="8"/>
  <c r="AJ150" i="4" s="1"/>
  <c r="AJ151" i="8"/>
  <c r="AJ151" i="4" s="1"/>
  <c r="AJ152" i="8"/>
  <c r="AJ152" i="4" s="1"/>
  <c r="AJ153" i="8"/>
  <c r="AJ153" i="4" s="1"/>
  <c r="AJ154" i="8"/>
  <c r="AJ154" i="4" s="1"/>
  <c r="AJ155" i="8"/>
  <c r="AJ155" i="4" s="1"/>
  <c r="AJ156" i="8"/>
  <c r="AJ156" i="4" s="1"/>
  <c r="AJ157" i="8"/>
  <c r="AJ157" i="4" s="1"/>
  <c r="AJ158" i="8"/>
  <c r="AJ158" i="4" s="1"/>
  <c r="AJ159" i="8"/>
  <c r="AJ159" i="4" s="1"/>
  <c r="AJ160" i="8"/>
  <c r="AJ160" i="4" s="1"/>
  <c r="AJ161" i="8"/>
  <c r="AJ161" i="4" s="1"/>
  <c r="AJ162" i="8"/>
  <c r="AJ162" i="4" s="1"/>
  <c r="AJ163" i="8"/>
  <c r="AJ163" i="4" s="1"/>
  <c r="AJ164" i="8"/>
  <c r="AJ164" i="4" s="1"/>
  <c r="AJ165" i="8"/>
  <c r="AJ165" i="4" s="1"/>
  <c r="AJ166" i="8"/>
  <c r="AJ166" i="4" s="1"/>
  <c r="AJ167" i="8"/>
  <c r="AJ167" i="4" s="1"/>
  <c r="AJ168" i="8"/>
  <c r="AJ168" i="4" s="1"/>
  <c r="AJ169" i="8"/>
  <c r="AJ169" i="4" s="1"/>
  <c r="AJ170" i="8"/>
  <c r="AJ170" i="4" s="1"/>
  <c r="AJ171" i="8"/>
  <c r="AJ171" i="4" s="1"/>
  <c r="AJ172" i="8"/>
  <c r="AJ172" i="4" s="1"/>
  <c r="AJ173" i="8"/>
  <c r="AJ174" i="8"/>
  <c r="AJ174" i="4" s="1"/>
  <c r="AJ175" i="8"/>
  <c r="AJ175" i="4" s="1"/>
  <c r="AJ176" i="8"/>
  <c r="AJ176" i="4" s="1"/>
  <c r="AJ177" i="8"/>
  <c r="AJ177" i="4" s="1"/>
  <c r="AJ178" i="8"/>
  <c r="AJ178" i="4" s="1"/>
  <c r="AJ179" i="8"/>
  <c r="AJ179" i="4" s="1"/>
  <c r="AJ180" i="8"/>
  <c r="AJ180" i="4" s="1"/>
  <c r="AJ181" i="8"/>
  <c r="AJ181" i="4" s="1"/>
  <c r="AJ182" i="8"/>
  <c r="AJ182" i="4" s="1"/>
  <c r="AJ183" i="8"/>
  <c r="AJ183" i="4" s="1"/>
  <c r="AJ184" i="8"/>
  <c r="AJ184" i="4" s="1"/>
  <c r="AJ185" i="8"/>
  <c r="AJ185" i="4" s="1"/>
  <c r="AJ186" i="8"/>
  <c r="AJ186" i="4" s="1"/>
  <c r="AJ187" i="8"/>
  <c r="AJ187" i="4" s="1"/>
  <c r="AJ188" i="8"/>
  <c r="AJ188" i="4" s="1"/>
  <c r="AJ189" i="8"/>
  <c r="AJ189" i="4" s="1"/>
  <c r="AJ190" i="8"/>
  <c r="AJ190" i="4" s="1"/>
  <c r="AJ191" i="8"/>
  <c r="AJ191" i="4" s="1"/>
  <c r="AJ192" i="8"/>
  <c r="AJ192" i="4" s="1"/>
  <c r="AJ193" i="8"/>
  <c r="AJ193" i="4" s="1"/>
  <c r="AJ194" i="8"/>
  <c r="AJ194" i="4" s="1"/>
  <c r="AJ195" i="8"/>
  <c r="AJ195" i="4" s="1"/>
  <c r="AJ196" i="8"/>
  <c r="AJ196" i="4" s="1"/>
  <c r="AJ197" i="8"/>
  <c r="AJ197" i="4" s="1"/>
  <c r="AJ198" i="8"/>
  <c r="AJ198" i="4" s="1"/>
  <c r="AJ199" i="8"/>
  <c r="AJ199" i="4" s="1"/>
  <c r="AJ200" i="8"/>
  <c r="AJ200" i="4" s="1"/>
  <c r="AJ201" i="8"/>
  <c r="AJ201" i="4" s="1"/>
  <c r="AJ202" i="8"/>
  <c r="AJ202" i="4" s="1"/>
  <c r="AJ203" i="8"/>
  <c r="AJ203" i="4" s="1"/>
  <c r="AJ204" i="8"/>
  <c r="AJ204" i="4" s="1"/>
  <c r="AJ205" i="8"/>
  <c r="AJ205" i="4" s="1"/>
  <c r="AJ206" i="8"/>
  <c r="AJ206" i="4" s="1"/>
  <c r="AJ207" i="8"/>
  <c r="AJ207" i="4" s="1"/>
  <c r="AJ208" i="8"/>
  <c r="AJ208" i="4" s="1"/>
  <c r="AJ209" i="8"/>
  <c r="AJ209" i="4" s="1"/>
  <c r="AJ210" i="8"/>
  <c r="AJ210" i="4" s="1"/>
  <c r="AJ211" i="8"/>
  <c r="AJ211" i="4" s="1"/>
  <c r="AJ212" i="8"/>
  <c r="AJ212" i="4" s="1"/>
  <c r="AJ213" i="8"/>
  <c r="AJ213" i="4" s="1"/>
  <c r="AJ214" i="8"/>
  <c r="AJ214" i="4" s="1"/>
  <c r="AJ215" i="8"/>
  <c r="AJ216" i="8"/>
  <c r="AJ216" i="4" s="1"/>
  <c r="AJ217" i="8"/>
  <c r="AJ217" i="4" s="1"/>
  <c r="AJ218" i="8"/>
  <c r="AJ218" i="4" s="1"/>
  <c r="AJ219" i="8"/>
  <c r="AJ219" i="4" s="1"/>
  <c r="AJ220" i="8"/>
  <c r="AJ220" i="4" s="1"/>
  <c r="AJ221" i="8"/>
  <c r="AJ221" i="4" s="1"/>
  <c r="AJ222" i="8"/>
  <c r="AJ222" i="4" s="1"/>
  <c r="AJ223" i="8"/>
  <c r="AJ223" i="4" s="1"/>
  <c r="AJ224" i="8"/>
  <c r="AJ224" i="4" s="1"/>
  <c r="AJ225" i="8"/>
  <c r="AJ225" i="4" s="1"/>
  <c r="AJ226" i="8"/>
  <c r="AJ226" i="4" s="1"/>
  <c r="AJ227" i="8"/>
  <c r="AJ228" i="8"/>
  <c r="AJ228" i="4" s="1"/>
  <c r="AJ229" i="8"/>
  <c r="AJ229" i="4" s="1"/>
  <c r="AJ230" i="8"/>
  <c r="AJ230" i="4" s="1"/>
  <c r="AJ231" i="8"/>
  <c r="AJ231" i="4" s="1"/>
  <c r="AJ232" i="8"/>
  <c r="AJ232" i="4" s="1"/>
  <c r="AJ233" i="8"/>
  <c r="AJ233" i="4" s="1"/>
  <c r="AJ234" i="8"/>
  <c r="AJ234" i="4" s="1"/>
  <c r="AJ235" i="8"/>
  <c r="AJ235" i="4" s="1"/>
  <c r="AJ236" i="8"/>
  <c r="AJ236" i="4" s="1"/>
  <c r="AJ237" i="8"/>
  <c r="AJ237" i="4" s="1"/>
  <c r="AJ238" i="8"/>
  <c r="AJ238" i="4" s="1"/>
  <c r="AJ239" i="8"/>
  <c r="AJ239" i="4" s="1"/>
  <c r="AJ240" i="8"/>
  <c r="AJ240" i="4" s="1"/>
  <c r="AJ241" i="8"/>
  <c r="AJ241" i="4" s="1"/>
  <c r="AJ242" i="8"/>
  <c r="AJ242" i="4" s="1"/>
  <c r="AJ243" i="8"/>
  <c r="AJ243" i="4" s="1"/>
  <c r="AJ244" i="8"/>
  <c r="AJ244" i="4" s="1"/>
  <c r="AJ245" i="8"/>
  <c r="AJ245" i="4" s="1"/>
  <c r="AJ246" i="8"/>
  <c r="AJ246" i="4" s="1"/>
  <c r="AJ247" i="8"/>
  <c r="AJ247" i="4" s="1"/>
  <c r="AJ248" i="8"/>
  <c r="AJ248" i="4" s="1"/>
  <c r="AJ249" i="8"/>
  <c r="AJ249" i="4" s="1"/>
  <c r="AJ250" i="8"/>
  <c r="AJ250" i="4" s="1"/>
  <c r="AJ251" i="8"/>
  <c r="AJ251" i="4" s="1"/>
  <c r="AJ252" i="8"/>
  <c r="AJ252" i="4" s="1"/>
  <c r="AJ253" i="8"/>
  <c r="AJ253" i="4" s="1"/>
  <c r="AJ254" i="8"/>
  <c r="AJ254" i="4" s="1"/>
  <c r="AJ255" i="8"/>
  <c r="AJ255" i="4" s="1"/>
  <c r="AJ256" i="8"/>
  <c r="AJ256" i="4" s="1"/>
  <c r="AJ257" i="8"/>
  <c r="AJ257" i="4" s="1"/>
  <c r="AJ258" i="8"/>
  <c r="AJ258" i="4" s="1"/>
  <c r="AJ259" i="8"/>
  <c r="AJ259" i="4" s="1"/>
  <c r="AJ260" i="8"/>
  <c r="AJ260" i="4" s="1"/>
  <c r="AJ261" i="8"/>
  <c r="AJ261" i="4" s="1"/>
  <c r="AJ262" i="8"/>
  <c r="AJ262" i="4" s="1"/>
  <c r="AJ263" i="8"/>
  <c r="AJ263" i="4" s="1"/>
  <c r="AJ264" i="8"/>
  <c r="AJ264" i="4" s="1"/>
  <c r="AJ265" i="8"/>
  <c r="AJ265" i="4" s="1"/>
  <c r="AJ266" i="8"/>
  <c r="AJ267" i="8"/>
  <c r="AJ267" i="4" s="1"/>
  <c r="AJ268" i="8"/>
  <c r="AJ268" i="4" s="1"/>
  <c r="AJ269" i="8"/>
  <c r="AJ269" i="4" s="1"/>
  <c r="AJ270" i="8"/>
  <c r="AJ270" i="4" s="1"/>
  <c r="AJ271" i="8"/>
  <c r="AJ271" i="4" s="1"/>
  <c r="AJ272" i="8"/>
  <c r="AJ272" i="4" s="1"/>
  <c r="AJ273" i="8"/>
  <c r="AJ273" i="4" s="1"/>
  <c r="AJ274" i="8"/>
  <c r="AJ274" i="4" s="1"/>
  <c r="AJ275" i="8"/>
  <c r="AJ275" i="4" s="1"/>
  <c r="AI140" i="8"/>
  <c r="AI140" i="4" s="1"/>
  <c r="AI141" i="8"/>
  <c r="AI141" i="4" s="1"/>
  <c r="AI142" i="8"/>
  <c r="AI142" i="4" s="1"/>
  <c r="AI143" i="8"/>
  <c r="AI143" i="4" s="1"/>
  <c r="AI144" i="8"/>
  <c r="AI144" i="4" s="1"/>
  <c r="AI145" i="8"/>
  <c r="AI145" i="4" s="1"/>
  <c r="AI146" i="8"/>
  <c r="AI146" i="4" s="1"/>
  <c r="AI147" i="8"/>
  <c r="AI147" i="4" s="1"/>
  <c r="AI148" i="8"/>
  <c r="AI148" i="4" s="1"/>
  <c r="AI149" i="8"/>
  <c r="AI149" i="4" s="1"/>
  <c r="AI150" i="8"/>
  <c r="AI150" i="4" s="1"/>
  <c r="AI151" i="8"/>
  <c r="AI151" i="4" s="1"/>
  <c r="AI152" i="8"/>
  <c r="AI152" i="4" s="1"/>
  <c r="AI153" i="8"/>
  <c r="AI153" i="4" s="1"/>
  <c r="AI154" i="8"/>
  <c r="AI154" i="4" s="1"/>
  <c r="AI155" i="8"/>
  <c r="AI155" i="4" s="1"/>
  <c r="AI156" i="8"/>
  <c r="AI156" i="4" s="1"/>
  <c r="AI157" i="8"/>
  <c r="AI157" i="4" s="1"/>
  <c r="AI158" i="8"/>
  <c r="AI158" i="4" s="1"/>
  <c r="AI159" i="8"/>
  <c r="AI159" i="4" s="1"/>
  <c r="AI160" i="8"/>
  <c r="AI160" i="4" s="1"/>
  <c r="AI161" i="8"/>
  <c r="AI161" i="4" s="1"/>
  <c r="AI162" i="8"/>
  <c r="AI162" i="4" s="1"/>
  <c r="AI163" i="8"/>
  <c r="AI163" i="4" s="1"/>
  <c r="AI164" i="8"/>
  <c r="AI164" i="4" s="1"/>
  <c r="AI165" i="8"/>
  <c r="AI165" i="4" s="1"/>
  <c r="AI166" i="8"/>
  <c r="AI166" i="4" s="1"/>
  <c r="AI167" i="8"/>
  <c r="AI167" i="4" s="1"/>
  <c r="AI168" i="8"/>
  <c r="AI168" i="4" s="1"/>
  <c r="AI169" i="8"/>
  <c r="AI169" i="4" s="1"/>
  <c r="AI170" i="8"/>
  <c r="AI170" i="4" s="1"/>
  <c r="AI171" i="8"/>
  <c r="AI171" i="4" s="1"/>
  <c r="AI172" i="8"/>
  <c r="AI172" i="4" s="1"/>
  <c r="AI173" i="8"/>
  <c r="AI174" i="8"/>
  <c r="AI174" i="4" s="1"/>
  <c r="AI175" i="8"/>
  <c r="AI175" i="4" s="1"/>
  <c r="AI176" i="8"/>
  <c r="AI176" i="4" s="1"/>
  <c r="AI177" i="8"/>
  <c r="AI177" i="4" s="1"/>
  <c r="AI178" i="8"/>
  <c r="AI178" i="4" s="1"/>
  <c r="AI179" i="8"/>
  <c r="AI179" i="4" s="1"/>
  <c r="AI180" i="8"/>
  <c r="AI180" i="4" s="1"/>
  <c r="AI181" i="8"/>
  <c r="AI181" i="4" s="1"/>
  <c r="AI182" i="8"/>
  <c r="AI182" i="4" s="1"/>
  <c r="AI183" i="8"/>
  <c r="AI183" i="4" s="1"/>
  <c r="AI184" i="8"/>
  <c r="AI184" i="4" s="1"/>
  <c r="AI185" i="8"/>
  <c r="AI185" i="4" s="1"/>
  <c r="AI186" i="8"/>
  <c r="AI186" i="4" s="1"/>
  <c r="AI187" i="8"/>
  <c r="AI187" i="4" s="1"/>
  <c r="AI188" i="8"/>
  <c r="AI188" i="4" s="1"/>
  <c r="AI189" i="8"/>
  <c r="AI189" i="4" s="1"/>
  <c r="AI190" i="8"/>
  <c r="AI190" i="4" s="1"/>
  <c r="AI191" i="8"/>
  <c r="AI191" i="4" s="1"/>
  <c r="AI192" i="8"/>
  <c r="AI192" i="4" s="1"/>
  <c r="AI193" i="8"/>
  <c r="AI193" i="4" s="1"/>
  <c r="AI194" i="8"/>
  <c r="AI194" i="4" s="1"/>
  <c r="AI195" i="8"/>
  <c r="AI195" i="4" s="1"/>
  <c r="AI196" i="8"/>
  <c r="AI196" i="4" s="1"/>
  <c r="AI197" i="8"/>
  <c r="AI197" i="4" s="1"/>
  <c r="AI198" i="8"/>
  <c r="AI198" i="4" s="1"/>
  <c r="AI199" i="8"/>
  <c r="AI199" i="4" s="1"/>
  <c r="AI200" i="8"/>
  <c r="AI200" i="4" s="1"/>
  <c r="AI201" i="8"/>
  <c r="AI201" i="4" s="1"/>
  <c r="AI202" i="8"/>
  <c r="AI202" i="4" s="1"/>
  <c r="AI203" i="8"/>
  <c r="AI203" i="4" s="1"/>
  <c r="AI204" i="8"/>
  <c r="AI204" i="4" s="1"/>
  <c r="AI205" i="8"/>
  <c r="AI205" i="4" s="1"/>
  <c r="AI206" i="8"/>
  <c r="AI206" i="4" s="1"/>
  <c r="AI207" i="8"/>
  <c r="AI207" i="4" s="1"/>
  <c r="AI208" i="8"/>
  <c r="AI208" i="4" s="1"/>
  <c r="AI209" i="8"/>
  <c r="AI209" i="4" s="1"/>
  <c r="AI210" i="8"/>
  <c r="AI210" i="4" s="1"/>
  <c r="AI211" i="8"/>
  <c r="AI211" i="4" s="1"/>
  <c r="AI212" i="8"/>
  <c r="AI212" i="4" s="1"/>
  <c r="AI213" i="8"/>
  <c r="AI213" i="4" s="1"/>
  <c r="AI214" i="8"/>
  <c r="AI214" i="4" s="1"/>
  <c r="AI215" i="8"/>
  <c r="AI216" i="8"/>
  <c r="AI216" i="4" s="1"/>
  <c r="AI217" i="8"/>
  <c r="AI217" i="4" s="1"/>
  <c r="AI218" i="8"/>
  <c r="AI218" i="4" s="1"/>
  <c r="AI219" i="8"/>
  <c r="AI219" i="4" s="1"/>
  <c r="AI220" i="8"/>
  <c r="AI220" i="4" s="1"/>
  <c r="AI221" i="8"/>
  <c r="AI221" i="4" s="1"/>
  <c r="AI222" i="8"/>
  <c r="AI222" i="4" s="1"/>
  <c r="AI223" i="8"/>
  <c r="AI223" i="4" s="1"/>
  <c r="AI224" i="8"/>
  <c r="AI224" i="4" s="1"/>
  <c r="AI225" i="8"/>
  <c r="AI225" i="4" s="1"/>
  <c r="AI226" i="8"/>
  <c r="AI226" i="4" s="1"/>
  <c r="AI227" i="8"/>
  <c r="AI228" i="8"/>
  <c r="AI228" i="4" s="1"/>
  <c r="AI229" i="8"/>
  <c r="AI229" i="4" s="1"/>
  <c r="AI230" i="8"/>
  <c r="AI230" i="4" s="1"/>
  <c r="AI231" i="8"/>
  <c r="AI231" i="4" s="1"/>
  <c r="AI232" i="8"/>
  <c r="AI232" i="4" s="1"/>
  <c r="AI233" i="8"/>
  <c r="AI233" i="4" s="1"/>
  <c r="AI234" i="8"/>
  <c r="AI234" i="4" s="1"/>
  <c r="AI235" i="8"/>
  <c r="AI235" i="4" s="1"/>
  <c r="AI236" i="8"/>
  <c r="AI236" i="4" s="1"/>
  <c r="AI237" i="8"/>
  <c r="AI237" i="4" s="1"/>
  <c r="AI238" i="8"/>
  <c r="AI238" i="4" s="1"/>
  <c r="AI239" i="8"/>
  <c r="AI239" i="4" s="1"/>
  <c r="AI240" i="8"/>
  <c r="AI240" i="4" s="1"/>
  <c r="AI241" i="8"/>
  <c r="AI241" i="4" s="1"/>
  <c r="AI242" i="8"/>
  <c r="AI242" i="4" s="1"/>
  <c r="AI243" i="8"/>
  <c r="AI243" i="4" s="1"/>
  <c r="AI244" i="8"/>
  <c r="AI244" i="4" s="1"/>
  <c r="AI245" i="8"/>
  <c r="AI245" i="4" s="1"/>
  <c r="AI246" i="8"/>
  <c r="AI246" i="4" s="1"/>
  <c r="AI247" i="8"/>
  <c r="AI247" i="4" s="1"/>
  <c r="AI248" i="8"/>
  <c r="AI248" i="4" s="1"/>
  <c r="AI249" i="8"/>
  <c r="AI249" i="4" s="1"/>
  <c r="AI250" i="8"/>
  <c r="AI250" i="4" s="1"/>
  <c r="AI251" i="8"/>
  <c r="AI251" i="4" s="1"/>
  <c r="AI252" i="8"/>
  <c r="AI252" i="4" s="1"/>
  <c r="AI253" i="8"/>
  <c r="AI253" i="4" s="1"/>
  <c r="AI254" i="8"/>
  <c r="AI254" i="4" s="1"/>
  <c r="AI255" i="8"/>
  <c r="AI255" i="4" s="1"/>
  <c r="AI256" i="8"/>
  <c r="AI256" i="4" s="1"/>
  <c r="AI257" i="8"/>
  <c r="AI257" i="4" s="1"/>
  <c r="AI258" i="8"/>
  <c r="AI258" i="4" s="1"/>
  <c r="AI259" i="8"/>
  <c r="AI259" i="4" s="1"/>
  <c r="AI260" i="8"/>
  <c r="AI260" i="4" s="1"/>
  <c r="AI261" i="8"/>
  <c r="AI261" i="4" s="1"/>
  <c r="AI262" i="8"/>
  <c r="AI262" i="4" s="1"/>
  <c r="AI263" i="8"/>
  <c r="AI263" i="4" s="1"/>
  <c r="AI264" i="8"/>
  <c r="AI264" i="4" s="1"/>
  <c r="AI265" i="8"/>
  <c r="AI265" i="4" s="1"/>
  <c r="AI266" i="8"/>
  <c r="AI267" i="8"/>
  <c r="AI267" i="4" s="1"/>
  <c r="AI268" i="8"/>
  <c r="AI268" i="4" s="1"/>
  <c r="AI269" i="8"/>
  <c r="AI269" i="4" s="1"/>
  <c r="AI270" i="8"/>
  <c r="AI270" i="4" s="1"/>
  <c r="AI271" i="8"/>
  <c r="AI271" i="4" s="1"/>
  <c r="AI272" i="8"/>
  <c r="AI272" i="4" s="1"/>
  <c r="AI273" i="8"/>
  <c r="AI273" i="4" s="1"/>
  <c r="AI274" i="8"/>
  <c r="AI274" i="4" s="1"/>
  <c r="AI275" i="8"/>
  <c r="AI275" i="4" s="1"/>
  <c r="AH140" i="8"/>
  <c r="AH140" i="4" s="1"/>
  <c r="AH141" i="8"/>
  <c r="AH141" i="4" s="1"/>
  <c r="AH142" i="8"/>
  <c r="AH142" i="4" s="1"/>
  <c r="AH143" i="8"/>
  <c r="AH143" i="4" s="1"/>
  <c r="AH144" i="8"/>
  <c r="AH144" i="4" s="1"/>
  <c r="AH145" i="8"/>
  <c r="AH145" i="4" s="1"/>
  <c r="AH146" i="8"/>
  <c r="AH146" i="4" s="1"/>
  <c r="AH147" i="8"/>
  <c r="AH147" i="4" s="1"/>
  <c r="AH148" i="8"/>
  <c r="AH148" i="4" s="1"/>
  <c r="AH149" i="8"/>
  <c r="AH149" i="4" s="1"/>
  <c r="AH150" i="8"/>
  <c r="AH150" i="4" s="1"/>
  <c r="AH151" i="8"/>
  <c r="AH151" i="4" s="1"/>
  <c r="AH152" i="8"/>
  <c r="AH152" i="4" s="1"/>
  <c r="AH153" i="8"/>
  <c r="AH153" i="4" s="1"/>
  <c r="AH154" i="8"/>
  <c r="AH154" i="4" s="1"/>
  <c r="AH155" i="8"/>
  <c r="AH155" i="4" s="1"/>
  <c r="AH156" i="8"/>
  <c r="AH156" i="4" s="1"/>
  <c r="AH157" i="8"/>
  <c r="AH157" i="4" s="1"/>
  <c r="AH158" i="8"/>
  <c r="AH158" i="4" s="1"/>
  <c r="AH159" i="8"/>
  <c r="AH159" i="4" s="1"/>
  <c r="AH160" i="8"/>
  <c r="AH160" i="4" s="1"/>
  <c r="AH161" i="8"/>
  <c r="AH161" i="4" s="1"/>
  <c r="AH162" i="8"/>
  <c r="AH162" i="4" s="1"/>
  <c r="AH163" i="8"/>
  <c r="AH163" i="4" s="1"/>
  <c r="AH164" i="8"/>
  <c r="AH164" i="4" s="1"/>
  <c r="AH165" i="8"/>
  <c r="AH165" i="4" s="1"/>
  <c r="AH166" i="8"/>
  <c r="AH166" i="4" s="1"/>
  <c r="AH167" i="8"/>
  <c r="AH167" i="4" s="1"/>
  <c r="AH168" i="8"/>
  <c r="AH168" i="4" s="1"/>
  <c r="AH169" i="8"/>
  <c r="AH169" i="4" s="1"/>
  <c r="AH170" i="8"/>
  <c r="AH170" i="4" s="1"/>
  <c r="AH171" i="8"/>
  <c r="AH171" i="4" s="1"/>
  <c r="AH172" i="8"/>
  <c r="AH172" i="4" s="1"/>
  <c r="AH173" i="8"/>
  <c r="AH174" i="8"/>
  <c r="AH174" i="4" s="1"/>
  <c r="AH175" i="8"/>
  <c r="AH175" i="4" s="1"/>
  <c r="AH176" i="8"/>
  <c r="AH176" i="4" s="1"/>
  <c r="AH177" i="8"/>
  <c r="AH177" i="4" s="1"/>
  <c r="AH178" i="8"/>
  <c r="AH178" i="4" s="1"/>
  <c r="AH179" i="8"/>
  <c r="AH179" i="4" s="1"/>
  <c r="AH180" i="8"/>
  <c r="AH180" i="4" s="1"/>
  <c r="AH181" i="8"/>
  <c r="AH181" i="4" s="1"/>
  <c r="AH182" i="8"/>
  <c r="AH182" i="4" s="1"/>
  <c r="AH183" i="8"/>
  <c r="AH183" i="4" s="1"/>
  <c r="AH184" i="8"/>
  <c r="AH184" i="4" s="1"/>
  <c r="AH185" i="8"/>
  <c r="AH185" i="4" s="1"/>
  <c r="AH186" i="8"/>
  <c r="AH186" i="4" s="1"/>
  <c r="AH187" i="8"/>
  <c r="AH187" i="4" s="1"/>
  <c r="AH188" i="8"/>
  <c r="AH188" i="4" s="1"/>
  <c r="AH189" i="8"/>
  <c r="AH189" i="4" s="1"/>
  <c r="AH190" i="8"/>
  <c r="AH190" i="4" s="1"/>
  <c r="AH191" i="8"/>
  <c r="AH191" i="4" s="1"/>
  <c r="AH192" i="8"/>
  <c r="AH192" i="4" s="1"/>
  <c r="AH193" i="8"/>
  <c r="AH193" i="4" s="1"/>
  <c r="AH194" i="8"/>
  <c r="AH194" i="4" s="1"/>
  <c r="AH195" i="8"/>
  <c r="AH195" i="4" s="1"/>
  <c r="AH196" i="8"/>
  <c r="AH196" i="4" s="1"/>
  <c r="AH197" i="8"/>
  <c r="AH197" i="4" s="1"/>
  <c r="AH198" i="8"/>
  <c r="AH198" i="4" s="1"/>
  <c r="AH199" i="8"/>
  <c r="AH199" i="4" s="1"/>
  <c r="AH200" i="8"/>
  <c r="AH200" i="4" s="1"/>
  <c r="AH201" i="8"/>
  <c r="AH201" i="4" s="1"/>
  <c r="AH202" i="8"/>
  <c r="AH202" i="4" s="1"/>
  <c r="AH203" i="8"/>
  <c r="AH203" i="4" s="1"/>
  <c r="AH204" i="8"/>
  <c r="AH204" i="4" s="1"/>
  <c r="AH205" i="8"/>
  <c r="AH205" i="4" s="1"/>
  <c r="AH206" i="8"/>
  <c r="AH206" i="4" s="1"/>
  <c r="AH207" i="8"/>
  <c r="AH207" i="4" s="1"/>
  <c r="AH208" i="8"/>
  <c r="AH208" i="4" s="1"/>
  <c r="AH209" i="8"/>
  <c r="AH209" i="4" s="1"/>
  <c r="AH210" i="8"/>
  <c r="AH210" i="4" s="1"/>
  <c r="AH211" i="8"/>
  <c r="AH211" i="4" s="1"/>
  <c r="AH212" i="8"/>
  <c r="AH212" i="4" s="1"/>
  <c r="AH213" i="8"/>
  <c r="AH213" i="4" s="1"/>
  <c r="AH214" i="8"/>
  <c r="AH214" i="4" s="1"/>
  <c r="AH215" i="8"/>
  <c r="AH216" i="8"/>
  <c r="AH216" i="4" s="1"/>
  <c r="AH217" i="8"/>
  <c r="AH217" i="4" s="1"/>
  <c r="AH218" i="8"/>
  <c r="AH218" i="4" s="1"/>
  <c r="AH219" i="8"/>
  <c r="AH219" i="4" s="1"/>
  <c r="AH220" i="8"/>
  <c r="AH220" i="4" s="1"/>
  <c r="AH221" i="8"/>
  <c r="AH221" i="4" s="1"/>
  <c r="AH222" i="8"/>
  <c r="AH222" i="4" s="1"/>
  <c r="AH223" i="8"/>
  <c r="AH223" i="4" s="1"/>
  <c r="AH224" i="8"/>
  <c r="AH224" i="4" s="1"/>
  <c r="AH225" i="8"/>
  <c r="AH225" i="4" s="1"/>
  <c r="AH226" i="8"/>
  <c r="AH226" i="4" s="1"/>
  <c r="AH227" i="8"/>
  <c r="AH228" i="8"/>
  <c r="AH228" i="4" s="1"/>
  <c r="AH229" i="8"/>
  <c r="AH229" i="4" s="1"/>
  <c r="AH230" i="8"/>
  <c r="AH230" i="4" s="1"/>
  <c r="AH231" i="8"/>
  <c r="AH231" i="4" s="1"/>
  <c r="AH232" i="8"/>
  <c r="AH232" i="4" s="1"/>
  <c r="AH233" i="8"/>
  <c r="AH233" i="4" s="1"/>
  <c r="AH234" i="8"/>
  <c r="AH234" i="4" s="1"/>
  <c r="AH235" i="8"/>
  <c r="AH235" i="4" s="1"/>
  <c r="AH236" i="8"/>
  <c r="AH236" i="4" s="1"/>
  <c r="AH237" i="8"/>
  <c r="AH237" i="4" s="1"/>
  <c r="AH238" i="8"/>
  <c r="AH238" i="4" s="1"/>
  <c r="AH239" i="8"/>
  <c r="AH239" i="4" s="1"/>
  <c r="AH240" i="8"/>
  <c r="AH240" i="4" s="1"/>
  <c r="AH241" i="8"/>
  <c r="AH241" i="4" s="1"/>
  <c r="AH242" i="8"/>
  <c r="AH242" i="4" s="1"/>
  <c r="AH243" i="8"/>
  <c r="AH243" i="4" s="1"/>
  <c r="AH244" i="8"/>
  <c r="AH244" i="4" s="1"/>
  <c r="AH245" i="8"/>
  <c r="AH245" i="4" s="1"/>
  <c r="AH246" i="8"/>
  <c r="AH246" i="4" s="1"/>
  <c r="AH247" i="8"/>
  <c r="AH247" i="4" s="1"/>
  <c r="AH248" i="8"/>
  <c r="AH248" i="4" s="1"/>
  <c r="AH249" i="8"/>
  <c r="AH249" i="4" s="1"/>
  <c r="AH250" i="8"/>
  <c r="AH250" i="4" s="1"/>
  <c r="AH251" i="8"/>
  <c r="AH251" i="4" s="1"/>
  <c r="AH252" i="8"/>
  <c r="AH252" i="4" s="1"/>
  <c r="AH253" i="8"/>
  <c r="AH253" i="4" s="1"/>
  <c r="AH254" i="8"/>
  <c r="AH254" i="4" s="1"/>
  <c r="AH255" i="8"/>
  <c r="AH255" i="4" s="1"/>
  <c r="AH256" i="8"/>
  <c r="AH256" i="4" s="1"/>
  <c r="AH257" i="8"/>
  <c r="AH257" i="4" s="1"/>
  <c r="AH258" i="8"/>
  <c r="AH258" i="4" s="1"/>
  <c r="AH259" i="8"/>
  <c r="AH259" i="4" s="1"/>
  <c r="AH260" i="8"/>
  <c r="AH260" i="4" s="1"/>
  <c r="AH261" i="8"/>
  <c r="AH261" i="4" s="1"/>
  <c r="AH262" i="8"/>
  <c r="AH262" i="4" s="1"/>
  <c r="AH263" i="8"/>
  <c r="AH263" i="4" s="1"/>
  <c r="AH264" i="8"/>
  <c r="AH264" i="4" s="1"/>
  <c r="AH265" i="8"/>
  <c r="AH265" i="4" s="1"/>
  <c r="AH266" i="8"/>
  <c r="AH267" i="8"/>
  <c r="AH267" i="4" s="1"/>
  <c r="AH268" i="8"/>
  <c r="AH268" i="4" s="1"/>
  <c r="AH269" i="8"/>
  <c r="AH269" i="4" s="1"/>
  <c r="AH270" i="8"/>
  <c r="AH270" i="4" s="1"/>
  <c r="AH271" i="8"/>
  <c r="AH271" i="4" s="1"/>
  <c r="AH272" i="8"/>
  <c r="AH272" i="4" s="1"/>
  <c r="AH273" i="8"/>
  <c r="AH273" i="4" s="1"/>
  <c r="AH274" i="8"/>
  <c r="AH274" i="4" s="1"/>
  <c r="AH275" i="8"/>
  <c r="AH275" i="4" s="1"/>
  <c r="AG140" i="8"/>
  <c r="AG140" i="4" s="1"/>
  <c r="AG141" i="8"/>
  <c r="AG141" i="4" s="1"/>
  <c r="AG142" i="8"/>
  <c r="AG142" i="4" s="1"/>
  <c r="AG143" i="8"/>
  <c r="AG143" i="4" s="1"/>
  <c r="AG144" i="8"/>
  <c r="AG144" i="4" s="1"/>
  <c r="AG145" i="8"/>
  <c r="AG145" i="4" s="1"/>
  <c r="AG146" i="8"/>
  <c r="AG146" i="4" s="1"/>
  <c r="AG147" i="8"/>
  <c r="AG147" i="4" s="1"/>
  <c r="AG148" i="8"/>
  <c r="AG148" i="4" s="1"/>
  <c r="AG149" i="8"/>
  <c r="AG149" i="4" s="1"/>
  <c r="AG150" i="8"/>
  <c r="AG150" i="4" s="1"/>
  <c r="AG151" i="8"/>
  <c r="AG151" i="4" s="1"/>
  <c r="AG152" i="8"/>
  <c r="AG152" i="4" s="1"/>
  <c r="AG153" i="8"/>
  <c r="AG153" i="4" s="1"/>
  <c r="AG154" i="8"/>
  <c r="AG154" i="4" s="1"/>
  <c r="AG155" i="8"/>
  <c r="AG155" i="4" s="1"/>
  <c r="AG156" i="8"/>
  <c r="AG156" i="4" s="1"/>
  <c r="AG157" i="8"/>
  <c r="AG157" i="4" s="1"/>
  <c r="AG158" i="8"/>
  <c r="AG158" i="4" s="1"/>
  <c r="AG159" i="8"/>
  <c r="AG159" i="4" s="1"/>
  <c r="AG160" i="8"/>
  <c r="AG160" i="4" s="1"/>
  <c r="AG161" i="8"/>
  <c r="AG161" i="4" s="1"/>
  <c r="AG162" i="8"/>
  <c r="AG162" i="4" s="1"/>
  <c r="AG163" i="8"/>
  <c r="AG163" i="4" s="1"/>
  <c r="AG164" i="8"/>
  <c r="AG164" i="4" s="1"/>
  <c r="AG165" i="8"/>
  <c r="AG165" i="4" s="1"/>
  <c r="AG166" i="8"/>
  <c r="AG166" i="4" s="1"/>
  <c r="AG167" i="8"/>
  <c r="AG167" i="4" s="1"/>
  <c r="AG168" i="8"/>
  <c r="AG168" i="4" s="1"/>
  <c r="AG169" i="8"/>
  <c r="AG169" i="4" s="1"/>
  <c r="AG170" i="8"/>
  <c r="AG170" i="4" s="1"/>
  <c r="AG171" i="8"/>
  <c r="AG171" i="4" s="1"/>
  <c r="AG172" i="8"/>
  <c r="AG172" i="4" s="1"/>
  <c r="AG173" i="8"/>
  <c r="AG174" i="8"/>
  <c r="AG174" i="4" s="1"/>
  <c r="AG175" i="8"/>
  <c r="AG175" i="4" s="1"/>
  <c r="AG176" i="8"/>
  <c r="AG176" i="4" s="1"/>
  <c r="AG177" i="8"/>
  <c r="AG177" i="4" s="1"/>
  <c r="AG178" i="8"/>
  <c r="AG178" i="4" s="1"/>
  <c r="AG179" i="8"/>
  <c r="AG179" i="4" s="1"/>
  <c r="AG180" i="8"/>
  <c r="AG180" i="4" s="1"/>
  <c r="AG181" i="8"/>
  <c r="AG181" i="4" s="1"/>
  <c r="AG182" i="8"/>
  <c r="AG182" i="4" s="1"/>
  <c r="AG183" i="8"/>
  <c r="AG183" i="4" s="1"/>
  <c r="AG184" i="8"/>
  <c r="AG184" i="4" s="1"/>
  <c r="AG185" i="8"/>
  <c r="AG185" i="4" s="1"/>
  <c r="AG186" i="8"/>
  <c r="AG186" i="4" s="1"/>
  <c r="AG187" i="8"/>
  <c r="AG187" i="4" s="1"/>
  <c r="AG188" i="8"/>
  <c r="AG188" i="4" s="1"/>
  <c r="AG189" i="8"/>
  <c r="AG189" i="4" s="1"/>
  <c r="AG190" i="8"/>
  <c r="AG190" i="4" s="1"/>
  <c r="AG191" i="8"/>
  <c r="AG191" i="4" s="1"/>
  <c r="AG192" i="8"/>
  <c r="AG192" i="4" s="1"/>
  <c r="AG193" i="8"/>
  <c r="AG193" i="4" s="1"/>
  <c r="AG194" i="8"/>
  <c r="AG194" i="4" s="1"/>
  <c r="AG195" i="8"/>
  <c r="AG195" i="4" s="1"/>
  <c r="AG196" i="8"/>
  <c r="AG196" i="4" s="1"/>
  <c r="AG197" i="8"/>
  <c r="AG197" i="4" s="1"/>
  <c r="AG198" i="8"/>
  <c r="AG198" i="4" s="1"/>
  <c r="AG199" i="8"/>
  <c r="AG199" i="4" s="1"/>
  <c r="AG200" i="8"/>
  <c r="AG200" i="4" s="1"/>
  <c r="AG201" i="8"/>
  <c r="AG201" i="4" s="1"/>
  <c r="AG202" i="8"/>
  <c r="AG202" i="4" s="1"/>
  <c r="AG203" i="8"/>
  <c r="AG203" i="4" s="1"/>
  <c r="AG204" i="8"/>
  <c r="AG204" i="4" s="1"/>
  <c r="AG205" i="8"/>
  <c r="AG205" i="4" s="1"/>
  <c r="AG206" i="8"/>
  <c r="AG206" i="4" s="1"/>
  <c r="AG207" i="8"/>
  <c r="AG207" i="4" s="1"/>
  <c r="AG208" i="8"/>
  <c r="AG208" i="4" s="1"/>
  <c r="AG209" i="8"/>
  <c r="AG209" i="4" s="1"/>
  <c r="AG210" i="8"/>
  <c r="AG210" i="4" s="1"/>
  <c r="AG211" i="8"/>
  <c r="AG211" i="4" s="1"/>
  <c r="AG212" i="8"/>
  <c r="AG212" i="4" s="1"/>
  <c r="AG213" i="8"/>
  <c r="AG213" i="4" s="1"/>
  <c r="AG214" i="8"/>
  <c r="AG214" i="4" s="1"/>
  <c r="AG215" i="8"/>
  <c r="AG216" i="8"/>
  <c r="AG216" i="4" s="1"/>
  <c r="AG217" i="8"/>
  <c r="AG217" i="4" s="1"/>
  <c r="AG218" i="8"/>
  <c r="AG218" i="4" s="1"/>
  <c r="AG219" i="8"/>
  <c r="AG219" i="4" s="1"/>
  <c r="AG220" i="8"/>
  <c r="AG220" i="4" s="1"/>
  <c r="AG221" i="8"/>
  <c r="AG221" i="4" s="1"/>
  <c r="AG222" i="8"/>
  <c r="AG222" i="4" s="1"/>
  <c r="AG223" i="8"/>
  <c r="AG223" i="4" s="1"/>
  <c r="AG224" i="8"/>
  <c r="AG224" i="4" s="1"/>
  <c r="AG225" i="8"/>
  <c r="AG225" i="4" s="1"/>
  <c r="AG226" i="8"/>
  <c r="AG226" i="4" s="1"/>
  <c r="AG227" i="8"/>
  <c r="AG228" i="8"/>
  <c r="AG228" i="4" s="1"/>
  <c r="AG229" i="8"/>
  <c r="AG229" i="4" s="1"/>
  <c r="AG230" i="8"/>
  <c r="AG230" i="4" s="1"/>
  <c r="AG231" i="8"/>
  <c r="AG231" i="4" s="1"/>
  <c r="AG232" i="8"/>
  <c r="AG232" i="4" s="1"/>
  <c r="AG233" i="8"/>
  <c r="AG233" i="4" s="1"/>
  <c r="AG234" i="8"/>
  <c r="AG234" i="4" s="1"/>
  <c r="AG235" i="8"/>
  <c r="AG235" i="4" s="1"/>
  <c r="AG236" i="8"/>
  <c r="AG236" i="4" s="1"/>
  <c r="AG237" i="8"/>
  <c r="AG237" i="4" s="1"/>
  <c r="AG238" i="8"/>
  <c r="AG238" i="4" s="1"/>
  <c r="AG239" i="8"/>
  <c r="AG239" i="4" s="1"/>
  <c r="AG240" i="8"/>
  <c r="AG240" i="4" s="1"/>
  <c r="AG241" i="8"/>
  <c r="AG241" i="4" s="1"/>
  <c r="AG242" i="8"/>
  <c r="AG242" i="4" s="1"/>
  <c r="AG243" i="8"/>
  <c r="AG243" i="4" s="1"/>
  <c r="AG244" i="8"/>
  <c r="AG244" i="4" s="1"/>
  <c r="AG245" i="8"/>
  <c r="AG245" i="4" s="1"/>
  <c r="AG246" i="8"/>
  <c r="AG246" i="4" s="1"/>
  <c r="AG247" i="8"/>
  <c r="AG247" i="4" s="1"/>
  <c r="AG248" i="8"/>
  <c r="AG248" i="4" s="1"/>
  <c r="AG249" i="8"/>
  <c r="AG249" i="4" s="1"/>
  <c r="AG250" i="8"/>
  <c r="AG250" i="4" s="1"/>
  <c r="AG251" i="8"/>
  <c r="AG251" i="4" s="1"/>
  <c r="AG252" i="8"/>
  <c r="AG252" i="4" s="1"/>
  <c r="AG253" i="8"/>
  <c r="AG253" i="4" s="1"/>
  <c r="AG254" i="8"/>
  <c r="AG254" i="4" s="1"/>
  <c r="AG255" i="8"/>
  <c r="AG255" i="4" s="1"/>
  <c r="AG256" i="8"/>
  <c r="AG256" i="4" s="1"/>
  <c r="AG257" i="8"/>
  <c r="AG257" i="4" s="1"/>
  <c r="AG258" i="8"/>
  <c r="AG258" i="4" s="1"/>
  <c r="AG259" i="8"/>
  <c r="AG259" i="4" s="1"/>
  <c r="AG260" i="8"/>
  <c r="AG260" i="4" s="1"/>
  <c r="AG261" i="8"/>
  <c r="AG261" i="4" s="1"/>
  <c r="AG262" i="8"/>
  <c r="AG262" i="4" s="1"/>
  <c r="AG263" i="8"/>
  <c r="AG263" i="4" s="1"/>
  <c r="AG264" i="8"/>
  <c r="AG264" i="4" s="1"/>
  <c r="AG265" i="8"/>
  <c r="AG265" i="4" s="1"/>
  <c r="AG266" i="8"/>
  <c r="AG267" i="8"/>
  <c r="AG267" i="4" s="1"/>
  <c r="AG268" i="8"/>
  <c r="AG268" i="4" s="1"/>
  <c r="AG269" i="8"/>
  <c r="AG269" i="4" s="1"/>
  <c r="AG270" i="8"/>
  <c r="AG270" i="4" s="1"/>
  <c r="AG271" i="8"/>
  <c r="AG271" i="4" s="1"/>
  <c r="AG272" i="8"/>
  <c r="AG272" i="4" s="1"/>
  <c r="AG273" i="8"/>
  <c r="AG273" i="4" s="1"/>
  <c r="AG274" i="8"/>
  <c r="AG274" i="4" s="1"/>
  <c r="AG275" i="8"/>
  <c r="AG275" i="4" s="1"/>
  <c r="AF140" i="8"/>
  <c r="AF140" i="4" s="1"/>
  <c r="AF141" i="8"/>
  <c r="AF141" i="4" s="1"/>
  <c r="AF142" i="8"/>
  <c r="AF142" i="4" s="1"/>
  <c r="AF143" i="8"/>
  <c r="AF143" i="4" s="1"/>
  <c r="AF144" i="8"/>
  <c r="AF144" i="4" s="1"/>
  <c r="AF145" i="8"/>
  <c r="AF145" i="4" s="1"/>
  <c r="AF146" i="8"/>
  <c r="AF146" i="4" s="1"/>
  <c r="AF147" i="8"/>
  <c r="AF147" i="4" s="1"/>
  <c r="AF148" i="8"/>
  <c r="AF148" i="4" s="1"/>
  <c r="AF149" i="8"/>
  <c r="AF149" i="4" s="1"/>
  <c r="AF150" i="8"/>
  <c r="AF150" i="4" s="1"/>
  <c r="AF151" i="8"/>
  <c r="AF151" i="4" s="1"/>
  <c r="AF152" i="8"/>
  <c r="AF152" i="4" s="1"/>
  <c r="AF153" i="8"/>
  <c r="AF153" i="4" s="1"/>
  <c r="AF154" i="8"/>
  <c r="AF154" i="4" s="1"/>
  <c r="AF155" i="8"/>
  <c r="AF155" i="4" s="1"/>
  <c r="AF156" i="8"/>
  <c r="AF156" i="4" s="1"/>
  <c r="AF157" i="8"/>
  <c r="AF157" i="4" s="1"/>
  <c r="AF158" i="8"/>
  <c r="AF158" i="4" s="1"/>
  <c r="AF159" i="8"/>
  <c r="AF159" i="4" s="1"/>
  <c r="AF160" i="8"/>
  <c r="AF160" i="4" s="1"/>
  <c r="AF161" i="8"/>
  <c r="AF161" i="4" s="1"/>
  <c r="AF162" i="8"/>
  <c r="AF162" i="4" s="1"/>
  <c r="AF163" i="8"/>
  <c r="AF163" i="4" s="1"/>
  <c r="AF164" i="8"/>
  <c r="AF164" i="4" s="1"/>
  <c r="AF165" i="8"/>
  <c r="AF165" i="4" s="1"/>
  <c r="AF166" i="8"/>
  <c r="AF166" i="4" s="1"/>
  <c r="AF167" i="8"/>
  <c r="AF167" i="4" s="1"/>
  <c r="AF168" i="8"/>
  <c r="AF168" i="4" s="1"/>
  <c r="AF169" i="8"/>
  <c r="AF169" i="4" s="1"/>
  <c r="AF170" i="8"/>
  <c r="AF170" i="4" s="1"/>
  <c r="AF171" i="8"/>
  <c r="AF171" i="4" s="1"/>
  <c r="AF172" i="8"/>
  <c r="AF172" i="4" s="1"/>
  <c r="AF173" i="8"/>
  <c r="AF174" i="8"/>
  <c r="AF174" i="4" s="1"/>
  <c r="AF175" i="8"/>
  <c r="AF175" i="4" s="1"/>
  <c r="AF176" i="8"/>
  <c r="AF176" i="4" s="1"/>
  <c r="AF177" i="8"/>
  <c r="AF177" i="4" s="1"/>
  <c r="AF178" i="8"/>
  <c r="AF178" i="4" s="1"/>
  <c r="AF179" i="8"/>
  <c r="AF179" i="4" s="1"/>
  <c r="AF180" i="8"/>
  <c r="AF180" i="4" s="1"/>
  <c r="AF181" i="8"/>
  <c r="AF181" i="4" s="1"/>
  <c r="AF182" i="8"/>
  <c r="AF182" i="4" s="1"/>
  <c r="AF183" i="8"/>
  <c r="AF183" i="4" s="1"/>
  <c r="AF184" i="8"/>
  <c r="AF184" i="4" s="1"/>
  <c r="AF185" i="8"/>
  <c r="AF185" i="4" s="1"/>
  <c r="AF186" i="8"/>
  <c r="AF186" i="4" s="1"/>
  <c r="AF187" i="8"/>
  <c r="AF187" i="4" s="1"/>
  <c r="AF188" i="8"/>
  <c r="AF188" i="4" s="1"/>
  <c r="AF189" i="8"/>
  <c r="AF189" i="4" s="1"/>
  <c r="AF190" i="8"/>
  <c r="AF190" i="4" s="1"/>
  <c r="AF191" i="8"/>
  <c r="AF191" i="4" s="1"/>
  <c r="AF192" i="8"/>
  <c r="AF192" i="4" s="1"/>
  <c r="AF193" i="8"/>
  <c r="AF193" i="4" s="1"/>
  <c r="AF194" i="8"/>
  <c r="AF194" i="4" s="1"/>
  <c r="AF195" i="8"/>
  <c r="AF195" i="4" s="1"/>
  <c r="AF196" i="8"/>
  <c r="AF196" i="4" s="1"/>
  <c r="AF197" i="8"/>
  <c r="AF197" i="4" s="1"/>
  <c r="AF198" i="8"/>
  <c r="AF198" i="4" s="1"/>
  <c r="AF199" i="8"/>
  <c r="AF199" i="4" s="1"/>
  <c r="AF200" i="8"/>
  <c r="AF200" i="4" s="1"/>
  <c r="AF201" i="8"/>
  <c r="AF201" i="4" s="1"/>
  <c r="AF202" i="8"/>
  <c r="AF202" i="4" s="1"/>
  <c r="AF203" i="8"/>
  <c r="AF203" i="4" s="1"/>
  <c r="AF204" i="8"/>
  <c r="AF204" i="4" s="1"/>
  <c r="AF205" i="8"/>
  <c r="AF205" i="4" s="1"/>
  <c r="AF206" i="8"/>
  <c r="AF206" i="4" s="1"/>
  <c r="AF207" i="8"/>
  <c r="AF207" i="4" s="1"/>
  <c r="AF208" i="8"/>
  <c r="AF208" i="4" s="1"/>
  <c r="AF209" i="8"/>
  <c r="AF209" i="4" s="1"/>
  <c r="AF210" i="8"/>
  <c r="AF210" i="4" s="1"/>
  <c r="AF211" i="8"/>
  <c r="AF211" i="4" s="1"/>
  <c r="AF212" i="8"/>
  <c r="AF212" i="4" s="1"/>
  <c r="AF213" i="8"/>
  <c r="AF213" i="4" s="1"/>
  <c r="AF214" i="8"/>
  <c r="AF214" i="4" s="1"/>
  <c r="AF215" i="8"/>
  <c r="AF216" i="8"/>
  <c r="AF216" i="4" s="1"/>
  <c r="AF217" i="8"/>
  <c r="AF217" i="4" s="1"/>
  <c r="AF218" i="8"/>
  <c r="AF218" i="4" s="1"/>
  <c r="AF219" i="8"/>
  <c r="AF219" i="4" s="1"/>
  <c r="AF220" i="8"/>
  <c r="AF220" i="4" s="1"/>
  <c r="AF221" i="8"/>
  <c r="AF221" i="4" s="1"/>
  <c r="AF222" i="8"/>
  <c r="AF222" i="4" s="1"/>
  <c r="AF223" i="8"/>
  <c r="AF223" i="4" s="1"/>
  <c r="AF224" i="8"/>
  <c r="AF224" i="4" s="1"/>
  <c r="AF225" i="8"/>
  <c r="AF225" i="4" s="1"/>
  <c r="AF226" i="8"/>
  <c r="AF226" i="4" s="1"/>
  <c r="AF227" i="8"/>
  <c r="AF228" i="8"/>
  <c r="AF228" i="4" s="1"/>
  <c r="AF229" i="8"/>
  <c r="AF229" i="4" s="1"/>
  <c r="AF230" i="8"/>
  <c r="AF230" i="4" s="1"/>
  <c r="AF231" i="8"/>
  <c r="AF231" i="4" s="1"/>
  <c r="AF232" i="8"/>
  <c r="AF232" i="4" s="1"/>
  <c r="AF233" i="8"/>
  <c r="AF233" i="4" s="1"/>
  <c r="AF234" i="8"/>
  <c r="AF234" i="4" s="1"/>
  <c r="AF235" i="8"/>
  <c r="AF235" i="4" s="1"/>
  <c r="AF236" i="8"/>
  <c r="AF236" i="4" s="1"/>
  <c r="AF237" i="8"/>
  <c r="AF237" i="4" s="1"/>
  <c r="AF238" i="8"/>
  <c r="AF238" i="4" s="1"/>
  <c r="AF239" i="8"/>
  <c r="AF239" i="4" s="1"/>
  <c r="AF240" i="8"/>
  <c r="AF240" i="4" s="1"/>
  <c r="AF241" i="8"/>
  <c r="AF241" i="4" s="1"/>
  <c r="AF242" i="8"/>
  <c r="AF242" i="4" s="1"/>
  <c r="AF243" i="8"/>
  <c r="AF243" i="4" s="1"/>
  <c r="AF244" i="8"/>
  <c r="AF244" i="4" s="1"/>
  <c r="AF245" i="8"/>
  <c r="AF245" i="4" s="1"/>
  <c r="AF246" i="8"/>
  <c r="AF246" i="4" s="1"/>
  <c r="AF247" i="8"/>
  <c r="AF247" i="4" s="1"/>
  <c r="AF248" i="8"/>
  <c r="AF248" i="4" s="1"/>
  <c r="AF249" i="8"/>
  <c r="AF249" i="4" s="1"/>
  <c r="AF250" i="8"/>
  <c r="AF250" i="4" s="1"/>
  <c r="AF251" i="8"/>
  <c r="AF251" i="4" s="1"/>
  <c r="AF252" i="8"/>
  <c r="AF252" i="4" s="1"/>
  <c r="AF253" i="8"/>
  <c r="AF253" i="4" s="1"/>
  <c r="AF254" i="8"/>
  <c r="AF254" i="4" s="1"/>
  <c r="AF255" i="8"/>
  <c r="AF255" i="4" s="1"/>
  <c r="AF256" i="8"/>
  <c r="AF256" i="4" s="1"/>
  <c r="AF257" i="8"/>
  <c r="AF257" i="4" s="1"/>
  <c r="AF258" i="8"/>
  <c r="AF258" i="4" s="1"/>
  <c r="AF259" i="8"/>
  <c r="AF259" i="4" s="1"/>
  <c r="AF260" i="8"/>
  <c r="AF260" i="4" s="1"/>
  <c r="AF261" i="8"/>
  <c r="AF261" i="4" s="1"/>
  <c r="AF262" i="8"/>
  <c r="AF262" i="4" s="1"/>
  <c r="AF263" i="8"/>
  <c r="AF263" i="4" s="1"/>
  <c r="AF264" i="8"/>
  <c r="AF264" i="4" s="1"/>
  <c r="AF265" i="8"/>
  <c r="AF265" i="4" s="1"/>
  <c r="AF266" i="8"/>
  <c r="AF267" i="8"/>
  <c r="AF267" i="4" s="1"/>
  <c r="AF268" i="8"/>
  <c r="AF268" i="4" s="1"/>
  <c r="AF269" i="8"/>
  <c r="AF269" i="4" s="1"/>
  <c r="AF270" i="8"/>
  <c r="AF270" i="4" s="1"/>
  <c r="AF271" i="8"/>
  <c r="AF271" i="4" s="1"/>
  <c r="AF272" i="8"/>
  <c r="AF272" i="4" s="1"/>
  <c r="AF273" i="8"/>
  <c r="AF273" i="4" s="1"/>
  <c r="AF274" i="8"/>
  <c r="AF274" i="4" s="1"/>
  <c r="AF275" i="8"/>
  <c r="AF275" i="4" s="1"/>
  <c r="AE140" i="8"/>
  <c r="AE140" i="4" s="1"/>
  <c r="AE141" i="8"/>
  <c r="AE141" i="4" s="1"/>
  <c r="AE142" i="8"/>
  <c r="AE142" i="4" s="1"/>
  <c r="AE143" i="8"/>
  <c r="AE143" i="4" s="1"/>
  <c r="AE144" i="8"/>
  <c r="AE144" i="4" s="1"/>
  <c r="AE145" i="8"/>
  <c r="AE145" i="4" s="1"/>
  <c r="AE146" i="8"/>
  <c r="AE146" i="4" s="1"/>
  <c r="AE147" i="8"/>
  <c r="AE147" i="4" s="1"/>
  <c r="AE148" i="8"/>
  <c r="AE148" i="4" s="1"/>
  <c r="AE149" i="8"/>
  <c r="AE149" i="4" s="1"/>
  <c r="AE150" i="8"/>
  <c r="AE150" i="4" s="1"/>
  <c r="AE151" i="8"/>
  <c r="AE151" i="4" s="1"/>
  <c r="AE152" i="8"/>
  <c r="AE152" i="4" s="1"/>
  <c r="AE153" i="8"/>
  <c r="AE153" i="4" s="1"/>
  <c r="AE154" i="8"/>
  <c r="AE154" i="4" s="1"/>
  <c r="AE155" i="8"/>
  <c r="AE155" i="4" s="1"/>
  <c r="AE156" i="8"/>
  <c r="AE156" i="4" s="1"/>
  <c r="AE157" i="8"/>
  <c r="AE157" i="4" s="1"/>
  <c r="AE158" i="8"/>
  <c r="AE158" i="4" s="1"/>
  <c r="AE159" i="8"/>
  <c r="AE159" i="4" s="1"/>
  <c r="AE160" i="8"/>
  <c r="AE160" i="4" s="1"/>
  <c r="AE161" i="8"/>
  <c r="AE161" i="4" s="1"/>
  <c r="AE162" i="8"/>
  <c r="AE162" i="4" s="1"/>
  <c r="AE163" i="8"/>
  <c r="AE163" i="4" s="1"/>
  <c r="AE164" i="8"/>
  <c r="AE164" i="4" s="1"/>
  <c r="AE165" i="8"/>
  <c r="AE165" i="4" s="1"/>
  <c r="AE166" i="8"/>
  <c r="AE166" i="4" s="1"/>
  <c r="AE167" i="8"/>
  <c r="AE167" i="4" s="1"/>
  <c r="AE168" i="8"/>
  <c r="AE168" i="4" s="1"/>
  <c r="AE169" i="8"/>
  <c r="AE169" i="4" s="1"/>
  <c r="AE170" i="8"/>
  <c r="AE170" i="4" s="1"/>
  <c r="AE171" i="8"/>
  <c r="AE171" i="4" s="1"/>
  <c r="AE172" i="8"/>
  <c r="AE172" i="4" s="1"/>
  <c r="AE173" i="8"/>
  <c r="AE174" i="8"/>
  <c r="AE174" i="4" s="1"/>
  <c r="AE175" i="8"/>
  <c r="AE175" i="4" s="1"/>
  <c r="AE176" i="8"/>
  <c r="AE176" i="4" s="1"/>
  <c r="AE177" i="8"/>
  <c r="AE177" i="4" s="1"/>
  <c r="AE178" i="8"/>
  <c r="AE178" i="4" s="1"/>
  <c r="AE179" i="8"/>
  <c r="AE179" i="4" s="1"/>
  <c r="AE180" i="8"/>
  <c r="AE180" i="4" s="1"/>
  <c r="AE181" i="8"/>
  <c r="AE181" i="4" s="1"/>
  <c r="AE182" i="8"/>
  <c r="AE182" i="4" s="1"/>
  <c r="AE183" i="8"/>
  <c r="AE183" i="4" s="1"/>
  <c r="AE184" i="8"/>
  <c r="AE184" i="4" s="1"/>
  <c r="AE185" i="8"/>
  <c r="AE185" i="4" s="1"/>
  <c r="AE186" i="8"/>
  <c r="AE186" i="4" s="1"/>
  <c r="AE187" i="8"/>
  <c r="AE187" i="4" s="1"/>
  <c r="AE188" i="8"/>
  <c r="AE188" i="4" s="1"/>
  <c r="AE189" i="8"/>
  <c r="AE189" i="4" s="1"/>
  <c r="AE190" i="8"/>
  <c r="AE190" i="4" s="1"/>
  <c r="AE191" i="8"/>
  <c r="AE191" i="4" s="1"/>
  <c r="AE192" i="8"/>
  <c r="AE192" i="4" s="1"/>
  <c r="AE193" i="8"/>
  <c r="AE193" i="4" s="1"/>
  <c r="AE194" i="8"/>
  <c r="AE194" i="4" s="1"/>
  <c r="AE195" i="8"/>
  <c r="AE195" i="4" s="1"/>
  <c r="AE196" i="8"/>
  <c r="AE196" i="4" s="1"/>
  <c r="AE197" i="8"/>
  <c r="AE197" i="4" s="1"/>
  <c r="AE198" i="8"/>
  <c r="AE198" i="4" s="1"/>
  <c r="AE199" i="8"/>
  <c r="AE199" i="4" s="1"/>
  <c r="AE200" i="8"/>
  <c r="AE200" i="4" s="1"/>
  <c r="AE201" i="8"/>
  <c r="AE201" i="4" s="1"/>
  <c r="AE202" i="8"/>
  <c r="AE202" i="4" s="1"/>
  <c r="AE203" i="8"/>
  <c r="AE203" i="4" s="1"/>
  <c r="AE204" i="8"/>
  <c r="AE204" i="4" s="1"/>
  <c r="AE205" i="8"/>
  <c r="AE205" i="4" s="1"/>
  <c r="AE206" i="8"/>
  <c r="AE206" i="4" s="1"/>
  <c r="AE207" i="8"/>
  <c r="AE207" i="4" s="1"/>
  <c r="AE208" i="8"/>
  <c r="AE208" i="4" s="1"/>
  <c r="AE209" i="8"/>
  <c r="AE209" i="4" s="1"/>
  <c r="AE210" i="8"/>
  <c r="AE210" i="4" s="1"/>
  <c r="AE211" i="8"/>
  <c r="AE211" i="4" s="1"/>
  <c r="AE212" i="8"/>
  <c r="AE212" i="4" s="1"/>
  <c r="AE213" i="8"/>
  <c r="AE213" i="4" s="1"/>
  <c r="AE214" i="8"/>
  <c r="AE214" i="4" s="1"/>
  <c r="AE215" i="8"/>
  <c r="AE216" i="8"/>
  <c r="AE216" i="4" s="1"/>
  <c r="AE217" i="8"/>
  <c r="AE217" i="4" s="1"/>
  <c r="AE218" i="8"/>
  <c r="AE218" i="4" s="1"/>
  <c r="AE219" i="8"/>
  <c r="AE219" i="4" s="1"/>
  <c r="AE220" i="8"/>
  <c r="AE220" i="4" s="1"/>
  <c r="AE221" i="8"/>
  <c r="AE221" i="4" s="1"/>
  <c r="AE222" i="8"/>
  <c r="AE222" i="4" s="1"/>
  <c r="AE223" i="8"/>
  <c r="AE223" i="4" s="1"/>
  <c r="AE224" i="8"/>
  <c r="AE224" i="4" s="1"/>
  <c r="AE225" i="8"/>
  <c r="AE225" i="4" s="1"/>
  <c r="AE226" i="8"/>
  <c r="AE226" i="4" s="1"/>
  <c r="AE227" i="8"/>
  <c r="AE228" i="8"/>
  <c r="AE228" i="4" s="1"/>
  <c r="AE229" i="8"/>
  <c r="AE229" i="4" s="1"/>
  <c r="AE230" i="8"/>
  <c r="AE230" i="4" s="1"/>
  <c r="AE231" i="8"/>
  <c r="AE231" i="4" s="1"/>
  <c r="AE232" i="8"/>
  <c r="AE232" i="4" s="1"/>
  <c r="AE233" i="8"/>
  <c r="AE233" i="4" s="1"/>
  <c r="AE234" i="8"/>
  <c r="AE234" i="4" s="1"/>
  <c r="AE235" i="8"/>
  <c r="AE235" i="4" s="1"/>
  <c r="AE236" i="8"/>
  <c r="AE236" i="4" s="1"/>
  <c r="AE237" i="8"/>
  <c r="AE237" i="4" s="1"/>
  <c r="AE238" i="8"/>
  <c r="AE238" i="4" s="1"/>
  <c r="AE239" i="8"/>
  <c r="AE239" i="4" s="1"/>
  <c r="AE240" i="8"/>
  <c r="AE240" i="4" s="1"/>
  <c r="AE241" i="8"/>
  <c r="AE241" i="4" s="1"/>
  <c r="AE242" i="8"/>
  <c r="AE242" i="4" s="1"/>
  <c r="AE243" i="8"/>
  <c r="AE243" i="4" s="1"/>
  <c r="AE244" i="8"/>
  <c r="AE244" i="4" s="1"/>
  <c r="AE245" i="8"/>
  <c r="AE245" i="4" s="1"/>
  <c r="AE246" i="8"/>
  <c r="AE246" i="4" s="1"/>
  <c r="AE247" i="8"/>
  <c r="AE247" i="4" s="1"/>
  <c r="AE248" i="8"/>
  <c r="AE248" i="4" s="1"/>
  <c r="AE249" i="8"/>
  <c r="AE249" i="4" s="1"/>
  <c r="AE250" i="8"/>
  <c r="AE250" i="4" s="1"/>
  <c r="AE251" i="8"/>
  <c r="AE251" i="4" s="1"/>
  <c r="AE252" i="8"/>
  <c r="AE252" i="4" s="1"/>
  <c r="AE253" i="8"/>
  <c r="AE253" i="4" s="1"/>
  <c r="AE254" i="8"/>
  <c r="AE254" i="4" s="1"/>
  <c r="AE255" i="8"/>
  <c r="AE255" i="4" s="1"/>
  <c r="AE256" i="8"/>
  <c r="AE256" i="4" s="1"/>
  <c r="AE257" i="8"/>
  <c r="AE257" i="4" s="1"/>
  <c r="AE258" i="8"/>
  <c r="AE258" i="4" s="1"/>
  <c r="AE259" i="8"/>
  <c r="AE259" i="4" s="1"/>
  <c r="AE260" i="8"/>
  <c r="AE260" i="4" s="1"/>
  <c r="AE261" i="8"/>
  <c r="AE261" i="4" s="1"/>
  <c r="AE262" i="8"/>
  <c r="AE262" i="4" s="1"/>
  <c r="AE263" i="8"/>
  <c r="AE263" i="4" s="1"/>
  <c r="AE264" i="8"/>
  <c r="AE264" i="4" s="1"/>
  <c r="AE265" i="8"/>
  <c r="AE265" i="4" s="1"/>
  <c r="AE266" i="8"/>
  <c r="AE267" i="8"/>
  <c r="AE267" i="4" s="1"/>
  <c r="AE268" i="8"/>
  <c r="AE268" i="4" s="1"/>
  <c r="AE269" i="8"/>
  <c r="AE269" i="4" s="1"/>
  <c r="AE270" i="8"/>
  <c r="AE270" i="4" s="1"/>
  <c r="AE271" i="8"/>
  <c r="AE271" i="4" s="1"/>
  <c r="AE272" i="8"/>
  <c r="AE272" i="4" s="1"/>
  <c r="AE273" i="8"/>
  <c r="AE273" i="4" s="1"/>
  <c r="AE274" i="8"/>
  <c r="AE274" i="4" s="1"/>
  <c r="AE275" i="8"/>
  <c r="AE275" i="4" s="1"/>
  <c r="AD140" i="8"/>
  <c r="AD140" i="4" s="1"/>
  <c r="AD141" i="8"/>
  <c r="AD141" i="4" s="1"/>
  <c r="AD142" i="8"/>
  <c r="AD142" i="4" s="1"/>
  <c r="AD143" i="8"/>
  <c r="AD143" i="4" s="1"/>
  <c r="AD144" i="8"/>
  <c r="AD144" i="4" s="1"/>
  <c r="AD145" i="8"/>
  <c r="AD145" i="4" s="1"/>
  <c r="AD146" i="8"/>
  <c r="AD146" i="4" s="1"/>
  <c r="AD147" i="8"/>
  <c r="AD147" i="4" s="1"/>
  <c r="AD148" i="8"/>
  <c r="AD148" i="4" s="1"/>
  <c r="AD149" i="8"/>
  <c r="AD149" i="4" s="1"/>
  <c r="AD150" i="8"/>
  <c r="AD150" i="4" s="1"/>
  <c r="AD151" i="8"/>
  <c r="AD151" i="4" s="1"/>
  <c r="AD152" i="8"/>
  <c r="AD152" i="4" s="1"/>
  <c r="AD153" i="8"/>
  <c r="AD153" i="4" s="1"/>
  <c r="AD154" i="8"/>
  <c r="AD154" i="4" s="1"/>
  <c r="AD155" i="8"/>
  <c r="AD155" i="4" s="1"/>
  <c r="AD156" i="8"/>
  <c r="AD156" i="4" s="1"/>
  <c r="AD157" i="8"/>
  <c r="AD157" i="4" s="1"/>
  <c r="AD158" i="8"/>
  <c r="AD158" i="4" s="1"/>
  <c r="AD159" i="8"/>
  <c r="AD159" i="4" s="1"/>
  <c r="AD160" i="8"/>
  <c r="AD160" i="4" s="1"/>
  <c r="AD161" i="8"/>
  <c r="AD161" i="4" s="1"/>
  <c r="AD162" i="8"/>
  <c r="AD162" i="4" s="1"/>
  <c r="AD163" i="8"/>
  <c r="AD163" i="4" s="1"/>
  <c r="AD164" i="8"/>
  <c r="AD164" i="4" s="1"/>
  <c r="AD165" i="8"/>
  <c r="AD165" i="4" s="1"/>
  <c r="AD166" i="8"/>
  <c r="AD166" i="4" s="1"/>
  <c r="AD167" i="8"/>
  <c r="AD167" i="4" s="1"/>
  <c r="AD168" i="8"/>
  <c r="AD168" i="4" s="1"/>
  <c r="AD169" i="8"/>
  <c r="AD169" i="4" s="1"/>
  <c r="AD170" i="8"/>
  <c r="AD170" i="4" s="1"/>
  <c r="AD171" i="8"/>
  <c r="AD171" i="4" s="1"/>
  <c r="AD172" i="8"/>
  <c r="AD172" i="4" s="1"/>
  <c r="AD173" i="8"/>
  <c r="AD174" i="8"/>
  <c r="AD174" i="4" s="1"/>
  <c r="AD175" i="8"/>
  <c r="AD175" i="4" s="1"/>
  <c r="AD176" i="8"/>
  <c r="AD176" i="4" s="1"/>
  <c r="AD177" i="8"/>
  <c r="AD177" i="4" s="1"/>
  <c r="AD178" i="8"/>
  <c r="AD178" i="4" s="1"/>
  <c r="AD179" i="8"/>
  <c r="AD179" i="4" s="1"/>
  <c r="AD180" i="8"/>
  <c r="AD180" i="4" s="1"/>
  <c r="AD181" i="8"/>
  <c r="AD181" i="4" s="1"/>
  <c r="AD182" i="8"/>
  <c r="AD182" i="4" s="1"/>
  <c r="AD183" i="8"/>
  <c r="AD183" i="4" s="1"/>
  <c r="AD184" i="8"/>
  <c r="AD184" i="4" s="1"/>
  <c r="AD185" i="8"/>
  <c r="AD185" i="4" s="1"/>
  <c r="AD186" i="8"/>
  <c r="AD186" i="4" s="1"/>
  <c r="AD187" i="8"/>
  <c r="AD187" i="4" s="1"/>
  <c r="AD188" i="8"/>
  <c r="AD188" i="4" s="1"/>
  <c r="AD189" i="8"/>
  <c r="AD189" i="4" s="1"/>
  <c r="AD190" i="8"/>
  <c r="AD190" i="4" s="1"/>
  <c r="AD191" i="8"/>
  <c r="AD191" i="4" s="1"/>
  <c r="AD192" i="8"/>
  <c r="AD192" i="4" s="1"/>
  <c r="AD193" i="8"/>
  <c r="AD193" i="4" s="1"/>
  <c r="AD194" i="8"/>
  <c r="AD194" i="4" s="1"/>
  <c r="AD195" i="8"/>
  <c r="AD195" i="4" s="1"/>
  <c r="AD196" i="8"/>
  <c r="AD196" i="4" s="1"/>
  <c r="AD197" i="8"/>
  <c r="AD197" i="4" s="1"/>
  <c r="AD198" i="8"/>
  <c r="AD198" i="4" s="1"/>
  <c r="AD199" i="8"/>
  <c r="AD199" i="4" s="1"/>
  <c r="AD200" i="8"/>
  <c r="AD200" i="4" s="1"/>
  <c r="AD201" i="8"/>
  <c r="AD201" i="4" s="1"/>
  <c r="AD202" i="8"/>
  <c r="AD202" i="4" s="1"/>
  <c r="AD203" i="8"/>
  <c r="AD203" i="4" s="1"/>
  <c r="AD204" i="8"/>
  <c r="AD204" i="4" s="1"/>
  <c r="AD205" i="8"/>
  <c r="AD205" i="4" s="1"/>
  <c r="AD206" i="8"/>
  <c r="AD206" i="4" s="1"/>
  <c r="AD207" i="8"/>
  <c r="AD207" i="4" s="1"/>
  <c r="AD208" i="8"/>
  <c r="AD208" i="4" s="1"/>
  <c r="AD209" i="8"/>
  <c r="AD209" i="4" s="1"/>
  <c r="AD210" i="8"/>
  <c r="AD210" i="4" s="1"/>
  <c r="AD211" i="8"/>
  <c r="AD211" i="4" s="1"/>
  <c r="AD212" i="8"/>
  <c r="AD212" i="4" s="1"/>
  <c r="AD213" i="8"/>
  <c r="AD213" i="4" s="1"/>
  <c r="AD214" i="8"/>
  <c r="AD214" i="4" s="1"/>
  <c r="AD215" i="8"/>
  <c r="AD216" i="8"/>
  <c r="AD216" i="4" s="1"/>
  <c r="AD217" i="8"/>
  <c r="AD217" i="4" s="1"/>
  <c r="AD218" i="8"/>
  <c r="AD218" i="4" s="1"/>
  <c r="AD219" i="8"/>
  <c r="AD219" i="4" s="1"/>
  <c r="AD220" i="8"/>
  <c r="AD220" i="4" s="1"/>
  <c r="AD221" i="8"/>
  <c r="AD221" i="4" s="1"/>
  <c r="AD222" i="8"/>
  <c r="AD222" i="4" s="1"/>
  <c r="AD223" i="8"/>
  <c r="AD223" i="4" s="1"/>
  <c r="AD224" i="8"/>
  <c r="AD224" i="4" s="1"/>
  <c r="AD225" i="8"/>
  <c r="AD225" i="4" s="1"/>
  <c r="AD226" i="8"/>
  <c r="AD226" i="4" s="1"/>
  <c r="AD227" i="8"/>
  <c r="AD228" i="8"/>
  <c r="AD228" i="4" s="1"/>
  <c r="AD229" i="8"/>
  <c r="AD229" i="4" s="1"/>
  <c r="AD230" i="8"/>
  <c r="AD230" i="4" s="1"/>
  <c r="AD231" i="8"/>
  <c r="AD231" i="4" s="1"/>
  <c r="AD232" i="8"/>
  <c r="AD232" i="4" s="1"/>
  <c r="AD233" i="8"/>
  <c r="AD233" i="4" s="1"/>
  <c r="AD234" i="8"/>
  <c r="AD234" i="4" s="1"/>
  <c r="AD235" i="8"/>
  <c r="AD235" i="4" s="1"/>
  <c r="AD236" i="8"/>
  <c r="AD236" i="4" s="1"/>
  <c r="AD237" i="8"/>
  <c r="AD237" i="4" s="1"/>
  <c r="AD238" i="8"/>
  <c r="AD238" i="4" s="1"/>
  <c r="AD239" i="8"/>
  <c r="AD239" i="4" s="1"/>
  <c r="AD240" i="8"/>
  <c r="AD240" i="4" s="1"/>
  <c r="AD241" i="8"/>
  <c r="AD241" i="4" s="1"/>
  <c r="AD242" i="8"/>
  <c r="AD242" i="4" s="1"/>
  <c r="AD243" i="8"/>
  <c r="AD243" i="4" s="1"/>
  <c r="AD244" i="8"/>
  <c r="AD244" i="4" s="1"/>
  <c r="AD245" i="8"/>
  <c r="AD245" i="4" s="1"/>
  <c r="AD246" i="8"/>
  <c r="AD246" i="4" s="1"/>
  <c r="AD247" i="8"/>
  <c r="AD247" i="4" s="1"/>
  <c r="AD248" i="8"/>
  <c r="AD248" i="4" s="1"/>
  <c r="AD249" i="8"/>
  <c r="AD249" i="4" s="1"/>
  <c r="AD250" i="8"/>
  <c r="AD250" i="4" s="1"/>
  <c r="AD251" i="8"/>
  <c r="AD251" i="4" s="1"/>
  <c r="AD252" i="8"/>
  <c r="AD252" i="4" s="1"/>
  <c r="AD253" i="8"/>
  <c r="AD253" i="4" s="1"/>
  <c r="AD254" i="8"/>
  <c r="AD254" i="4" s="1"/>
  <c r="AD255" i="8"/>
  <c r="AD255" i="4" s="1"/>
  <c r="AD256" i="8"/>
  <c r="AD256" i="4" s="1"/>
  <c r="AD257" i="8"/>
  <c r="AD257" i="4" s="1"/>
  <c r="AD258" i="8"/>
  <c r="AD258" i="4" s="1"/>
  <c r="AD259" i="8"/>
  <c r="AD259" i="4" s="1"/>
  <c r="AD260" i="8"/>
  <c r="AD260" i="4" s="1"/>
  <c r="AD261" i="8"/>
  <c r="AD261" i="4" s="1"/>
  <c r="AD262" i="8"/>
  <c r="AD262" i="4" s="1"/>
  <c r="AD263" i="8"/>
  <c r="AD263" i="4" s="1"/>
  <c r="AD264" i="8"/>
  <c r="AD264" i="4" s="1"/>
  <c r="AD265" i="8"/>
  <c r="AD265" i="4" s="1"/>
  <c r="AD266" i="8"/>
  <c r="AD267" i="8"/>
  <c r="AD267" i="4" s="1"/>
  <c r="AD268" i="8"/>
  <c r="AD268" i="4" s="1"/>
  <c r="AD269" i="8"/>
  <c r="AD269" i="4" s="1"/>
  <c r="AD270" i="8"/>
  <c r="AD270" i="4" s="1"/>
  <c r="AD271" i="8"/>
  <c r="AD271" i="4" s="1"/>
  <c r="AD272" i="8"/>
  <c r="AD272" i="4" s="1"/>
  <c r="AD273" i="8"/>
  <c r="AD273" i="4" s="1"/>
  <c r="AD274" i="8"/>
  <c r="AD274" i="4" s="1"/>
  <c r="AD275" i="8"/>
  <c r="AD275" i="4" s="1"/>
  <c r="AC140" i="8"/>
  <c r="AC140" i="4" s="1"/>
  <c r="AC141" i="8"/>
  <c r="AC141" i="4" s="1"/>
  <c r="AC142" i="8"/>
  <c r="AC142" i="4" s="1"/>
  <c r="AC143" i="8"/>
  <c r="AC143" i="4" s="1"/>
  <c r="AC144" i="8"/>
  <c r="AC144" i="4" s="1"/>
  <c r="AC145" i="8"/>
  <c r="AC145" i="4" s="1"/>
  <c r="AC146" i="8"/>
  <c r="AC146" i="4" s="1"/>
  <c r="AC147" i="8"/>
  <c r="AC147" i="4" s="1"/>
  <c r="AC148" i="8"/>
  <c r="AC148" i="4" s="1"/>
  <c r="AC149" i="8"/>
  <c r="AC149" i="4" s="1"/>
  <c r="AC150" i="8"/>
  <c r="AC150" i="4" s="1"/>
  <c r="AC151" i="8"/>
  <c r="AC151" i="4" s="1"/>
  <c r="AC152" i="8"/>
  <c r="AC152" i="4" s="1"/>
  <c r="AC153" i="8"/>
  <c r="AC153" i="4" s="1"/>
  <c r="AC154" i="8"/>
  <c r="AC154" i="4" s="1"/>
  <c r="AC155" i="8"/>
  <c r="AC155" i="4" s="1"/>
  <c r="AC156" i="8"/>
  <c r="AC156" i="4" s="1"/>
  <c r="AC157" i="8"/>
  <c r="AC157" i="4" s="1"/>
  <c r="AC158" i="8"/>
  <c r="AC158" i="4" s="1"/>
  <c r="AC159" i="8"/>
  <c r="AC159" i="4" s="1"/>
  <c r="AC160" i="8"/>
  <c r="AC160" i="4" s="1"/>
  <c r="AC161" i="8"/>
  <c r="AC161" i="4" s="1"/>
  <c r="AC162" i="8"/>
  <c r="AC162" i="4" s="1"/>
  <c r="AC163" i="8"/>
  <c r="AC163" i="4" s="1"/>
  <c r="AC164" i="8"/>
  <c r="AC164" i="4" s="1"/>
  <c r="AC165" i="8"/>
  <c r="AC165" i="4" s="1"/>
  <c r="AC166" i="8"/>
  <c r="AC166" i="4" s="1"/>
  <c r="AC167" i="8"/>
  <c r="AC167" i="4" s="1"/>
  <c r="AC168" i="8"/>
  <c r="AC168" i="4" s="1"/>
  <c r="AC169" i="8"/>
  <c r="AC169" i="4" s="1"/>
  <c r="AC170" i="8"/>
  <c r="AC170" i="4" s="1"/>
  <c r="AC171" i="8"/>
  <c r="AC171" i="4" s="1"/>
  <c r="AC172" i="8"/>
  <c r="AC172" i="4" s="1"/>
  <c r="AC173" i="8"/>
  <c r="AC174" i="8"/>
  <c r="AC174" i="4" s="1"/>
  <c r="AC175" i="8"/>
  <c r="AC175" i="4" s="1"/>
  <c r="AC176" i="8"/>
  <c r="AC176" i="4" s="1"/>
  <c r="AC177" i="8"/>
  <c r="AC177" i="4" s="1"/>
  <c r="AC178" i="8"/>
  <c r="AC178" i="4" s="1"/>
  <c r="AC179" i="8"/>
  <c r="AC179" i="4" s="1"/>
  <c r="AC180" i="8"/>
  <c r="AC180" i="4" s="1"/>
  <c r="AC181" i="8"/>
  <c r="AC181" i="4" s="1"/>
  <c r="AC182" i="8"/>
  <c r="AC182" i="4" s="1"/>
  <c r="AC183" i="8"/>
  <c r="AC183" i="4" s="1"/>
  <c r="AC184" i="8"/>
  <c r="AC184" i="4" s="1"/>
  <c r="AC185" i="8"/>
  <c r="AC185" i="4" s="1"/>
  <c r="AC186" i="8"/>
  <c r="AC186" i="4" s="1"/>
  <c r="AC187" i="8"/>
  <c r="AC187" i="4" s="1"/>
  <c r="AC188" i="8"/>
  <c r="AC188" i="4" s="1"/>
  <c r="AC189" i="8"/>
  <c r="AC189" i="4" s="1"/>
  <c r="AC190" i="8"/>
  <c r="AC190" i="4" s="1"/>
  <c r="AC191" i="8"/>
  <c r="AC191" i="4" s="1"/>
  <c r="AC192" i="8"/>
  <c r="AC192" i="4" s="1"/>
  <c r="AC193" i="8"/>
  <c r="AC193" i="4" s="1"/>
  <c r="AC194" i="8"/>
  <c r="AC194" i="4" s="1"/>
  <c r="AC195" i="8"/>
  <c r="AC195" i="4" s="1"/>
  <c r="AC196" i="8"/>
  <c r="AC196" i="4" s="1"/>
  <c r="AC197" i="8"/>
  <c r="AC197" i="4" s="1"/>
  <c r="AC198" i="8"/>
  <c r="AC198" i="4" s="1"/>
  <c r="AC199" i="8"/>
  <c r="AC199" i="4" s="1"/>
  <c r="AC200" i="8"/>
  <c r="AC200" i="4" s="1"/>
  <c r="AC201" i="8"/>
  <c r="AC201" i="4" s="1"/>
  <c r="AC202" i="8"/>
  <c r="AC202" i="4" s="1"/>
  <c r="AC203" i="8"/>
  <c r="AC203" i="4" s="1"/>
  <c r="AC204" i="8"/>
  <c r="AC204" i="4" s="1"/>
  <c r="AC205" i="8"/>
  <c r="AC205" i="4" s="1"/>
  <c r="AC206" i="8"/>
  <c r="AC206" i="4" s="1"/>
  <c r="AC207" i="8"/>
  <c r="AC207" i="4" s="1"/>
  <c r="AC208" i="8"/>
  <c r="AC208" i="4" s="1"/>
  <c r="AC209" i="8"/>
  <c r="AC209" i="4" s="1"/>
  <c r="AC210" i="8"/>
  <c r="AC210" i="4" s="1"/>
  <c r="AC211" i="8"/>
  <c r="AC211" i="4" s="1"/>
  <c r="AC212" i="8"/>
  <c r="AC212" i="4" s="1"/>
  <c r="AC213" i="8"/>
  <c r="AC213" i="4" s="1"/>
  <c r="AC214" i="8"/>
  <c r="AC214" i="4" s="1"/>
  <c r="AC215" i="8"/>
  <c r="AC216" i="8"/>
  <c r="AC216" i="4" s="1"/>
  <c r="AC217" i="8"/>
  <c r="AC217" i="4" s="1"/>
  <c r="AC218" i="8"/>
  <c r="AC218" i="4" s="1"/>
  <c r="AC219" i="8"/>
  <c r="AC219" i="4" s="1"/>
  <c r="AC220" i="8"/>
  <c r="AC220" i="4" s="1"/>
  <c r="AC221" i="8"/>
  <c r="AC221" i="4" s="1"/>
  <c r="AC222" i="8"/>
  <c r="AC222" i="4" s="1"/>
  <c r="AC223" i="8"/>
  <c r="AC223" i="4" s="1"/>
  <c r="AC224" i="8"/>
  <c r="AC224" i="4" s="1"/>
  <c r="AC225" i="8"/>
  <c r="AC225" i="4" s="1"/>
  <c r="AC226" i="8"/>
  <c r="AC226" i="4" s="1"/>
  <c r="AC227" i="8"/>
  <c r="AC228" i="8"/>
  <c r="AC228" i="4" s="1"/>
  <c r="AC229" i="8"/>
  <c r="AC229" i="4" s="1"/>
  <c r="AC230" i="8"/>
  <c r="AC230" i="4" s="1"/>
  <c r="AC231" i="8"/>
  <c r="AC231" i="4" s="1"/>
  <c r="AC232" i="8"/>
  <c r="AC232" i="4" s="1"/>
  <c r="AC233" i="8"/>
  <c r="AC233" i="4" s="1"/>
  <c r="AC234" i="8"/>
  <c r="AC234" i="4" s="1"/>
  <c r="AC235" i="8"/>
  <c r="AC235" i="4" s="1"/>
  <c r="AC236" i="8"/>
  <c r="AC236" i="4" s="1"/>
  <c r="AC237" i="8"/>
  <c r="AC237" i="4" s="1"/>
  <c r="AC238" i="8"/>
  <c r="AC238" i="4" s="1"/>
  <c r="AC239" i="8"/>
  <c r="AC239" i="4" s="1"/>
  <c r="AC240" i="8"/>
  <c r="AC240" i="4" s="1"/>
  <c r="AC241" i="8"/>
  <c r="AC241" i="4" s="1"/>
  <c r="AC242" i="8"/>
  <c r="AC242" i="4" s="1"/>
  <c r="AC243" i="8"/>
  <c r="AC243" i="4" s="1"/>
  <c r="AC244" i="8"/>
  <c r="AC244" i="4" s="1"/>
  <c r="AC245" i="8"/>
  <c r="AC245" i="4" s="1"/>
  <c r="AC246" i="8"/>
  <c r="AC246" i="4" s="1"/>
  <c r="AC247" i="8"/>
  <c r="AC247" i="4" s="1"/>
  <c r="AC248" i="8"/>
  <c r="AC248" i="4" s="1"/>
  <c r="AC249" i="8"/>
  <c r="AC249" i="4" s="1"/>
  <c r="AC250" i="8"/>
  <c r="AC250" i="4" s="1"/>
  <c r="AC251" i="8"/>
  <c r="AC251" i="4" s="1"/>
  <c r="AC252" i="8"/>
  <c r="AC252" i="4" s="1"/>
  <c r="AC253" i="8"/>
  <c r="AC253" i="4" s="1"/>
  <c r="AC254" i="8"/>
  <c r="AC254" i="4" s="1"/>
  <c r="AC255" i="8"/>
  <c r="AC255" i="4" s="1"/>
  <c r="AC256" i="8"/>
  <c r="AC256" i="4" s="1"/>
  <c r="AC257" i="8"/>
  <c r="AC257" i="4" s="1"/>
  <c r="AC258" i="8"/>
  <c r="AC258" i="4" s="1"/>
  <c r="AC259" i="8"/>
  <c r="AC259" i="4" s="1"/>
  <c r="AC260" i="8"/>
  <c r="AC260" i="4" s="1"/>
  <c r="AC261" i="8"/>
  <c r="AC261" i="4" s="1"/>
  <c r="AC262" i="8"/>
  <c r="AC262" i="4" s="1"/>
  <c r="AC263" i="8"/>
  <c r="AC263" i="4" s="1"/>
  <c r="AC264" i="8"/>
  <c r="AC264" i="4" s="1"/>
  <c r="AC265" i="8"/>
  <c r="AC265" i="4" s="1"/>
  <c r="AC266" i="8"/>
  <c r="AC267" i="8"/>
  <c r="AC267" i="4" s="1"/>
  <c r="AC268" i="8"/>
  <c r="AC268" i="4" s="1"/>
  <c r="AC269" i="8"/>
  <c r="AC269" i="4" s="1"/>
  <c r="AC270" i="8"/>
  <c r="AC270" i="4" s="1"/>
  <c r="AC271" i="8"/>
  <c r="AC271" i="4" s="1"/>
  <c r="AC272" i="8"/>
  <c r="AC272" i="4" s="1"/>
  <c r="AC273" i="8"/>
  <c r="AC273" i="4" s="1"/>
  <c r="AC274" i="8"/>
  <c r="AC274" i="4" s="1"/>
  <c r="AC275" i="8"/>
  <c r="AC275" i="4" s="1"/>
  <c r="L140" i="8"/>
  <c r="L140" i="4" s="1"/>
  <c r="L141" i="8"/>
  <c r="L141" i="4" s="1"/>
  <c r="L142" i="8"/>
  <c r="L142" i="4" s="1"/>
  <c r="L143" i="8"/>
  <c r="L143" i="4" s="1"/>
  <c r="L144" i="8"/>
  <c r="L144" i="4" s="1"/>
  <c r="L145" i="8"/>
  <c r="L145" i="4" s="1"/>
  <c r="L146" i="8"/>
  <c r="L146" i="4" s="1"/>
  <c r="L147" i="8"/>
  <c r="L147" i="4" s="1"/>
  <c r="L148" i="8"/>
  <c r="L148" i="4" s="1"/>
  <c r="L149" i="8"/>
  <c r="L149" i="4" s="1"/>
  <c r="L150" i="8"/>
  <c r="L150" i="4" s="1"/>
  <c r="L151" i="8"/>
  <c r="L151" i="4" s="1"/>
  <c r="L152" i="8"/>
  <c r="L152" i="4" s="1"/>
  <c r="L153" i="8"/>
  <c r="L153" i="4" s="1"/>
  <c r="L154" i="8"/>
  <c r="L154" i="4" s="1"/>
  <c r="L155" i="8"/>
  <c r="L155" i="4" s="1"/>
  <c r="L156" i="8"/>
  <c r="L156" i="4" s="1"/>
  <c r="L157" i="8"/>
  <c r="L157" i="4" s="1"/>
  <c r="L158" i="8"/>
  <c r="L158" i="4" s="1"/>
  <c r="L159" i="8"/>
  <c r="L159" i="4" s="1"/>
  <c r="L160" i="8"/>
  <c r="L160" i="4" s="1"/>
  <c r="L161" i="8"/>
  <c r="L161" i="4" s="1"/>
  <c r="L162" i="8"/>
  <c r="L162" i="4" s="1"/>
  <c r="L163" i="8"/>
  <c r="L163" i="4" s="1"/>
  <c r="L164" i="8"/>
  <c r="L164" i="4" s="1"/>
  <c r="L165" i="8"/>
  <c r="L165" i="4" s="1"/>
  <c r="L166" i="8"/>
  <c r="L166" i="4" s="1"/>
  <c r="L167" i="8"/>
  <c r="L167" i="4" s="1"/>
  <c r="L168" i="8"/>
  <c r="L168" i="4" s="1"/>
  <c r="L169" i="8"/>
  <c r="L169" i="4" s="1"/>
  <c r="L170" i="8"/>
  <c r="L170" i="4" s="1"/>
  <c r="L171" i="8"/>
  <c r="L171" i="4" s="1"/>
  <c r="L172" i="8"/>
  <c r="L172" i="4" s="1"/>
  <c r="L173" i="8"/>
  <c r="L173" i="4" s="1"/>
  <c r="L174" i="8"/>
  <c r="L174" i="4" s="1"/>
  <c r="L175" i="8"/>
  <c r="L175" i="4" s="1"/>
  <c r="L176" i="8"/>
  <c r="L176" i="4" s="1"/>
  <c r="L177" i="8"/>
  <c r="L177" i="4" s="1"/>
  <c r="L178" i="8"/>
  <c r="L178" i="4" s="1"/>
  <c r="L179" i="8"/>
  <c r="L179" i="4" s="1"/>
  <c r="L180" i="8"/>
  <c r="L180" i="4" s="1"/>
  <c r="L181" i="8"/>
  <c r="L181" i="4" s="1"/>
  <c r="L182" i="8"/>
  <c r="L182" i="4" s="1"/>
  <c r="L183" i="8"/>
  <c r="L183" i="4" s="1"/>
  <c r="L184" i="8"/>
  <c r="L184" i="4" s="1"/>
  <c r="L185" i="8"/>
  <c r="L185" i="4" s="1"/>
  <c r="L186" i="8"/>
  <c r="L186" i="4" s="1"/>
  <c r="L187" i="8"/>
  <c r="L187" i="4" s="1"/>
  <c r="L188" i="8"/>
  <c r="L188" i="4" s="1"/>
  <c r="L189" i="8"/>
  <c r="L189" i="4" s="1"/>
  <c r="L190" i="8"/>
  <c r="L190" i="4" s="1"/>
  <c r="L191" i="8"/>
  <c r="L191" i="4" s="1"/>
  <c r="L192" i="8"/>
  <c r="L192" i="4" s="1"/>
  <c r="L193" i="8"/>
  <c r="L193" i="4" s="1"/>
  <c r="L194" i="8"/>
  <c r="L194" i="4" s="1"/>
  <c r="L195" i="8"/>
  <c r="L195" i="4" s="1"/>
  <c r="L196" i="8"/>
  <c r="L196" i="4" s="1"/>
  <c r="L197" i="8"/>
  <c r="L197" i="4" s="1"/>
  <c r="L198" i="8"/>
  <c r="L198" i="4" s="1"/>
  <c r="L199" i="8"/>
  <c r="L199" i="4" s="1"/>
  <c r="L200" i="8"/>
  <c r="L200" i="4" s="1"/>
  <c r="L201" i="8"/>
  <c r="L201" i="4" s="1"/>
  <c r="L202" i="8"/>
  <c r="L202" i="4" s="1"/>
  <c r="L203" i="8"/>
  <c r="L203" i="4" s="1"/>
  <c r="L204" i="8"/>
  <c r="L204" i="4" s="1"/>
  <c r="L205" i="8"/>
  <c r="L205" i="4" s="1"/>
  <c r="L206" i="8"/>
  <c r="L206" i="4" s="1"/>
  <c r="L207" i="8"/>
  <c r="L207" i="4" s="1"/>
  <c r="L208" i="8"/>
  <c r="L208" i="4" s="1"/>
  <c r="L209" i="8"/>
  <c r="L209" i="4" s="1"/>
  <c r="L210" i="8"/>
  <c r="L210" i="4" s="1"/>
  <c r="L211" i="8"/>
  <c r="L211" i="4" s="1"/>
  <c r="L212" i="8"/>
  <c r="L212" i="4" s="1"/>
  <c r="L213" i="8"/>
  <c r="L213" i="4" s="1"/>
  <c r="L214" i="8"/>
  <c r="L214" i="4" s="1"/>
  <c r="L215" i="8"/>
  <c r="L215" i="4" s="1"/>
  <c r="L216" i="8"/>
  <c r="L216" i="4" s="1"/>
  <c r="L217" i="8"/>
  <c r="L217" i="4" s="1"/>
  <c r="L218" i="8"/>
  <c r="L218" i="4" s="1"/>
  <c r="L219" i="8"/>
  <c r="L219" i="4" s="1"/>
  <c r="L220" i="8"/>
  <c r="L220" i="4" s="1"/>
  <c r="L221" i="8"/>
  <c r="L221" i="4" s="1"/>
  <c r="L222" i="8"/>
  <c r="L222" i="4" s="1"/>
  <c r="L223" i="8"/>
  <c r="L223" i="4" s="1"/>
  <c r="L224" i="8"/>
  <c r="L224" i="4" s="1"/>
  <c r="L225" i="8"/>
  <c r="L225" i="4" s="1"/>
  <c r="L226" i="8"/>
  <c r="L226" i="4" s="1"/>
  <c r="L227" i="8"/>
  <c r="L227" i="4" s="1"/>
  <c r="L228" i="8"/>
  <c r="L228" i="4" s="1"/>
  <c r="L229" i="8"/>
  <c r="L229" i="4" s="1"/>
  <c r="L230" i="8"/>
  <c r="L230" i="4" s="1"/>
  <c r="L231" i="8"/>
  <c r="L231" i="4" s="1"/>
  <c r="L232" i="8"/>
  <c r="L232" i="4" s="1"/>
  <c r="L233" i="8"/>
  <c r="L233" i="4" s="1"/>
  <c r="L234" i="8"/>
  <c r="L234" i="4" s="1"/>
  <c r="L235" i="8"/>
  <c r="L235" i="4" s="1"/>
  <c r="L236" i="8"/>
  <c r="L236" i="4" s="1"/>
  <c r="L237" i="8"/>
  <c r="L237" i="4" s="1"/>
  <c r="L238" i="8"/>
  <c r="L238" i="4" s="1"/>
  <c r="L239" i="8"/>
  <c r="L239" i="4" s="1"/>
  <c r="L240" i="8"/>
  <c r="L240" i="4" s="1"/>
  <c r="L241" i="8"/>
  <c r="L241" i="4" s="1"/>
  <c r="L242" i="8"/>
  <c r="L242" i="4" s="1"/>
  <c r="L243" i="8"/>
  <c r="L243" i="4" s="1"/>
  <c r="L244" i="8"/>
  <c r="L244" i="4" s="1"/>
  <c r="L245" i="8"/>
  <c r="L245" i="4" s="1"/>
  <c r="L246" i="8"/>
  <c r="L246" i="4" s="1"/>
  <c r="L247" i="8"/>
  <c r="L247" i="4" s="1"/>
  <c r="L248" i="8"/>
  <c r="L248" i="4" s="1"/>
  <c r="L249" i="8"/>
  <c r="L249" i="4" s="1"/>
  <c r="L250" i="8"/>
  <c r="L250" i="4" s="1"/>
  <c r="L251" i="8"/>
  <c r="L251" i="4" s="1"/>
  <c r="L252" i="8"/>
  <c r="L252" i="4" s="1"/>
  <c r="L253" i="8"/>
  <c r="L253" i="4" s="1"/>
  <c r="L254" i="8"/>
  <c r="L254" i="4" s="1"/>
  <c r="L255" i="8"/>
  <c r="L255" i="4" s="1"/>
  <c r="L256" i="8"/>
  <c r="L256" i="4" s="1"/>
  <c r="L257" i="8"/>
  <c r="L257" i="4" s="1"/>
  <c r="L258" i="8"/>
  <c r="L258" i="4" s="1"/>
  <c r="L259" i="8"/>
  <c r="L259" i="4" s="1"/>
  <c r="L260" i="8"/>
  <c r="L260" i="4" s="1"/>
  <c r="L261" i="8"/>
  <c r="L261" i="4" s="1"/>
  <c r="L262" i="8"/>
  <c r="L262" i="4" s="1"/>
  <c r="L263" i="8"/>
  <c r="L263" i="4" s="1"/>
  <c r="L264" i="8"/>
  <c r="L264" i="4" s="1"/>
  <c r="L265" i="8"/>
  <c r="L265" i="4" s="1"/>
  <c r="L266" i="8"/>
  <c r="L266" i="4" s="1"/>
  <c r="L267" i="8"/>
  <c r="L267" i="4" s="1"/>
  <c r="L268" i="8"/>
  <c r="L268" i="4" s="1"/>
  <c r="L269" i="8"/>
  <c r="L269" i="4" s="1"/>
  <c r="L270" i="8"/>
  <c r="L270" i="4" s="1"/>
  <c r="L271" i="8"/>
  <c r="L271" i="4" s="1"/>
  <c r="L272" i="8"/>
  <c r="L272" i="4" s="1"/>
  <c r="L273" i="8"/>
  <c r="L273" i="4" s="1"/>
  <c r="L274" i="8"/>
  <c r="L274" i="4" s="1"/>
  <c r="L275" i="8"/>
  <c r="L275" i="4" s="1"/>
  <c r="K140" i="8"/>
  <c r="K140" i="4" s="1"/>
  <c r="AY140" i="4" s="1"/>
  <c r="K141" i="8"/>
  <c r="K141" i="4" s="1"/>
  <c r="AY141" i="4" s="1"/>
  <c r="K142" i="8"/>
  <c r="K142" i="4" s="1"/>
  <c r="AY142" i="4" s="1"/>
  <c r="K143" i="8"/>
  <c r="K143" i="4" s="1"/>
  <c r="AY143" i="4" s="1"/>
  <c r="K144" i="8"/>
  <c r="K144" i="4" s="1"/>
  <c r="AY144" i="4" s="1"/>
  <c r="K145" i="8"/>
  <c r="K145" i="4" s="1"/>
  <c r="AY145" i="4" s="1"/>
  <c r="K146" i="8"/>
  <c r="K146" i="4" s="1"/>
  <c r="AY146" i="4" s="1"/>
  <c r="K147" i="8"/>
  <c r="K147" i="4" s="1"/>
  <c r="AY147" i="4" s="1"/>
  <c r="K148" i="8"/>
  <c r="K148" i="4" s="1"/>
  <c r="AY148" i="4" s="1"/>
  <c r="K149" i="8"/>
  <c r="K149" i="4" s="1"/>
  <c r="AY149" i="4" s="1"/>
  <c r="K150" i="8"/>
  <c r="K150" i="4" s="1"/>
  <c r="AY150" i="4" s="1"/>
  <c r="K151" i="8"/>
  <c r="K151" i="4" s="1"/>
  <c r="AY151" i="4" s="1"/>
  <c r="K152" i="8"/>
  <c r="K152" i="4" s="1"/>
  <c r="AY152" i="4" s="1"/>
  <c r="K153" i="8"/>
  <c r="K153" i="4" s="1"/>
  <c r="AY153" i="4" s="1"/>
  <c r="K154" i="8"/>
  <c r="K154" i="4" s="1"/>
  <c r="AY154" i="4" s="1"/>
  <c r="K155" i="8"/>
  <c r="K155" i="4" s="1"/>
  <c r="AY155" i="4" s="1"/>
  <c r="K156" i="8"/>
  <c r="K156" i="4" s="1"/>
  <c r="AY156" i="4" s="1"/>
  <c r="K157" i="8"/>
  <c r="K157" i="4" s="1"/>
  <c r="AY157" i="4" s="1"/>
  <c r="K158" i="8"/>
  <c r="K158" i="4" s="1"/>
  <c r="AY158" i="4" s="1"/>
  <c r="K159" i="8"/>
  <c r="K159" i="4" s="1"/>
  <c r="AY159" i="4" s="1"/>
  <c r="K160" i="8"/>
  <c r="K160" i="4" s="1"/>
  <c r="AY160" i="4" s="1"/>
  <c r="K161" i="8"/>
  <c r="K161" i="4" s="1"/>
  <c r="AY161" i="4" s="1"/>
  <c r="K162" i="8"/>
  <c r="K162" i="4" s="1"/>
  <c r="AY162" i="4" s="1"/>
  <c r="K163" i="8"/>
  <c r="K163" i="4" s="1"/>
  <c r="AY163" i="4" s="1"/>
  <c r="K164" i="8"/>
  <c r="K164" i="4" s="1"/>
  <c r="AY164" i="4" s="1"/>
  <c r="K165" i="8"/>
  <c r="K165" i="4" s="1"/>
  <c r="AY165" i="4" s="1"/>
  <c r="K166" i="8"/>
  <c r="K166" i="4" s="1"/>
  <c r="AY166" i="4" s="1"/>
  <c r="K167" i="8"/>
  <c r="K167" i="4" s="1"/>
  <c r="AY167" i="4" s="1"/>
  <c r="K168" i="8"/>
  <c r="K168" i="4" s="1"/>
  <c r="AY168" i="4" s="1"/>
  <c r="K169" i="8"/>
  <c r="K169" i="4" s="1"/>
  <c r="AY169" i="4" s="1"/>
  <c r="K170" i="8"/>
  <c r="K170" i="4" s="1"/>
  <c r="AY170" i="4" s="1"/>
  <c r="K171" i="8"/>
  <c r="K171" i="4" s="1"/>
  <c r="AY171" i="4" s="1"/>
  <c r="K172" i="8"/>
  <c r="K172" i="4" s="1"/>
  <c r="AY172" i="4" s="1"/>
  <c r="K173" i="8"/>
  <c r="K173" i="4" s="1"/>
  <c r="AY173" i="4" s="1"/>
  <c r="K174" i="8"/>
  <c r="K174" i="4" s="1"/>
  <c r="AY174" i="4" s="1"/>
  <c r="K175" i="8"/>
  <c r="K175" i="4" s="1"/>
  <c r="AY175" i="4" s="1"/>
  <c r="K176" i="8"/>
  <c r="K176" i="4" s="1"/>
  <c r="AY176" i="4" s="1"/>
  <c r="K177" i="8"/>
  <c r="K177" i="4" s="1"/>
  <c r="AY177" i="4" s="1"/>
  <c r="K178" i="8"/>
  <c r="K178" i="4" s="1"/>
  <c r="AY178" i="4" s="1"/>
  <c r="K179" i="8"/>
  <c r="K179" i="4" s="1"/>
  <c r="AY179" i="4" s="1"/>
  <c r="K180" i="8"/>
  <c r="K180" i="4" s="1"/>
  <c r="AY180" i="4" s="1"/>
  <c r="K181" i="8"/>
  <c r="K181" i="4" s="1"/>
  <c r="AY181" i="4" s="1"/>
  <c r="K182" i="8"/>
  <c r="K182" i="4" s="1"/>
  <c r="AY182" i="4" s="1"/>
  <c r="K183" i="8"/>
  <c r="K183" i="4" s="1"/>
  <c r="AY183" i="4" s="1"/>
  <c r="K184" i="8"/>
  <c r="K184" i="4" s="1"/>
  <c r="AY184" i="4" s="1"/>
  <c r="K185" i="8"/>
  <c r="K185" i="4" s="1"/>
  <c r="AY185" i="4" s="1"/>
  <c r="K186" i="8"/>
  <c r="K186" i="4" s="1"/>
  <c r="AY186" i="4" s="1"/>
  <c r="K187" i="8"/>
  <c r="K187" i="4" s="1"/>
  <c r="AY187" i="4" s="1"/>
  <c r="K188" i="8"/>
  <c r="K188" i="4" s="1"/>
  <c r="AY188" i="4" s="1"/>
  <c r="K189" i="8"/>
  <c r="K189" i="4" s="1"/>
  <c r="AY189" i="4" s="1"/>
  <c r="K190" i="8"/>
  <c r="K190" i="4" s="1"/>
  <c r="AY190" i="4" s="1"/>
  <c r="K191" i="8"/>
  <c r="K191" i="4" s="1"/>
  <c r="AY191" i="4" s="1"/>
  <c r="K192" i="8"/>
  <c r="K192" i="4" s="1"/>
  <c r="AY192" i="4" s="1"/>
  <c r="K193" i="8"/>
  <c r="K193" i="4" s="1"/>
  <c r="AY193" i="4" s="1"/>
  <c r="K194" i="8"/>
  <c r="K194" i="4" s="1"/>
  <c r="AY194" i="4" s="1"/>
  <c r="K195" i="8"/>
  <c r="K195" i="4" s="1"/>
  <c r="AY195" i="4" s="1"/>
  <c r="K196" i="8"/>
  <c r="K196" i="4" s="1"/>
  <c r="AY196" i="4" s="1"/>
  <c r="K197" i="8"/>
  <c r="K197" i="4" s="1"/>
  <c r="AY197" i="4" s="1"/>
  <c r="K198" i="8"/>
  <c r="K198" i="4" s="1"/>
  <c r="AY198" i="4" s="1"/>
  <c r="K199" i="8"/>
  <c r="K199" i="4" s="1"/>
  <c r="AY199" i="4" s="1"/>
  <c r="K200" i="8"/>
  <c r="K200" i="4" s="1"/>
  <c r="AY200" i="4" s="1"/>
  <c r="K201" i="8"/>
  <c r="K201" i="4" s="1"/>
  <c r="AY201" i="4" s="1"/>
  <c r="K202" i="8"/>
  <c r="K202" i="4" s="1"/>
  <c r="AY202" i="4" s="1"/>
  <c r="K203" i="8"/>
  <c r="K203" i="4" s="1"/>
  <c r="AY203" i="4" s="1"/>
  <c r="K204" i="8"/>
  <c r="K204" i="4" s="1"/>
  <c r="AY204" i="4" s="1"/>
  <c r="K205" i="8"/>
  <c r="K205" i="4" s="1"/>
  <c r="AY205" i="4" s="1"/>
  <c r="K206" i="8"/>
  <c r="K206" i="4" s="1"/>
  <c r="AY206" i="4" s="1"/>
  <c r="K207" i="8"/>
  <c r="K207" i="4" s="1"/>
  <c r="AY207" i="4" s="1"/>
  <c r="K208" i="8"/>
  <c r="K208" i="4" s="1"/>
  <c r="AY208" i="4" s="1"/>
  <c r="K209" i="8"/>
  <c r="K209" i="4" s="1"/>
  <c r="AY209" i="4" s="1"/>
  <c r="K210" i="8"/>
  <c r="K210" i="4" s="1"/>
  <c r="AY210" i="4" s="1"/>
  <c r="K211" i="8"/>
  <c r="K211" i="4" s="1"/>
  <c r="AY211" i="4" s="1"/>
  <c r="K212" i="8"/>
  <c r="K212" i="4" s="1"/>
  <c r="AY212" i="4" s="1"/>
  <c r="K213" i="8"/>
  <c r="K213" i="4" s="1"/>
  <c r="AY213" i="4" s="1"/>
  <c r="K214" i="8"/>
  <c r="K214" i="4" s="1"/>
  <c r="AY214" i="4" s="1"/>
  <c r="K215" i="8"/>
  <c r="K215" i="4" s="1"/>
  <c r="AY215" i="4" s="1"/>
  <c r="K216" i="8"/>
  <c r="K216" i="4" s="1"/>
  <c r="AY216" i="4" s="1"/>
  <c r="K217" i="8"/>
  <c r="K217" i="4" s="1"/>
  <c r="AY217" i="4" s="1"/>
  <c r="K218" i="8"/>
  <c r="K218" i="4" s="1"/>
  <c r="AY218" i="4" s="1"/>
  <c r="K219" i="8"/>
  <c r="K219" i="4" s="1"/>
  <c r="AY219" i="4" s="1"/>
  <c r="K220" i="8"/>
  <c r="K220" i="4" s="1"/>
  <c r="AY220" i="4" s="1"/>
  <c r="K221" i="8"/>
  <c r="K221" i="4" s="1"/>
  <c r="AY221" i="4" s="1"/>
  <c r="K222" i="8"/>
  <c r="K222" i="4" s="1"/>
  <c r="AY222" i="4" s="1"/>
  <c r="K223" i="8"/>
  <c r="K223" i="4" s="1"/>
  <c r="AY223" i="4" s="1"/>
  <c r="K224" i="8"/>
  <c r="K224" i="4" s="1"/>
  <c r="AY224" i="4" s="1"/>
  <c r="K225" i="8"/>
  <c r="K225" i="4" s="1"/>
  <c r="AY225" i="4" s="1"/>
  <c r="K226" i="8"/>
  <c r="K226" i="4" s="1"/>
  <c r="AY226" i="4" s="1"/>
  <c r="K227" i="8"/>
  <c r="K227" i="4" s="1"/>
  <c r="AY227" i="4" s="1"/>
  <c r="K228" i="8"/>
  <c r="K228" i="4" s="1"/>
  <c r="AY228" i="4" s="1"/>
  <c r="K229" i="8"/>
  <c r="K229" i="4" s="1"/>
  <c r="AY229" i="4" s="1"/>
  <c r="K230" i="8"/>
  <c r="K230" i="4" s="1"/>
  <c r="AY230" i="4" s="1"/>
  <c r="K231" i="8"/>
  <c r="K231" i="4" s="1"/>
  <c r="AY231" i="4" s="1"/>
  <c r="K232" i="8"/>
  <c r="K232" i="4" s="1"/>
  <c r="AY232" i="4" s="1"/>
  <c r="K233" i="8"/>
  <c r="K233" i="4" s="1"/>
  <c r="AY233" i="4" s="1"/>
  <c r="K234" i="8"/>
  <c r="K234" i="4" s="1"/>
  <c r="AY234" i="4" s="1"/>
  <c r="K235" i="8"/>
  <c r="K235" i="4" s="1"/>
  <c r="AY235" i="4" s="1"/>
  <c r="K236" i="8"/>
  <c r="K236" i="4" s="1"/>
  <c r="AY236" i="4" s="1"/>
  <c r="K237" i="8"/>
  <c r="K237" i="4" s="1"/>
  <c r="AY237" i="4" s="1"/>
  <c r="K238" i="8"/>
  <c r="K238" i="4" s="1"/>
  <c r="AY238" i="4" s="1"/>
  <c r="K239" i="8"/>
  <c r="K239" i="4" s="1"/>
  <c r="AY239" i="4" s="1"/>
  <c r="K240" i="8"/>
  <c r="K240" i="4" s="1"/>
  <c r="AY240" i="4" s="1"/>
  <c r="K241" i="8"/>
  <c r="K241" i="4" s="1"/>
  <c r="AY241" i="4" s="1"/>
  <c r="K242" i="8"/>
  <c r="K242" i="4" s="1"/>
  <c r="AY242" i="4" s="1"/>
  <c r="K243" i="8"/>
  <c r="K243" i="4" s="1"/>
  <c r="AY243" i="4" s="1"/>
  <c r="K244" i="8"/>
  <c r="K244" i="4" s="1"/>
  <c r="AY244" i="4" s="1"/>
  <c r="K245" i="8"/>
  <c r="K245" i="4" s="1"/>
  <c r="AY245" i="4" s="1"/>
  <c r="K246" i="8"/>
  <c r="K246" i="4" s="1"/>
  <c r="AY246" i="4" s="1"/>
  <c r="K247" i="8"/>
  <c r="K247" i="4" s="1"/>
  <c r="AY247" i="4" s="1"/>
  <c r="K248" i="8"/>
  <c r="K248" i="4" s="1"/>
  <c r="AY248" i="4" s="1"/>
  <c r="K249" i="8"/>
  <c r="K249" i="4" s="1"/>
  <c r="AY249" i="4" s="1"/>
  <c r="K250" i="8"/>
  <c r="K250" i="4" s="1"/>
  <c r="AY250" i="4" s="1"/>
  <c r="K251" i="8"/>
  <c r="K251" i="4" s="1"/>
  <c r="AY251" i="4" s="1"/>
  <c r="K252" i="8"/>
  <c r="K252" i="4" s="1"/>
  <c r="AY252" i="4" s="1"/>
  <c r="K253" i="8"/>
  <c r="K253" i="4" s="1"/>
  <c r="AY253" i="4" s="1"/>
  <c r="K254" i="8"/>
  <c r="K254" i="4" s="1"/>
  <c r="AY254" i="4" s="1"/>
  <c r="K255" i="8"/>
  <c r="K255" i="4" s="1"/>
  <c r="AY255" i="4" s="1"/>
  <c r="K256" i="8"/>
  <c r="K256" i="4" s="1"/>
  <c r="AY256" i="4" s="1"/>
  <c r="K257" i="8"/>
  <c r="K257" i="4" s="1"/>
  <c r="AY257" i="4" s="1"/>
  <c r="K258" i="8"/>
  <c r="K258" i="4" s="1"/>
  <c r="AY258" i="4" s="1"/>
  <c r="K259" i="8"/>
  <c r="K259" i="4" s="1"/>
  <c r="AY259" i="4" s="1"/>
  <c r="K260" i="8"/>
  <c r="K260" i="4" s="1"/>
  <c r="AY260" i="4" s="1"/>
  <c r="K261" i="8"/>
  <c r="K261" i="4" s="1"/>
  <c r="AY261" i="4" s="1"/>
  <c r="K262" i="8"/>
  <c r="K262" i="4" s="1"/>
  <c r="AY262" i="4" s="1"/>
  <c r="K263" i="8"/>
  <c r="K263" i="4" s="1"/>
  <c r="AY263" i="4" s="1"/>
  <c r="K264" i="8"/>
  <c r="K264" i="4" s="1"/>
  <c r="AY264" i="4" s="1"/>
  <c r="K265" i="8"/>
  <c r="K265" i="4" s="1"/>
  <c r="AY265" i="4" s="1"/>
  <c r="K266" i="8"/>
  <c r="K266" i="4" s="1"/>
  <c r="AY266" i="4" s="1"/>
  <c r="K267" i="8"/>
  <c r="K267" i="4" s="1"/>
  <c r="AY267" i="4" s="1"/>
  <c r="K268" i="8"/>
  <c r="K268" i="4" s="1"/>
  <c r="AY268" i="4" s="1"/>
  <c r="K269" i="8"/>
  <c r="K269" i="4" s="1"/>
  <c r="AY269" i="4" s="1"/>
  <c r="K270" i="8"/>
  <c r="K270" i="4" s="1"/>
  <c r="AY270" i="4" s="1"/>
  <c r="K271" i="8"/>
  <c r="K271" i="4" s="1"/>
  <c r="AY271" i="4" s="1"/>
  <c r="K272" i="8"/>
  <c r="K272" i="4" s="1"/>
  <c r="AY272" i="4" s="1"/>
  <c r="K273" i="8"/>
  <c r="K273" i="4" s="1"/>
  <c r="AY273" i="4" s="1"/>
  <c r="K274" i="8"/>
  <c r="K274" i="4" s="1"/>
  <c r="AY274" i="4" s="1"/>
  <c r="K275" i="8"/>
  <c r="K275" i="4" s="1"/>
  <c r="AY275" i="4" s="1"/>
  <c r="J140" i="8"/>
  <c r="J140" i="4" s="1"/>
  <c r="J141" i="8"/>
  <c r="J141" i="4" s="1"/>
  <c r="J142" i="8"/>
  <c r="J142" i="4" s="1"/>
  <c r="J143" i="8"/>
  <c r="J143" i="4" s="1"/>
  <c r="J144" i="8"/>
  <c r="J144" i="4" s="1"/>
  <c r="J145" i="8"/>
  <c r="J145" i="4" s="1"/>
  <c r="J146" i="8"/>
  <c r="J146" i="4" s="1"/>
  <c r="J147" i="8"/>
  <c r="J147" i="4" s="1"/>
  <c r="J148" i="8"/>
  <c r="J148" i="4" s="1"/>
  <c r="J149" i="8"/>
  <c r="J149" i="4" s="1"/>
  <c r="J150" i="8"/>
  <c r="J150" i="4" s="1"/>
  <c r="J151" i="8"/>
  <c r="J151" i="4" s="1"/>
  <c r="J152" i="8"/>
  <c r="J152" i="4" s="1"/>
  <c r="J153" i="8"/>
  <c r="J153" i="4" s="1"/>
  <c r="J154" i="8"/>
  <c r="J154" i="4" s="1"/>
  <c r="J155" i="8"/>
  <c r="J155" i="4" s="1"/>
  <c r="J156" i="8"/>
  <c r="J156" i="4" s="1"/>
  <c r="J157" i="8"/>
  <c r="J157" i="4" s="1"/>
  <c r="J158" i="8"/>
  <c r="J158" i="4" s="1"/>
  <c r="J159" i="8"/>
  <c r="J159" i="4" s="1"/>
  <c r="J160" i="8"/>
  <c r="J160" i="4" s="1"/>
  <c r="J161" i="8"/>
  <c r="J161" i="4" s="1"/>
  <c r="J162" i="8"/>
  <c r="J162" i="4" s="1"/>
  <c r="J163" i="8"/>
  <c r="J163" i="4" s="1"/>
  <c r="J164" i="8"/>
  <c r="J164" i="4" s="1"/>
  <c r="J165" i="8"/>
  <c r="J165" i="4" s="1"/>
  <c r="J166" i="8"/>
  <c r="J166" i="4" s="1"/>
  <c r="J167" i="8"/>
  <c r="J167" i="4" s="1"/>
  <c r="J168" i="8"/>
  <c r="J168" i="4" s="1"/>
  <c r="J169" i="8"/>
  <c r="J169" i="4" s="1"/>
  <c r="J170" i="8"/>
  <c r="J170" i="4" s="1"/>
  <c r="J171" i="8"/>
  <c r="J171" i="4" s="1"/>
  <c r="J172" i="8"/>
  <c r="J172" i="4" s="1"/>
  <c r="J173" i="8"/>
  <c r="J174" i="8"/>
  <c r="J174" i="4" s="1"/>
  <c r="J175" i="8"/>
  <c r="J175" i="4" s="1"/>
  <c r="J176" i="8"/>
  <c r="J176" i="4" s="1"/>
  <c r="J177" i="8"/>
  <c r="J177" i="4" s="1"/>
  <c r="J178" i="8"/>
  <c r="J178" i="4" s="1"/>
  <c r="J179" i="8"/>
  <c r="J179" i="4" s="1"/>
  <c r="J180" i="8"/>
  <c r="J180" i="4" s="1"/>
  <c r="J181" i="8"/>
  <c r="J181" i="4" s="1"/>
  <c r="J182" i="8"/>
  <c r="J182" i="4" s="1"/>
  <c r="J183" i="8"/>
  <c r="J183" i="4" s="1"/>
  <c r="J184" i="8"/>
  <c r="J184" i="4" s="1"/>
  <c r="J185" i="8"/>
  <c r="J185" i="4" s="1"/>
  <c r="J186" i="8"/>
  <c r="J186" i="4" s="1"/>
  <c r="J187" i="8"/>
  <c r="J188" i="8"/>
  <c r="J188" i="4" s="1"/>
  <c r="J189" i="8"/>
  <c r="J189" i="4" s="1"/>
  <c r="J190" i="8"/>
  <c r="J190" i="4" s="1"/>
  <c r="J191" i="8"/>
  <c r="J191" i="4" s="1"/>
  <c r="J192" i="8"/>
  <c r="J192" i="4" s="1"/>
  <c r="J193" i="8"/>
  <c r="J193" i="4" s="1"/>
  <c r="J194" i="8"/>
  <c r="J194" i="4" s="1"/>
  <c r="J195" i="8"/>
  <c r="J195" i="4" s="1"/>
  <c r="J196" i="8"/>
  <c r="J196" i="4" s="1"/>
  <c r="J197" i="8"/>
  <c r="J197" i="4" s="1"/>
  <c r="J198" i="8"/>
  <c r="J198" i="4" s="1"/>
  <c r="J199" i="8"/>
  <c r="J199" i="4" s="1"/>
  <c r="J200" i="8"/>
  <c r="J200" i="4" s="1"/>
  <c r="J201" i="8"/>
  <c r="J201" i="4" s="1"/>
  <c r="J202" i="8"/>
  <c r="J202" i="4" s="1"/>
  <c r="J203" i="8"/>
  <c r="J203" i="4" s="1"/>
  <c r="J204" i="8"/>
  <c r="J204" i="4" s="1"/>
  <c r="J205" i="8"/>
  <c r="J205" i="4" s="1"/>
  <c r="J206" i="8"/>
  <c r="J206" i="4" s="1"/>
  <c r="J207" i="8"/>
  <c r="J207" i="4" s="1"/>
  <c r="J208" i="8"/>
  <c r="J208" i="4" s="1"/>
  <c r="J209" i="8"/>
  <c r="J209" i="4" s="1"/>
  <c r="J210" i="8"/>
  <c r="J210" i="4" s="1"/>
  <c r="J211" i="8"/>
  <c r="J211" i="4" s="1"/>
  <c r="J212" i="8"/>
  <c r="J212" i="4" s="1"/>
  <c r="J213" i="8"/>
  <c r="J213" i="4" s="1"/>
  <c r="J214" i="8"/>
  <c r="J214" i="4" s="1"/>
  <c r="J215" i="8"/>
  <c r="J215" i="4" s="1"/>
  <c r="J216" i="8"/>
  <c r="J216" i="4" s="1"/>
  <c r="J217" i="8"/>
  <c r="J217" i="4" s="1"/>
  <c r="J218" i="8"/>
  <c r="J218" i="4" s="1"/>
  <c r="J219" i="8"/>
  <c r="J219" i="4" s="1"/>
  <c r="J220" i="8"/>
  <c r="J220" i="4" s="1"/>
  <c r="J221" i="8"/>
  <c r="J221" i="4" s="1"/>
  <c r="J222" i="8"/>
  <c r="J222" i="4" s="1"/>
  <c r="J223" i="8"/>
  <c r="J223" i="4" s="1"/>
  <c r="J224" i="8"/>
  <c r="J224" i="4" s="1"/>
  <c r="J225" i="8"/>
  <c r="J225" i="4" s="1"/>
  <c r="J226" i="8"/>
  <c r="J226" i="4" s="1"/>
  <c r="J227" i="8"/>
  <c r="J227" i="4" s="1"/>
  <c r="J228" i="8"/>
  <c r="J228" i="4" s="1"/>
  <c r="J229" i="8"/>
  <c r="J229" i="4" s="1"/>
  <c r="J230" i="8"/>
  <c r="J230" i="4" s="1"/>
  <c r="J231" i="8"/>
  <c r="J231" i="4" s="1"/>
  <c r="J232" i="8"/>
  <c r="J232" i="4" s="1"/>
  <c r="J233" i="8"/>
  <c r="J233" i="4" s="1"/>
  <c r="J234" i="8"/>
  <c r="J234" i="4" s="1"/>
  <c r="J235" i="8"/>
  <c r="J235" i="4" s="1"/>
  <c r="J236" i="8"/>
  <c r="J236" i="4" s="1"/>
  <c r="J237" i="8"/>
  <c r="J237" i="4" s="1"/>
  <c r="J238" i="8"/>
  <c r="J238" i="4" s="1"/>
  <c r="J239" i="8"/>
  <c r="J239" i="4" s="1"/>
  <c r="J240" i="8"/>
  <c r="J240" i="4" s="1"/>
  <c r="J241" i="8"/>
  <c r="J241" i="4" s="1"/>
  <c r="J242" i="8"/>
  <c r="J242" i="4" s="1"/>
  <c r="J243" i="8"/>
  <c r="J244" i="8"/>
  <c r="J244" i="4" s="1"/>
  <c r="J245" i="8"/>
  <c r="J245" i="4" s="1"/>
  <c r="J246" i="8"/>
  <c r="J246" i="4" s="1"/>
  <c r="J247" i="8"/>
  <c r="J247" i="4" s="1"/>
  <c r="J248" i="8"/>
  <c r="J248" i="4" s="1"/>
  <c r="J249" i="8"/>
  <c r="J249" i="4" s="1"/>
  <c r="J250" i="8"/>
  <c r="J250" i="4" s="1"/>
  <c r="J251" i="8"/>
  <c r="J251" i="4" s="1"/>
  <c r="J252" i="8"/>
  <c r="J252" i="4" s="1"/>
  <c r="J253" i="8"/>
  <c r="J253" i="4" s="1"/>
  <c r="J254" i="8"/>
  <c r="J254" i="4" s="1"/>
  <c r="J255" i="8"/>
  <c r="J255" i="4" s="1"/>
  <c r="J256" i="8"/>
  <c r="J256" i="4" s="1"/>
  <c r="J257" i="8"/>
  <c r="J257" i="4" s="1"/>
  <c r="J258" i="8"/>
  <c r="J258" i="4" s="1"/>
  <c r="J259" i="8"/>
  <c r="J259" i="4" s="1"/>
  <c r="J260" i="8"/>
  <c r="J260" i="4" s="1"/>
  <c r="J261" i="8"/>
  <c r="J261" i="4" s="1"/>
  <c r="J262" i="8"/>
  <c r="J262" i="4" s="1"/>
  <c r="J263" i="8"/>
  <c r="J263" i="4" s="1"/>
  <c r="J264" i="8"/>
  <c r="J264" i="4" s="1"/>
  <c r="J265" i="8"/>
  <c r="J265" i="4" s="1"/>
  <c r="J266" i="8"/>
  <c r="J266" i="4" s="1"/>
  <c r="J267" i="8"/>
  <c r="J267" i="4" s="1"/>
  <c r="J268" i="8"/>
  <c r="J268" i="4" s="1"/>
  <c r="J269" i="8"/>
  <c r="J269" i="4" s="1"/>
  <c r="J270" i="8"/>
  <c r="J270" i="4" s="1"/>
  <c r="J271" i="8"/>
  <c r="J271" i="4" s="1"/>
  <c r="J272" i="8"/>
  <c r="J272" i="4" s="1"/>
  <c r="J273" i="8"/>
  <c r="J273" i="4" s="1"/>
  <c r="J274" i="8"/>
  <c r="J274" i="4" s="1"/>
  <c r="J275" i="8"/>
  <c r="J275" i="4" s="1"/>
  <c r="P2" i="8"/>
  <c r="P2" i="4" s="1"/>
  <c r="P3" i="8"/>
  <c r="P3" i="4" s="1"/>
  <c r="P4" i="8"/>
  <c r="P4" i="4" s="1"/>
  <c r="P5" i="8"/>
  <c r="P5" i="4" s="1"/>
  <c r="P6" i="8"/>
  <c r="P6" i="4" s="1"/>
  <c r="P7" i="8"/>
  <c r="P7" i="4" s="1"/>
  <c r="P8" i="8"/>
  <c r="P8" i="4" s="1"/>
  <c r="P9" i="8"/>
  <c r="P9" i="4" s="1"/>
  <c r="P10" i="8"/>
  <c r="P10" i="4" s="1"/>
  <c r="P11" i="8"/>
  <c r="P11" i="4" s="1"/>
  <c r="P12" i="8"/>
  <c r="P12" i="4" s="1"/>
  <c r="P13" i="8"/>
  <c r="P13" i="4" s="1"/>
  <c r="P14" i="8"/>
  <c r="P14" i="4" s="1"/>
  <c r="P15" i="8"/>
  <c r="P15" i="4" s="1"/>
  <c r="P16" i="8"/>
  <c r="P16" i="4" s="1"/>
  <c r="P17" i="8"/>
  <c r="P17" i="4" s="1"/>
  <c r="P18" i="8"/>
  <c r="P18" i="4" s="1"/>
  <c r="P19" i="8"/>
  <c r="P19" i="4" s="1"/>
  <c r="P20" i="8"/>
  <c r="P20" i="4" s="1"/>
  <c r="P21" i="8"/>
  <c r="P21" i="4" s="1"/>
  <c r="P22" i="8"/>
  <c r="P22" i="4" s="1"/>
  <c r="P23" i="8"/>
  <c r="P23" i="4" s="1"/>
  <c r="P24" i="8"/>
  <c r="P24" i="4" s="1"/>
  <c r="P25" i="8"/>
  <c r="P25" i="4" s="1"/>
  <c r="P26" i="8"/>
  <c r="P26" i="4" s="1"/>
  <c r="P27" i="8"/>
  <c r="P27" i="4" s="1"/>
  <c r="P28" i="8"/>
  <c r="P28" i="4" s="1"/>
  <c r="P29" i="8"/>
  <c r="P29" i="4" s="1"/>
  <c r="P30" i="8"/>
  <c r="P30" i="4" s="1"/>
  <c r="P31" i="8"/>
  <c r="P31" i="4" s="1"/>
  <c r="P32" i="8"/>
  <c r="P32" i="4" s="1"/>
  <c r="P33" i="8"/>
  <c r="P33" i="4" s="1"/>
  <c r="P34" i="8"/>
  <c r="P34" i="4" s="1"/>
  <c r="P35" i="8"/>
  <c r="P35" i="4" s="1"/>
  <c r="P36" i="8"/>
  <c r="P36" i="4" s="1"/>
  <c r="P37" i="8"/>
  <c r="P37" i="4" s="1"/>
  <c r="P38" i="8"/>
  <c r="P38" i="4" s="1"/>
  <c r="P39" i="8"/>
  <c r="P39" i="4" s="1"/>
  <c r="P40" i="8"/>
  <c r="P40" i="4" s="1"/>
  <c r="P41" i="8"/>
  <c r="P41" i="4" s="1"/>
  <c r="P42" i="8"/>
  <c r="P42" i="4" s="1"/>
  <c r="P43" i="8"/>
  <c r="P43" i="4" s="1"/>
  <c r="P44" i="8"/>
  <c r="P44" i="4" s="1"/>
  <c r="P45" i="8"/>
  <c r="P45" i="4" s="1"/>
  <c r="P46" i="8"/>
  <c r="P46" i="4" s="1"/>
  <c r="P47" i="8"/>
  <c r="P47" i="4" s="1"/>
  <c r="P48" i="8"/>
  <c r="P48" i="4" s="1"/>
  <c r="P49" i="8"/>
  <c r="P49" i="4" s="1"/>
  <c r="P50" i="8"/>
  <c r="P50" i="4" s="1"/>
  <c r="P51" i="8"/>
  <c r="P51" i="4" s="1"/>
  <c r="P52" i="8"/>
  <c r="P52" i="4" s="1"/>
  <c r="P53" i="8"/>
  <c r="P53" i="4" s="1"/>
  <c r="P54" i="8"/>
  <c r="P54" i="4" s="1"/>
  <c r="P55" i="8"/>
  <c r="P55" i="4" s="1"/>
  <c r="P56" i="8"/>
  <c r="P56" i="4" s="1"/>
  <c r="P57" i="8"/>
  <c r="P57" i="4" s="1"/>
  <c r="P58" i="8"/>
  <c r="P58" i="4" s="1"/>
  <c r="P59" i="8"/>
  <c r="P59" i="4" s="1"/>
  <c r="P60" i="8"/>
  <c r="P60" i="4" s="1"/>
  <c r="P61" i="8"/>
  <c r="P61" i="4" s="1"/>
  <c r="P62" i="8"/>
  <c r="P62" i="4" s="1"/>
  <c r="P63" i="8"/>
  <c r="P63" i="4" s="1"/>
  <c r="P64" i="8"/>
  <c r="P64" i="4" s="1"/>
  <c r="P65" i="8"/>
  <c r="P65" i="4" s="1"/>
  <c r="P66" i="8"/>
  <c r="P66" i="4" s="1"/>
  <c r="P67" i="8"/>
  <c r="P67" i="4" s="1"/>
  <c r="P68" i="8"/>
  <c r="P68" i="4" s="1"/>
  <c r="P69" i="8"/>
  <c r="P69" i="4" s="1"/>
  <c r="P70" i="8"/>
  <c r="P70" i="4" s="1"/>
  <c r="P71" i="8"/>
  <c r="P71" i="4" s="1"/>
  <c r="P72" i="8"/>
  <c r="P72" i="4" s="1"/>
  <c r="P73" i="8"/>
  <c r="P73" i="4" s="1"/>
  <c r="P74" i="8"/>
  <c r="P74" i="4" s="1"/>
  <c r="P75" i="8"/>
  <c r="P75" i="4" s="1"/>
  <c r="P76" i="8"/>
  <c r="P76" i="4" s="1"/>
  <c r="P77" i="8"/>
  <c r="P77" i="4" s="1"/>
  <c r="P78" i="8"/>
  <c r="P78" i="4" s="1"/>
  <c r="P79" i="8"/>
  <c r="P79" i="4" s="1"/>
  <c r="P80" i="8"/>
  <c r="P80" i="4" s="1"/>
  <c r="P81" i="8"/>
  <c r="P81" i="4" s="1"/>
  <c r="P82" i="8"/>
  <c r="P82" i="4" s="1"/>
  <c r="P83" i="8"/>
  <c r="P83" i="4" s="1"/>
  <c r="P84" i="8"/>
  <c r="P84" i="4" s="1"/>
  <c r="P85" i="8"/>
  <c r="P85" i="4" s="1"/>
  <c r="P86" i="8"/>
  <c r="P86" i="4" s="1"/>
  <c r="P87" i="8"/>
  <c r="P87" i="4" s="1"/>
  <c r="P88" i="8"/>
  <c r="P88" i="4" s="1"/>
  <c r="P89" i="8"/>
  <c r="P89" i="4" s="1"/>
  <c r="P90" i="8"/>
  <c r="P90" i="4" s="1"/>
  <c r="P91" i="8"/>
  <c r="P91" i="4" s="1"/>
  <c r="P92" i="8"/>
  <c r="P92" i="4" s="1"/>
  <c r="P93" i="8"/>
  <c r="P93" i="4" s="1"/>
  <c r="P94" i="8"/>
  <c r="P94" i="4" s="1"/>
  <c r="P95" i="8"/>
  <c r="P95" i="4" s="1"/>
  <c r="P96" i="8"/>
  <c r="P96" i="4" s="1"/>
  <c r="P97" i="8"/>
  <c r="P97" i="4" s="1"/>
  <c r="P98" i="8"/>
  <c r="P98" i="4" s="1"/>
  <c r="P99" i="8"/>
  <c r="P99" i="4" s="1"/>
  <c r="P100" i="8"/>
  <c r="P100" i="4" s="1"/>
  <c r="P101" i="8"/>
  <c r="P101" i="4" s="1"/>
  <c r="P102" i="8"/>
  <c r="P102" i="4" s="1"/>
  <c r="P103" i="8"/>
  <c r="P103" i="4" s="1"/>
  <c r="P104" i="8"/>
  <c r="P104" i="4" s="1"/>
  <c r="P105" i="8"/>
  <c r="P105" i="4" s="1"/>
  <c r="P106" i="8"/>
  <c r="P106" i="4" s="1"/>
  <c r="P107" i="8"/>
  <c r="P107" i="4" s="1"/>
  <c r="P108" i="8"/>
  <c r="P108" i="4" s="1"/>
  <c r="P109" i="8"/>
  <c r="P109" i="4" s="1"/>
  <c r="P110" i="8"/>
  <c r="P110" i="4" s="1"/>
  <c r="P111" i="8"/>
  <c r="P111" i="4" s="1"/>
  <c r="P112" i="8"/>
  <c r="P112" i="4" s="1"/>
  <c r="P113" i="8"/>
  <c r="P113" i="4" s="1"/>
  <c r="P114" i="8"/>
  <c r="P114" i="4" s="1"/>
  <c r="P115" i="8"/>
  <c r="P115" i="4" s="1"/>
  <c r="P116" i="8"/>
  <c r="P116" i="4" s="1"/>
  <c r="P117" i="8"/>
  <c r="P117" i="4" s="1"/>
  <c r="P118" i="8"/>
  <c r="P118" i="4" s="1"/>
  <c r="P119" i="8"/>
  <c r="P119" i="4" s="1"/>
  <c r="P120" i="8"/>
  <c r="P120" i="4" s="1"/>
  <c r="P121" i="8"/>
  <c r="P121" i="4" s="1"/>
  <c r="P122" i="8"/>
  <c r="P122" i="4" s="1"/>
  <c r="P123" i="8"/>
  <c r="P123" i="4" s="1"/>
  <c r="P124" i="8"/>
  <c r="P124" i="4" s="1"/>
  <c r="P125" i="8"/>
  <c r="P125" i="4" s="1"/>
  <c r="P126" i="8"/>
  <c r="P126" i="4" s="1"/>
  <c r="P127" i="8"/>
  <c r="P127" i="4" s="1"/>
  <c r="P128" i="8"/>
  <c r="P128" i="4" s="1"/>
  <c r="P129" i="8"/>
  <c r="P129" i="4" s="1"/>
  <c r="P130" i="8"/>
  <c r="P130" i="4" s="1"/>
  <c r="P131" i="8"/>
  <c r="P131" i="4" s="1"/>
  <c r="P132" i="8"/>
  <c r="P132" i="4" s="1"/>
  <c r="P133" i="8"/>
  <c r="P133" i="4" s="1"/>
  <c r="P134" i="8"/>
  <c r="P134" i="4" s="1"/>
  <c r="P135" i="8"/>
  <c r="P135" i="4" s="1"/>
  <c r="P136" i="8"/>
  <c r="P136" i="4" s="1"/>
  <c r="P137" i="8"/>
  <c r="P137" i="4" s="1"/>
  <c r="D20" i="3"/>
  <c r="C20" i="3"/>
  <c r="C16" i="3"/>
  <c r="B20" i="3"/>
  <c r="D19" i="3"/>
  <c r="C19" i="3"/>
  <c r="B19" i="3"/>
  <c r="D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L3" i="1"/>
  <c r="K3" i="1"/>
  <c r="J3" i="1"/>
  <c r="AH137" i="6"/>
  <c r="AS128" i="4" l="1"/>
  <c r="AC128" i="4"/>
  <c r="Q122" i="4"/>
  <c r="Q114" i="4"/>
  <c r="AM89" i="4"/>
  <c r="U84" i="4"/>
  <c r="Q82" i="4"/>
  <c r="S79" i="4"/>
  <c r="AU77" i="4"/>
  <c r="AE77" i="4"/>
  <c r="U52" i="4"/>
  <c r="S39" i="4"/>
  <c r="AR128" i="4"/>
  <c r="AL89" i="4"/>
  <c r="T84" i="4"/>
  <c r="R79" i="4"/>
  <c r="AT77" i="4"/>
  <c r="AD77" i="4"/>
  <c r="N77" i="4"/>
  <c r="T52" i="4"/>
  <c r="R39" i="4"/>
  <c r="U137" i="4"/>
  <c r="AQ128" i="4"/>
  <c r="AK89" i="4"/>
  <c r="S84" i="4"/>
  <c r="Q79" i="4"/>
  <c r="AS77" i="4"/>
  <c r="AC77" i="4"/>
  <c r="U65" i="4"/>
  <c r="S52" i="4"/>
  <c r="Q39" i="4"/>
  <c r="U9" i="4"/>
  <c r="T137" i="4"/>
  <c r="AP128" i="4"/>
  <c r="AJ89" i="4"/>
  <c r="R84" i="4"/>
  <c r="AR77" i="4"/>
  <c r="T65" i="4"/>
  <c r="R52" i="4"/>
  <c r="T9" i="4"/>
  <c r="S137" i="4"/>
  <c r="AO128" i="4"/>
  <c r="AI89" i="4"/>
  <c r="Q84" i="4"/>
  <c r="AQ77" i="4"/>
  <c r="S65" i="4"/>
  <c r="Q52" i="4"/>
  <c r="U38" i="4"/>
  <c r="S9" i="4"/>
  <c r="R137" i="4"/>
  <c r="AN128" i="4"/>
  <c r="AX89" i="4"/>
  <c r="AH89" i="4"/>
  <c r="AP77" i="4"/>
  <c r="R65" i="4"/>
  <c r="T38" i="4"/>
  <c r="R9" i="4"/>
  <c r="Q137" i="4"/>
  <c r="AM128" i="4"/>
  <c r="U91" i="4"/>
  <c r="AW89" i="4"/>
  <c r="AG89" i="4"/>
  <c r="AO77" i="4"/>
  <c r="U75" i="4"/>
  <c r="Q65" i="4"/>
  <c r="S38" i="4"/>
  <c r="U35" i="4"/>
  <c r="U19" i="4"/>
  <c r="Q9" i="4"/>
  <c r="J105" i="4"/>
  <c r="AL128" i="4"/>
  <c r="T91" i="4"/>
  <c r="AV89" i="4"/>
  <c r="AF89" i="4"/>
  <c r="AN77" i="4"/>
  <c r="T75" i="4"/>
  <c r="R38" i="4"/>
  <c r="T35" i="4"/>
  <c r="T19" i="4"/>
  <c r="AO266" i="4"/>
  <c r="AK128" i="4"/>
  <c r="U112" i="4"/>
  <c r="U96" i="4"/>
  <c r="S91" i="4"/>
  <c r="AU89" i="4"/>
  <c r="AE89" i="4"/>
  <c r="S75" i="4"/>
  <c r="U40" i="4"/>
  <c r="Q38" i="4"/>
  <c r="S35" i="4"/>
  <c r="S19" i="4"/>
  <c r="U8" i="4"/>
  <c r="AJ128" i="4"/>
  <c r="T112" i="4"/>
  <c r="T96" i="4"/>
  <c r="R91" i="4"/>
  <c r="AT89" i="4"/>
  <c r="AD89" i="4"/>
  <c r="N89" i="4"/>
  <c r="R75" i="4"/>
  <c r="T40" i="4"/>
  <c r="R35" i="4"/>
  <c r="R19" i="4"/>
  <c r="T8" i="4"/>
  <c r="AI128" i="4"/>
  <c r="S112" i="4"/>
  <c r="S96" i="4"/>
  <c r="Q91" i="4"/>
  <c r="S40" i="4"/>
  <c r="U37" i="4"/>
  <c r="Q35" i="4"/>
  <c r="U29" i="4"/>
  <c r="Q19" i="4"/>
  <c r="S8" i="4"/>
  <c r="AX128" i="4"/>
  <c r="AH128" i="4"/>
  <c r="R112" i="4"/>
  <c r="R96" i="4"/>
  <c r="R40" i="4"/>
  <c r="T37" i="4"/>
  <c r="T29" i="4"/>
  <c r="R8" i="4"/>
  <c r="AW128" i="4"/>
  <c r="AG128" i="4"/>
  <c r="U114" i="4"/>
  <c r="Q112" i="4"/>
  <c r="Q96" i="4"/>
  <c r="Q40" i="4"/>
  <c r="S29" i="4"/>
  <c r="J173" i="4"/>
  <c r="AO311" i="4"/>
  <c r="J35" i="4"/>
  <c r="AV128" i="4"/>
  <c r="AF128" i="4"/>
  <c r="T114" i="4"/>
  <c r="R29" i="4"/>
  <c r="AM227" i="4"/>
  <c r="AV365" i="4"/>
  <c r="AG137" i="6"/>
  <c r="AI137" i="6"/>
  <c r="P3" i="5" a="1"/>
  <c r="P3" i="5" s="1"/>
  <c r="P5" i="5" a="1"/>
  <c r="P5" i="5" s="1"/>
  <c r="P7" i="5" a="1"/>
  <c r="P7" i="5" s="1"/>
  <c r="U13" i="5" a="1"/>
  <c r="U13" i="5" s="1"/>
  <c r="AC11" i="5" a="1"/>
  <c r="AC11" i="5" s="1"/>
  <c r="AE15" i="5" a="1"/>
  <c r="AE15" i="5" s="1"/>
  <c r="P8" i="5" a="1"/>
  <c r="P8" i="5" s="1"/>
  <c r="P2" i="5" a="1"/>
  <c r="P2" i="5" s="1"/>
  <c r="P6" i="5" a="1"/>
  <c r="P6" i="5" s="1"/>
  <c r="P4" i="5" a="1"/>
  <c r="P4" i="5" s="1"/>
  <c r="M4" i="5" a="1"/>
  <c r="M4" i="5" s="1"/>
  <c r="M96" i="4" s="1"/>
  <c r="M8" i="5" a="1"/>
  <c r="M8" i="5" s="1"/>
  <c r="M7" i="5" a="1"/>
  <c r="M7" i="5" s="1"/>
  <c r="M2" i="5" a="1"/>
  <c r="M2" i="5" s="1"/>
  <c r="M5" i="5" a="1"/>
  <c r="M5" i="5" s="1"/>
  <c r="M6" i="5" a="1"/>
  <c r="M6" i="5" s="1"/>
  <c r="M3" i="5" a="1"/>
  <c r="M3" i="5" s="1"/>
  <c r="L15" i="5" a="1"/>
  <c r="L15" i="5" s="1"/>
  <c r="AM14" i="5" a="1"/>
  <c r="AM14" i="5" s="1"/>
  <c r="AS15" i="5" a="1"/>
  <c r="AS15" i="5" s="1"/>
  <c r="J22" i="5" a="1"/>
  <c r="J22" i="5" s="1"/>
  <c r="L25" i="5" a="1"/>
  <c r="L25" i="5" s="1"/>
  <c r="AD22" i="5" a="1"/>
  <c r="AD22" i="5" s="1"/>
  <c r="AF25" i="5" a="1"/>
  <c r="AF25" i="5" s="1"/>
  <c r="AF353" i="4" s="1"/>
  <c r="AH26" i="5" a="1"/>
  <c r="AH26" i="5" s="1"/>
  <c r="AJ23" i="5" a="1"/>
  <c r="AJ23" i="5" s="1"/>
  <c r="AL21" i="5" a="1"/>
  <c r="AL21" i="5" s="1"/>
  <c r="AL311" i="4" s="1"/>
  <c r="AN21" i="5" a="1"/>
  <c r="AN21" i="5" s="1"/>
  <c r="AN311" i="4" s="1"/>
  <c r="AP21" i="5" a="1"/>
  <c r="AP21" i="5" s="1"/>
  <c r="AP311" i="4" s="1"/>
  <c r="AR21" i="5" a="1"/>
  <c r="AR21" i="5" s="1"/>
  <c r="AR311" i="4" s="1"/>
  <c r="AT24" i="5" a="1"/>
  <c r="AT24" i="5" s="1"/>
  <c r="AV25" i="5" a="1"/>
  <c r="AV25" i="5" s="1"/>
  <c r="AV353" i="4" s="1"/>
  <c r="AX25" i="5" a="1"/>
  <c r="AX25" i="5" s="1"/>
  <c r="AX365" i="4" s="1"/>
  <c r="AK13" i="5" a="1"/>
  <c r="AK13" i="5" s="1"/>
  <c r="AO17" i="5" a="1"/>
  <c r="AO17" i="5" s="1"/>
  <c r="AW12" i="5" a="1"/>
  <c r="AW12" i="5" s="1"/>
  <c r="AW173" i="4" s="1"/>
  <c r="AI13" i="5" a="1"/>
  <c r="AI13" i="5" s="1"/>
  <c r="AQ15" i="5" a="1"/>
  <c r="AQ15" i="5" s="1"/>
  <c r="AU12" i="5" a="1"/>
  <c r="AU12" i="5" s="1"/>
  <c r="AU173" i="4" s="1"/>
  <c r="AG12" i="5" a="1"/>
  <c r="AG12" i="5" s="1"/>
  <c r="AG173" i="4" s="1"/>
  <c r="L16" i="5" a="1"/>
  <c r="L16" i="5" s="1"/>
  <c r="AG14" i="5" a="1"/>
  <c r="AG14" i="5" s="1"/>
  <c r="AJ15" i="5" a="1"/>
  <c r="AJ15" i="5" s="1"/>
  <c r="AN12" i="5" a="1"/>
  <c r="AN12" i="5" s="1"/>
  <c r="AN173" i="4" s="1"/>
  <c r="AO11" i="5" a="1"/>
  <c r="AO11" i="5" s="1"/>
  <c r="AR13" i="5" a="1"/>
  <c r="AR13" i="5" s="1"/>
  <c r="AU14" i="5" a="1"/>
  <c r="AU14" i="5" s="1"/>
  <c r="Z21" i="5" a="1"/>
  <c r="Z21" i="5" s="1"/>
  <c r="AI24" i="5" a="1"/>
  <c r="AI24" i="5" s="1"/>
  <c r="AO25" i="5" a="1"/>
  <c r="AO25" i="5" s="1"/>
  <c r="AO353" i="4" s="1"/>
  <c r="AD13" i="5" a="1"/>
  <c r="AD13" i="5" s="1"/>
  <c r="U15" i="5" a="1"/>
  <c r="U15" i="5" s="1"/>
  <c r="AF14" i="5" a="1"/>
  <c r="AF14" i="5" s="1"/>
  <c r="AH15" i="5" a="1"/>
  <c r="AH15" i="5" s="1"/>
  <c r="AL11" i="5" a="1"/>
  <c r="AL11" i="5" s="1"/>
  <c r="AP16" i="5" a="1"/>
  <c r="AP16" i="5" s="1"/>
  <c r="AP227" i="4" s="1"/>
  <c r="AT14" i="5" a="1"/>
  <c r="AT14" i="5" s="1"/>
  <c r="AX15" i="5" a="1"/>
  <c r="AX15" i="5" s="1"/>
  <c r="U20" i="5" a="1"/>
  <c r="U20" i="5" s="1"/>
  <c r="AG24" i="5" a="1"/>
  <c r="AG24" i="5" s="1"/>
  <c r="AO22" i="5" a="1"/>
  <c r="AO22" i="5" s="1"/>
  <c r="P13" i="5" a="1"/>
  <c r="P13" i="5" s="1"/>
  <c r="W12" i="5" a="1"/>
  <c r="W12" i="5" s="1"/>
  <c r="AQ16" i="5" a="1"/>
  <c r="AQ16" i="5" s="1"/>
  <c r="AQ266" i="4" s="1"/>
  <c r="AA16" i="5" a="1"/>
  <c r="AA16" i="5" s="1"/>
  <c r="AA227" i="4" s="1"/>
  <c r="K16" i="5" a="1"/>
  <c r="K16" i="5" s="1"/>
  <c r="AI15" i="5" a="1"/>
  <c r="AI15" i="5" s="1"/>
  <c r="T15" i="5" a="1"/>
  <c r="T15" i="5" s="1"/>
  <c r="R14" i="5" a="1"/>
  <c r="R14" i="5" s="1"/>
  <c r="AQ13" i="5" a="1"/>
  <c r="AQ13" i="5" s="1"/>
  <c r="AC13" i="5" a="1"/>
  <c r="AC13" i="5" s="1"/>
  <c r="O13" i="5" a="1"/>
  <c r="O13" i="5" s="1"/>
  <c r="AM12" i="5" a="1"/>
  <c r="AM12" i="5" s="1"/>
  <c r="AM173" i="4" s="1"/>
  <c r="V12" i="5" a="1"/>
  <c r="V12" i="5" s="1"/>
  <c r="AM11" i="5" a="1"/>
  <c r="AM11" i="5" s="1"/>
  <c r="T11" i="5" a="1"/>
  <c r="T11" i="5" s="1"/>
  <c r="AL25" i="5" a="1"/>
  <c r="AL25" i="5" s="1"/>
  <c r="AL353" i="4" s="1"/>
  <c r="AH24" i="5" a="1"/>
  <c r="AH24" i="5" s="1"/>
  <c r="AA23" i="5" a="1"/>
  <c r="AA23" i="5" s="1"/>
  <c r="N22" i="5" a="1"/>
  <c r="N22" i="5" s="1"/>
  <c r="N372" i="4" s="1"/>
  <c r="X21" i="5" a="1"/>
  <c r="X21" i="5" s="1"/>
  <c r="W20" i="5" a="1"/>
  <c r="W20" i="5" s="1"/>
  <c r="W390" i="4" s="1"/>
  <c r="S25" i="5" a="1"/>
  <c r="S25" i="5" s="1"/>
  <c r="S343" i="4" s="1"/>
  <c r="Z16" i="5" a="1"/>
  <c r="Z16" i="5" s="1"/>
  <c r="Z227" i="4" s="1"/>
  <c r="S15" i="5" a="1"/>
  <c r="S15" i="5" s="1"/>
  <c r="AS14" i="5" a="1"/>
  <c r="AS14" i="5" s="1"/>
  <c r="AE14" i="5" a="1"/>
  <c r="AE14" i="5" s="1"/>
  <c r="Q14" i="5" a="1"/>
  <c r="Q14" i="5" s="1"/>
  <c r="AB13" i="5" a="1"/>
  <c r="AB13" i="5" s="1"/>
  <c r="AB234" i="4" s="1"/>
  <c r="N13" i="5" a="1"/>
  <c r="N13" i="5" s="1"/>
  <c r="N234" i="4" s="1"/>
  <c r="AL12" i="5" a="1"/>
  <c r="AL12" i="5" s="1"/>
  <c r="AL173" i="4" s="1"/>
  <c r="T12" i="5" a="1"/>
  <c r="T12" i="5" s="1"/>
  <c r="S11" i="5" a="1"/>
  <c r="S11" i="5" s="1"/>
  <c r="AJ25" i="5" a="1"/>
  <c r="AJ25" i="5" s="1"/>
  <c r="AJ353" i="4" s="1"/>
  <c r="R25" i="5" a="1"/>
  <c r="R25" i="5" s="1"/>
  <c r="R343" i="4" s="1"/>
  <c r="AX23" i="5" a="1"/>
  <c r="AX23" i="5" s="1"/>
  <c r="Z23" i="5" a="1"/>
  <c r="Z23" i="5" s="1"/>
  <c r="AN22" i="5" a="1"/>
  <c r="AN22" i="5" s="1"/>
  <c r="L22" i="5" a="1"/>
  <c r="L22" i="5" s="1"/>
  <c r="W21" i="5" a="1"/>
  <c r="W21" i="5" s="1"/>
  <c r="AV26" i="5" a="1"/>
  <c r="AV26" i="5" s="1"/>
  <c r="U11" i="5" a="1"/>
  <c r="U11" i="5" s="1"/>
  <c r="J17" i="5" a="1"/>
  <c r="J17" i="5" s="1"/>
  <c r="J11" i="5" a="1"/>
  <c r="J11" i="5" s="1"/>
  <c r="J12" i="5" a="1"/>
  <c r="J12" i="5" s="1"/>
  <c r="J243" i="4" s="1"/>
  <c r="J13" i="5" a="1"/>
  <c r="J13" i="5" s="1"/>
  <c r="J15" i="5" a="1"/>
  <c r="J15" i="5" s="1"/>
  <c r="J16" i="5" a="1"/>
  <c r="J16" i="5" s="1"/>
  <c r="AF17" i="5" a="1"/>
  <c r="AF17" i="5" s="1"/>
  <c r="AH17" i="5" a="1"/>
  <c r="AH17" i="5" s="1"/>
  <c r="AJ17" i="5" a="1"/>
  <c r="AJ17" i="5" s="1"/>
  <c r="AL17" i="5" a="1"/>
  <c r="AL17" i="5" s="1"/>
  <c r="AN17" i="5" a="1"/>
  <c r="AN17" i="5" s="1"/>
  <c r="AN11" i="5" a="1"/>
  <c r="AN11" i="5" s="1"/>
  <c r="AP11" i="5" a="1"/>
  <c r="AP11" i="5" s="1"/>
  <c r="AP17" i="5" a="1"/>
  <c r="AP17" i="5" s="1"/>
  <c r="AT17" i="5" a="1"/>
  <c r="AT17" i="5" s="1"/>
  <c r="AV17" i="5" a="1"/>
  <c r="AV17" i="5" s="1"/>
  <c r="AX12" i="5" a="1"/>
  <c r="AX12" i="5" s="1"/>
  <c r="AX173" i="4" s="1"/>
  <c r="U26" i="5" a="1"/>
  <c r="U26" i="5" s="1"/>
  <c r="Y20" i="5" a="1"/>
  <c r="Y20" i="5" s="1"/>
  <c r="Y390" i="4" s="1"/>
  <c r="M21" i="5" a="1"/>
  <c r="M21" i="5" s="1"/>
  <c r="AA21" i="5" a="1"/>
  <c r="AA21" i="5" s="1"/>
  <c r="V26" i="5" a="1"/>
  <c r="V26" i="5" s="1"/>
  <c r="K20" i="5" a="1"/>
  <c r="K20" i="5" s="1"/>
  <c r="Z20" i="5" a="1"/>
  <c r="Z20" i="5" s="1"/>
  <c r="Z390" i="4" s="1"/>
  <c r="N21" i="5" a="1"/>
  <c r="N21" i="5" s="1"/>
  <c r="N311" i="4" s="1"/>
  <c r="AB21" i="5" a="1"/>
  <c r="AB21" i="5" s="1"/>
  <c r="Q22" i="5" a="1"/>
  <c r="Q22" i="5" s="1"/>
  <c r="S23" i="5" a="1"/>
  <c r="S23" i="5" s="1"/>
  <c r="V24" i="5" a="1"/>
  <c r="V24" i="5" s="1"/>
  <c r="V341" i="4" s="1"/>
  <c r="Y25" i="5" a="1"/>
  <c r="Y25" i="5" s="1"/>
  <c r="Y365" i="4" s="1"/>
  <c r="W26" i="5" a="1"/>
  <c r="W26" i="5" s="1"/>
  <c r="O21" i="5" a="1"/>
  <c r="O21" i="5" s="1"/>
  <c r="R22" i="5" a="1"/>
  <c r="R22" i="5" s="1"/>
  <c r="T23" i="5" a="1"/>
  <c r="T23" i="5" s="1"/>
  <c r="W24" i="5" a="1"/>
  <c r="W24" i="5" s="1"/>
  <c r="W341" i="4" s="1"/>
  <c r="K25" i="5" a="1"/>
  <c r="K25" i="5" s="1"/>
  <c r="Z25" i="5" a="1"/>
  <c r="Z25" i="5" s="1"/>
  <c r="Z365" i="4" s="1"/>
  <c r="X26" i="5" a="1"/>
  <c r="X26" i="5" s="1"/>
  <c r="M20" i="5" a="1"/>
  <c r="M20" i="5" s="1"/>
  <c r="AA20" i="5" a="1"/>
  <c r="AA20" i="5" s="1"/>
  <c r="AA390" i="4" s="1"/>
  <c r="K26" i="5" a="1"/>
  <c r="K26" i="5" s="1"/>
  <c r="Z26" i="5" a="1"/>
  <c r="Z26" i="5" s="1"/>
  <c r="O20" i="5" a="1"/>
  <c r="O20" i="5" s="1"/>
  <c r="R21" i="5" a="1"/>
  <c r="R21" i="5" s="1"/>
  <c r="T22" i="5" a="1"/>
  <c r="T22" i="5" s="1"/>
  <c r="W23" i="5" a="1"/>
  <c r="W23" i="5" s="1"/>
  <c r="K24" i="5" a="1"/>
  <c r="K24" i="5" s="1"/>
  <c r="Z24" i="5" a="1"/>
  <c r="Z24" i="5" s="1"/>
  <c r="Z341" i="4" s="1"/>
  <c r="N25" i="5" a="1"/>
  <c r="N25" i="5" s="1"/>
  <c r="N353" i="4" s="1"/>
  <c r="AB25" i="5" a="1"/>
  <c r="AB25" i="5" s="1"/>
  <c r="AB365" i="4" s="1"/>
  <c r="P20" i="5" a="1"/>
  <c r="P20" i="5" s="1"/>
  <c r="U22" i="5" a="1"/>
  <c r="U22" i="5" s="1"/>
  <c r="X23" i="5" a="1"/>
  <c r="X23" i="5" s="1"/>
  <c r="O25" i="5" a="1"/>
  <c r="O25" i="5" s="1"/>
  <c r="M26" i="5" a="1"/>
  <c r="M26" i="5" s="1"/>
  <c r="AA26" i="5" a="1"/>
  <c r="AA26" i="5" s="1"/>
  <c r="Q20" i="5" a="1"/>
  <c r="Q20" i="5" s="1"/>
  <c r="S21" i="5" a="1"/>
  <c r="S21" i="5" s="1"/>
  <c r="V22" i="5" a="1"/>
  <c r="V22" i="5" s="1"/>
  <c r="V372" i="4" s="1"/>
  <c r="Y23" i="5" a="1"/>
  <c r="Y23" i="5" s="1"/>
  <c r="M24" i="5" a="1"/>
  <c r="M24" i="5" s="1"/>
  <c r="AA24" i="5" a="1"/>
  <c r="AA24" i="5" s="1"/>
  <c r="AA341" i="4" s="1"/>
  <c r="P25" i="5" a="1"/>
  <c r="P25" i="5" s="1"/>
  <c r="N26" i="5" a="1"/>
  <c r="N26" i="5" s="1"/>
  <c r="AB26" i="5" a="1"/>
  <c r="AB26" i="5" s="1"/>
  <c r="R20" i="5" a="1"/>
  <c r="R20" i="5" s="1"/>
  <c r="T21" i="5" a="1"/>
  <c r="T21" i="5" s="1"/>
  <c r="O26" i="5" a="1"/>
  <c r="O26" i="5" s="1"/>
  <c r="U21" i="5" a="1"/>
  <c r="U21" i="5" s="1"/>
  <c r="X22" i="5" a="1"/>
  <c r="X22" i="5" s="1"/>
  <c r="X372" i="4" s="1"/>
  <c r="O24" i="5" a="1"/>
  <c r="O24" i="5" s="1"/>
  <c r="Q26" i="5" a="1"/>
  <c r="Q26" i="5" s="1"/>
  <c r="R26" i="5" a="1"/>
  <c r="R26" i="5" s="1"/>
  <c r="V20" i="5" a="1"/>
  <c r="V20" i="5" s="1"/>
  <c r="V390" i="4" s="1"/>
  <c r="Y21" i="5" a="1"/>
  <c r="Y21" i="5" s="1"/>
  <c r="M22" i="5" a="1"/>
  <c r="M22" i="5" s="1"/>
  <c r="M372" i="4" s="1"/>
  <c r="T26" i="5" a="1"/>
  <c r="T26" i="5" s="1"/>
  <c r="X20" i="5" a="1"/>
  <c r="X20" i="5" s="1"/>
  <c r="X390" i="4" s="1"/>
  <c r="O22" i="5" a="1"/>
  <c r="O22" i="5" s="1"/>
  <c r="R23" i="5" a="1"/>
  <c r="R23" i="5" s="1"/>
  <c r="T24" i="5" a="1"/>
  <c r="T24" i="5" s="1"/>
  <c r="W25" i="5" a="1"/>
  <c r="W25" i="5" s="1"/>
  <c r="W365" i="4" s="1"/>
  <c r="AC21" i="5" a="1"/>
  <c r="AC21" i="5" s="1"/>
  <c r="AC311" i="4" s="1"/>
  <c r="AC20" i="5" a="1"/>
  <c r="AC20" i="5" s="1"/>
  <c r="AC26" i="5" a="1"/>
  <c r="AC26" i="5" s="1"/>
  <c r="AC22" i="5" a="1"/>
  <c r="AC22" i="5" s="1"/>
  <c r="AE22" i="5" a="1"/>
  <c r="AE22" i="5" s="1"/>
  <c r="AE20" i="5" a="1"/>
  <c r="AE20" i="5" s="1"/>
  <c r="AE26" i="5" a="1"/>
  <c r="AE26" i="5" s="1"/>
  <c r="AG21" i="5" a="1"/>
  <c r="AG21" i="5" s="1"/>
  <c r="AG311" i="4" s="1"/>
  <c r="AG20" i="5" a="1"/>
  <c r="AG20" i="5" s="1"/>
  <c r="AG26" i="5" a="1"/>
  <c r="AG26" i="5" s="1"/>
  <c r="AI26" i="5" a="1"/>
  <c r="AI26" i="5" s="1"/>
  <c r="AI22" i="5" a="1"/>
  <c r="AI22" i="5" s="1"/>
  <c r="AI21" i="5" a="1"/>
  <c r="AI21" i="5" s="1"/>
  <c r="AI311" i="4" s="1"/>
  <c r="AK26" i="5" a="1"/>
  <c r="AK26" i="5" s="1"/>
  <c r="AK24" i="5" a="1"/>
  <c r="AK24" i="5" s="1"/>
  <c r="AK23" i="5" a="1"/>
  <c r="AK23" i="5" s="1"/>
  <c r="AK25" i="5" a="1"/>
  <c r="AK25" i="5" s="1"/>
  <c r="AK353" i="4" s="1"/>
  <c r="AM20" i="5" a="1"/>
  <c r="AM20" i="5" s="1"/>
  <c r="AM25" i="5" a="1"/>
  <c r="AM25" i="5" s="1"/>
  <c r="AM353" i="4" s="1"/>
  <c r="AM23" i="5" a="1"/>
  <c r="AM23" i="5" s="1"/>
  <c r="AM21" i="5" a="1"/>
  <c r="AM21" i="5" s="1"/>
  <c r="AM311" i="4" s="1"/>
  <c r="AO20" i="5" a="1"/>
  <c r="AO20" i="5" s="1"/>
  <c r="AO26" i="5" a="1"/>
  <c r="AO26" i="5" s="1"/>
  <c r="AO24" i="5" a="1"/>
  <c r="AO24" i="5" s="1"/>
  <c r="AO23" i="5" a="1"/>
  <c r="AO23" i="5" s="1"/>
  <c r="AO21" i="5" a="1"/>
  <c r="AO21" i="5" s="1"/>
  <c r="AQ21" i="5" a="1"/>
  <c r="AQ21" i="5" s="1"/>
  <c r="AQ311" i="4" s="1"/>
  <c r="AQ20" i="5" a="1"/>
  <c r="AQ20" i="5" s="1"/>
  <c r="AQ26" i="5" a="1"/>
  <c r="AQ26" i="5" s="1"/>
  <c r="AQ22" i="5" a="1"/>
  <c r="AQ22" i="5" s="1"/>
  <c r="AS22" i="5" a="1"/>
  <c r="AS22" i="5" s="1"/>
  <c r="AS20" i="5" a="1"/>
  <c r="AS20" i="5" s="1"/>
  <c r="AS26" i="5" a="1"/>
  <c r="AS26" i="5" s="1"/>
  <c r="AU21" i="5" a="1"/>
  <c r="AU21" i="5" s="1"/>
  <c r="AU311" i="4" s="1"/>
  <c r="AU20" i="5" a="1"/>
  <c r="AU20" i="5" s="1"/>
  <c r="AU26" i="5" a="1"/>
  <c r="AU26" i="5" s="1"/>
  <c r="AW23" i="5" a="1"/>
  <c r="AW23" i="5" s="1"/>
  <c r="AW22" i="5" a="1"/>
  <c r="AW22" i="5" s="1"/>
  <c r="AW26" i="5" a="1"/>
  <c r="AW26" i="5" s="1"/>
  <c r="AW24" i="5" a="1"/>
  <c r="AW24" i="5" s="1"/>
  <c r="AO16" i="5" a="1"/>
  <c r="AO16" i="5" s="1"/>
  <c r="AO227" i="4" s="1"/>
  <c r="Y16" i="5" a="1"/>
  <c r="Y16" i="5" s="1"/>
  <c r="Y227" i="4" s="1"/>
  <c r="AW15" i="5" a="1"/>
  <c r="AW15" i="5" s="1"/>
  <c r="AG15" i="5" a="1"/>
  <c r="AG15" i="5" s="1"/>
  <c r="AR14" i="5" a="1"/>
  <c r="AR14" i="5" s="1"/>
  <c r="AD14" i="5" a="1"/>
  <c r="AD14" i="5" s="1"/>
  <c r="P14" i="5" a="1"/>
  <c r="P14" i="5" s="1"/>
  <c r="AP13" i="5" a="1"/>
  <c r="AP13" i="5" s="1"/>
  <c r="AA13" i="5" a="1"/>
  <c r="AA13" i="5" s="1"/>
  <c r="AA234" i="4" s="1"/>
  <c r="M13" i="5" a="1"/>
  <c r="M13" i="5" s="1"/>
  <c r="M234" i="4" s="1"/>
  <c r="AK12" i="5" a="1"/>
  <c r="AK12" i="5" s="1"/>
  <c r="AK173" i="4" s="1"/>
  <c r="AK11" i="5" a="1"/>
  <c r="AK11" i="5" s="1"/>
  <c r="R11" i="5" a="1"/>
  <c r="R11" i="5" s="1"/>
  <c r="AI25" i="5" a="1"/>
  <c r="AI25" i="5" s="1"/>
  <c r="AI353" i="4" s="1"/>
  <c r="Q25" i="5" a="1"/>
  <c r="Q25" i="5" s="1"/>
  <c r="Q343" i="4" s="1"/>
  <c r="AF24" i="5" a="1"/>
  <c r="AF24" i="5" s="1"/>
  <c r="AU23" i="5" a="1"/>
  <c r="AU23" i="5" s="1"/>
  <c r="V23" i="5" a="1"/>
  <c r="V23" i="5" s="1"/>
  <c r="AM22" i="5" a="1"/>
  <c r="AM22" i="5" s="1"/>
  <c r="K22" i="5" a="1"/>
  <c r="K22" i="5" s="1"/>
  <c r="V21" i="5" a="1"/>
  <c r="V21" i="5" s="1"/>
  <c r="T20" i="5" a="1"/>
  <c r="T20" i="5" s="1"/>
  <c r="AR26" i="5" a="1"/>
  <c r="AR26" i="5" s="1"/>
  <c r="AR16" i="5" a="1"/>
  <c r="AR16" i="5" s="1"/>
  <c r="AR227" i="4" s="1"/>
  <c r="AB23" i="5" a="1"/>
  <c r="AB23" i="5" s="1"/>
  <c r="AN16" i="5" a="1"/>
  <c r="AN16" i="5" s="1"/>
  <c r="AN215" i="4" s="1"/>
  <c r="X16" i="5" a="1"/>
  <c r="X16" i="5" s="1"/>
  <c r="X227" i="4" s="1"/>
  <c r="AV15" i="5" a="1"/>
  <c r="AV15" i="5" s="1"/>
  <c r="AF15" i="5" a="1"/>
  <c r="AF15" i="5" s="1"/>
  <c r="R15" i="5" a="1"/>
  <c r="R15" i="5" s="1"/>
  <c r="AQ14" i="5" a="1"/>
  <c r="AQ14" i="5" s="1"/>
  <c r="AC14" i="5" a="1"/>
  <c r="AC14" i="5" s="1"/>
  <c r="O14" i="5" a="1"/>
  <c r="O14" i="5" s="1"/>
  <c r="AO13" i="5" a="1"/>
  <c r="AO13" i="5" s="1"/>
  <c r="L13" i="5" a="1"/>
  <c r="L13" i="5" s="1"/>
  <c r="AJ12" i="5" a="1"/>
  <c r="AJ12" i="5" s="1"/>
  <c r="AJ173" i="4" s="1"/>
  <c r="R12" i="5" a="1"/>
  <c r="R12" i="5" s="1"/>
  <c r="AJ11" i="5" a="1"/>
  <c r="AJ11" i="5" s="1"/>
  <c r="P11" i="5" a="1"/>
  <c r="P11" i="5" s="1"/>
  <c r="M25" i="5" a="1"/>
  <c r="M25" i="5" s="1"/>
  <c r="AE24" i="5" a="1"/>
  <c r="AE24" i="5" s="1"/>
  <c r="AS23" i="5" a="1"/>
  <c r="AS23" i="5" s="1"/>
  <c r="U23" i="5" a="1"/>
  <c r="U23" i="5" s="1"/>
  <c r="AK22" i="5" a="1"/>
  <c r="AK22" i="5" s="1"/>
  <c r="Q21" i="5" a="1"/>
  <c r="Q21" i="5" s="1"/>
  <c r="S20" i="5" a="1"/>
  <c r="S20" i="5" s="1"/>
  <c r="AM26" i="5" a="1"/>
  <c r="AM26" i="5" s="1"/>
  <c r="AB20" i="5" a="1"/>
  <c r="AB20" i="5" s="1"/>
  <c r="AB390" i="4" s="1"/>
  <c r="AM16" i="5" a="1"/>
  <c r="AM16" i="5" s="1"/>
  <c r="AM215" i="4" s="1"/>
  <c r="W16" i="5" a="1"/>
  <c r="W16" i="5" s="1"/>
  <c r="W227" i="4" s="1"/>
  <c r="AU15" i="5" a="1"/>
  <c r="AU15" i="5" s="1"/>
  <c r="Q15" i="5" a="1"/>
  <c r="Q15" i="5" s="1"/>
  <c r="AB14" i="5" a="1"/>
  <c r="AB14" i="5" s="1"/>
  <c r="N14" i="5" a="1"/>
  <c r="N14" i="5" s="1"/>
  <c r="AN13" i="5" a="1"/>
  <c r="AN13" i="5" s="1"/>
  <c r="Z13" i="5" a="1"/>
  <c r="Z13" i="5" s="1"/>
  <c r="Z234" i="4" s="1"/>
  <c r="K13" i="5" a="1"/>
  <c r="K13" i="5" s="1"/>
  <c r="O12" i="5" a="1"/>
  <c r="O12" i="5" s="1"/>
  <c r="AI11" i="5" a="1"/>
  <c r="AI11" i="5" s="1"/>
  <c r="O11" i="5" a="1"/>
  <c r="O11" i="5" s="1"/>
  <c r="AH25" i="5" a="1"/>
  <c r="AH25" i="5" s="1"/>
  <c r="AH353" i="4" s="1"/>
  <c r="AD24" i="5" a="1"/>
  <c r="AD24" i="5" s="1"/>
  <c r="AR23" i="5" a="1"/>
  <c r="AR23" i="5" s="1"/>
  <c r="AH22" i="5" a="1"/>
  <c r="AH22" i="5" s="1"/>
  <c r="AW21" i="5" a="1"/>
  <c r="AW21" i="5" s="1"/>
  <c r="AW311" i="4" s="1"/>
  <c r="P21" i="5" a="1"/>
  <c r="P21" i="5" s="1"/>
  <c r="N20" i="5" a="1"/>
  <c r="N20" i="5" s="1"/>
  <c r="N383" i="4" s="1"/>
  <c r="AB16" i="5" a="1"/>
  <c r="AB16" i="5" s="1"/>
  <c r="AB227" i="4" s="1"/>
  <c r="N24" i="5" a="1"/>
  <c r="N24" i="5" s="1"/>
  <c r="AL16" i="5" a="1"/>
  <c r="AL16" i="5" s="1"/>
  <c r="AL215" i="4" s="1"/>
  <c r="V16" i="5" a="1"/>
  <c r="V16" i="5" s="1"/>
  <c r="V227" i="4" s="1"/>
  <c r="AT15" i="5" a="1"/>
  <c r="AT15" i="5" s="1"/>
  <c r="AD15" i="5" a="1"/>
  <c r="AD15" i="5" s="1"/>
  <c r="P15" i="5" a="1"/>
  <c r="P15" i="5" s="1"/>
  <c r="AP14" i="5" a="1"/>
  <c r="AP14" i="5" s="1"/>
  <c r="AA14" i="5" a="1"/>
  <c r="AA14" i="5" s="1"/>
  <c r="M14" i="5" a="1"/>
  <c r="M14" i="5" s="1"/>
  <c r="AM13" i="5" a="1"/>
  <c r="AM13" i="5" s="1"/>
  <c r="Y13" i="5" a="1"/>
  <c r="Y13" i="5" s="1"/>
  <c r="Y234" i="4" s="1"/>
  <c r="AH12" i="5" a="1"/>
  <c r="AH12" i="5" s="1"/>
  <c r="AH173" i="4" s="1"/>
  <c r="M12" i="5" a="1"/>
  <c r="M12" i="5" s="1"/>
  <c r="L11" i="5" a="1"/>
  <c r="L11" i="5" s="1"/>
  <c r="AG25" i="5" a="1"/>
  <c r="AG25" i="5" s="1"/>
  <c r="AG404" i="4" s="1"/>
  <c r="AX24" i="5" a="1"/>
  <c r="AX24" i="5" s="1"/>
  <c r="AC24" i="5" a="1"/>
  <c r="AC24" i="5" s="1"/>
  <c r="AQ23" i="5" a="1"/>
  <c r="AQ23" i="5" s="1"/>
  <c r="Q23" i="5" a="1"/>
  <c r="Q23" i="5" s="1"/>
  <c r="AG22" i="5" a="1"/>
  <c r="AG22" i="5" s="1"/>
  <c r="AS21" i="5" a="1"/>
  <c r="AS21" i="5" s="1"/>
  <c r="AS311" i="4" s="1"/>
  <c r="K21" i="5" a="1"/>
  <c r="K21" i="5" s="1"/>
  <c r="AD26" i="5" a="1"/>
  <c r="AD26" i="5" s="1"/>
  <c r="AK16" i="5" a="1"/>
  <c r="AK16" i="5" s="1"/>
  <c r="AK215" i="4" s="1"/>
  <c r="U16" i="5" a="1"/>
  <c r="U16" i="5" s="1"/>
  <c r="U205" i="4" s="1"/>
  <c r="AC15" i="5" a="1"/>
  <c r="AC15" i="5" s="1"/>
  <c r="O15" i="5" a="1"/>
  <c r="O15" i="5" s="1"/>
  <c r="AO14" i="5" a="1"/>
  <c r="AO14" i="5" s="1"/>
  <c r="L14" i="5" a="1"/>
  <c r="L14" i="5" s="1"/>
  <c r="AL13" i="5" a="1"/>
  <c r="AL13" i="5" s="1"/>
  <c r="X13" i="5" a="1"/>
  <c r="X13" i="5" s="1"/>
  <c r="X234" i="4" s="1"/>
  <c r="L12" i="5" a="1"/>
  <c r="L12" i="5" s="1"/>
  <c r="AH11" i="5" a="1"/>
  <c r="AH11" i="5" s="1"/>
  <c r="AV24" i="5" a="1"/>
  <c r="AV24" i="5" s="1"/>
  <c r="AB24" i="5" a="1"/>
  <c r="AB24" i="5" s="1"/>
  <c r="AB341" i="4" s="1"/>
  <c r="P23" i="5" a="1"/>
  <c r="P23" i="5" s="1"/>
  <c r="AX20" i="5" a="1"/>
  <c r="AX20" i="5" s="1"/>
  <c r="J14" i="5" a="1"/>
  <c r="J14" i="5" s="1"/>
  <c r="Y26" i="5" a="1"/>
  <c r="Y26" i="5" s="1"/>
  <c r="AJ16" i="5" a="1"/>
  <c r="AJ16" i="5" s="1"/>
  <c r="AJ215" i="4" s="1"/>
  <c r="T16" i="5" a="1"/>
  <c r="T16" i="5" s="1"/>
  <c r="T205" i="4" s="1"/>
  <c r="AR15" i="5" a="1"/>
  <c r="AR15" i="5" s="1"/>
  <c r="AB15" i="5" a="1"/>
  <c r="AB15" i="5" s="1"/>
  <c r="AB203" i="4" s="1"/>
  <c r="N15" i="5" a="1"/>
  <c r="N15" i="5" s="1"/>
  <c r="AN14" i="5" a="1"/>
  <c r="AN14" i="5" s="1"/>
  <c r="Z14" i="5" a="1"/>
  <c r="Z14" i="5" s="1"/>
  <c r="K14" i="5" a="1"/>
  <c r="K14" i="5" s="1"/>
  <c r="W13" i="5" a="1"/>
  <c r="W13" i="5" s="1"/>
  <c r="W234" i="4" s="1"/>
  <c r="AV12" i="5" a="1"/>
  <c r="AV12" i="5" s="1"/>
  <c r="AV173" i="4" s="1"/>
  <c r="AF12" i="5" a="1"/>
  <c r="AF12" i="5" s="1"/>
  <c r="AF173" i="4" s="1"/>
  <c r="K12" i="5" a="1"/>
  <c r="K12" i="5" s="1"/>
  <c r="AF11" i="5" a="1"/>
  <c r="AF11" i="5" s="1"/>
  <c r="AE25" i="5" a="1"/>
  <c r="AE25" i="5" s="1"/>
  <c r="AE404" i="4" s="1"/>
  <c r="AU24" i="5" a="1"/>
  <c r="AU24" i="5" s="1"/>
  <c r="Y24" i="5" a="1"/>
  <c r="Y24" i="5" s="1"/>
  <c r="Y341" i="4" s="1"/>
  <c r="AP23" i="5" a="1"/>
  <c r="AP23" i="5" s="1"/>
  <c r="O23" i="5" a="1"/>
  <c r="O23" i="5" s="1"/>
  <c r="AB22" i="5" a="1"/>
  <c r="AB22" i="5" s="1"/>
  <c r="AB372" i="4" s="1"/>
  <c r="AW20" i="5" a="1"/>
  <c r="AW20" i="5" s="1"/>
  <c r="AX17" i="5" a="1"/>
  <c r="AX17" i="5" s="1"/>
  <c r="S26" i="5" a="1"/>
  <c r="S26" i="5" s="1"/>
  <c r="P22" i="5" a="1"/>
  <c r="P22" i="5" s="1"/>
  <c r="AI16" i="5" a="1"/>
  <c r="AI16" i="5" s="1"/>
  <c r="AI215" i="4" s="1"/>
  <c r="S16" i="5" a="1"/>
  <c r="S16" i="5" s="1"/>
  <c r="S205" i="4" s="1"/>
  <c r="AA15" i="5" a="1"/>
  <c r="AA15" i="5" s="1"/>
  <c r="AA203" i="4" s="1"/>
  <c r="M15" i="5" a="1"/>
  <c r="M15" i="5" s="1"/>
  <c r="Y14" i="5" a="1"/>
  <c r="Y14" i="5" s="1"/>
  <c r="AJ13" i="5" a="1"/>
  <c r="AJ13" i="5" s="1"/>
  <c r="V13" i="5" a="1"/>
  <c r="V13" i="5" s="1"/>
  <c r="V234" i="4" s="1"/>
  <c r="AD12" i="5" a="1"/>
  <c r="AD12" i="5" s="1"/>
  <c r="AD173" i="4" s="1"/>
  <c r="AD11" i="5" a="1"/>
  <c r="AD11" i="5" s="1"/>
  <c r="AW25" i="5" a="1"/>
  <c r="AW25" i="5" s="1"/>
  <c r="AW353" i="4" s="1"/>
  <c r="AC25" i="5" a="1"/>
  <c r="AC25" i="5" s="1"/>
  <c r="AC404" i="4" s="1"/>
  <c r="X24" i="5" a="1"/>
  <c r="X24" i="5" s="1"/>
  <c r="X341" i="4" s="1"/>
  <c r="AN23" i="5" a="1"/>
  <c r="AN23" i="5" s="1"/>
  <c r="N23" i="5" a="1"/>
  <c r="N23" i="5" s="1"/>
  <c r="AA22" i="5" a="1"/>
  <c r="AA22" i="5" s="1"/>
  <c r="AA372" i="4" s="1"/>
  <c r="AV20" i="5" a="1"/>
  <c r="AV20" i="5" s="1"/>
  <c r="AR17" i="5" a="1"/>
  <c r="AR17" i="5" s="1"/>
  <c r="P26" i="5" a="1"/>
  <c r="P26" i="5" s="1"/>
  <c r="AP22" i="5" a="1"/>
  <c r="AP22" i="5" s="1"/>
  <c r="AX16" i="5" a="1"/>
  <c r="AX16" i="5" s="1"/>
  <c r="AX215" i="4" s="1"/>
  <c r="AH16" i="5" a="1"/>
  <c r="AH16" i="5" s="1"/>
  <c r="AH215" i="4" s="1"/>
  <c r="R16" i="5" a="1"/>
  <c r="R16" i="5" s="1"/>
  <c r="R205" i="4" s="1"/>
  <c r="AP15" i="5" a="1"/>
  <c r="AP15" i="5" s="1"/>
  <c r="AL14" i="5" a="1"/>
  <c r="AL14" i="5" s="1"/>
  <c r="X14" i="5" a="1"/>
  <c r="X14" i="5" s="1"/>
  <c r="AX13" i="5" a="1"/>
  <c r="AX13" i="5" s="1"/>
  <c r="AT12" i="5" a="1"/>
  <c r="AT12" i="5" s="1"/>
  <c r="AT173" i="4" s="1"/>
  <c r="AC12" i="5" a="1"/>
  <c r="AC12" i="5" s="1"/>
  <c r="AC173" i="4" s="1"/>
  <c r="AX11" i="5" a="1"/>
  <c r="AX11" i="5" s="1"/>
  <c r="AA25" i="5" a="1"/>
  <c r="AA25" i="5" s="1"/>
  <c r="AA365" i="4" s="1"/>
  <c r="AS24" i="5" a="1"/>
  <c r="AS24" i="5" s="1"/>
  <c r="U24" i="5" a="1"/>
  <c r="U24" i="5" s="1"/>
  <c r="M23" i="5" a="1"/>
  <c r="M23" i="5" s="1"/>
  <c r="L17" i="5" a="1"/>
  <c r="L17" i="5" s="1"/>
  <c r="R17" i="5" a="1"/>
  <c r="R17" i="5" s="1"/>
  <c r="M11" i="5" a="1"/>
  <c r="M11" i="5" s="1"/>
  <c r="AA11" i="5" a="1"/>
  <c r="AA11" i="5" s="1"/>
  <c r="AA252" i="4" s="1"/>
  <c r="P12" i="5" a="1"/>
  <c r="P12" i="5" s="1"/>
  <c r="S17" i="5" a="1"/>
  <c r="S17" i="5" s="1"/>
  <c r="N11" i="5" a="1"/>
  <c r="N11" i="5" s="1"/>
  <c r="N245" i="4" s="1"/>
  <c r="AB11" i="5" a="1"/>
  <c r="AB11" i="5" s="1"/>
  <c r="AB252" i="4" s="1"/>
  <c r="Q12" i="5" a="1"/>
  <c r="Q12" i="5" s="1"/>
  <c r="T17" i="5" a="1"/>
  <c r="T17" i="5" s="1"/>
  <c r="V17" i="5" a="1"/>
  <c r="V17" i="5" s="1"/>
  <c r="Q11" i="5" a="1"/>
  <c r="Q11" i="5" s="1"/>
  <c r="S12" i="5" a="1"/>
  <c r="S12" i="5" s="1"/>
  <c r="W17" i="5" a="1"/>
  <c r="W17" i="5" s="1"/>
  <c r="X17" i="5" a="1"/>
  <c r="X17" i="5" s="1"/>
  <c r="U12" i="5" a="1"/>
  <c r="U12" i="5" s="1"/>
  <c r="Y17" i="5" a="1"/>
  <c r="Y17" i="5" s="1"/>
  <c r="K17" i="5" a="1"/>
  <c r="K17" i="5" s="1"/>
  <c r="Z17" i="5" a="1"/>
  <c r="Z17" i="5" s="1"/>
  <c r="M17" i="5" a="1"/>
  <c r="M17" i="5" s="1"/>
  <c r="AA17" i="5" a="1"/>
  <c r="AA17" i="5" s="1"/>
  <c r="N17" i="5" a="1"/>
  <c r="N17" i="5" s="1"/>
  <c r="AB17" i="5" a="1"/>
  <c r="AB17" i="5" s="1"/>
  <c r="O17" i="5" a="1"/>
  <c r="O17" i="5" s="1"/>
  <c r="Q17" i="5" a="1"/>
  <c r="Q17" i="5" s="1"/>
  <c r="K11" i="5" a="1"/>
  <c r="K11" i="5" s="1"/>
  <c r="Z11" i="5" a="1"/>
  <c r="Z11" i="5" s="1"/>
  <c r="Z252" i="4" s="1"/>
  <c r="N12" i="5" a="1"/>
  <c r="N12" i="5" s="1"/>
  <c r="N173" i="4" s="1"/>
  <c r="AB12" i="5" a="1"/>
  <c r="AB12" i="5" s="1"/>
  <c r="AC17" i="5" a="1"/>
  <c r="AC17" i="5" s="1"/>
  <c r="AE12" i="5" a="1"/>
  <c r="AE12" i="5" s="1"/>
  <c r="AE173" i="4" s="1"/>
  <c r="AE11" i="5" a="1"/>
  <c r="AE11" i="5" s="1"/>
  <c r="AE17" i="5" a="1"/>
  <c r="AE17" i="5" s="1"/>
  <c r="AG17" i="5" a="1"/>
  <c r="AG17" i="5" s="1"/>
  <c r="AG11" i="5" a="1"/>
  <c r="AG11" i="5" s="1"/>
  <c r="AI12" i="5" a="1"/>
  <c r="AI12" i="5" s="1"/>
  <c r="AI173" i="4" s="1"/>
  <c r="AK17" i="5" a="1"/>
  <c r="AK17" i="5" s="1"/>
  <c r="AM17" i="5" a="1"/>
  <c r="AM17" i="5" s="1"/>
  <c r="AQ17" i="5" a="1"/>
  <c r="AQ17" i="5" s="1"/>
  <c r="AS12" i="5" a="1"/>
  <c r="AS12" i="5" s="1"/>
  <c r="AS173" i="4" s="1"/>
  <c r="AS11" i="5" a="1"/>
  <c r="AS11" i="5" s="1"/>
  <c r="AS17" i="5" a="1"/>
  <c r="AS17" i="5" s="1"/>
  <c r="AU17" i="5" a="1"/>
  <c r="AU17" i="5" s="1"/>
  <c r="AU11" i="5" a="1"/>
  <c r="AU11" i="5" s="1"/>
  <c r="AW17" i="5" a="1"/>
  <c r="AW17" i="5" s="1"/>
  <c r="J20" i="5" a="1"/>
  <c r="J20" i="5" s="1"/>
  <c r="J21" i="5" a="1"/>
  <c r="J21" i="5" s="1"/>
  <c r="J325" i="4" s="1"/>
  <c r="J23" i="5" a="1"/>
  <c r="J23" i="5" s="1"/>
  <c r="J24" i="5" a="1"/>
  <c r="J24" i="5" s="1"/>
  <c r="J25" i="5" a="1"/>
  <c r="J25" i="5" s="1"/>
  <c r="J26" i="5" a="1"/>
  <c r="J26" i="5" s="1"/>
  <c r="L20" i="5" a="1"/>
  <c r="L20" i="5" s="1"/>
  <c r="L26" i="5" a="1"/>
  <c r="L26" i="5" s="1"/>
  <c r="L24" i="5" a="1"/>
  <c r="L24" i="5" s="1"/>
  <c r="L23" i="5" a="1"/>
  <c r="L23" i="5" s="1"/>
  <c r="L21" i="5" a="1"/>
  <c r="L21" i="5" s="1"/>
  <c r="AD20" i="5" a="1"/>
  <c r="AD20" i="5" s="1"/>
  <c r="AD25" i="5" a="1"/>
  <c r="AD25" i="5" s="1"/>
  <c r="AD353" i="4" s="1"/>
  <c r="AF22" i="5" a="1"/>
  <c r="AF22" i="5" s="1"/>
  <c r="AF21" i="5" a="1"/>
  <c r="AF21" i="5" s="1"/>
  <c r="AF311" i="4" s="1"/>
  <c r="AF20" i="5" a="1"/>
  <c r="AF20" i="5" s="1"/>
  <c r="AF26" i="5" a="1"/>
  <c r="AF26" i="5" s="1"/>
  <c r="AF23" i="5" a="1"/>
  <c r="AF23" i="5" s="1"/>
  <c r="AH23" i="5" a="1"/>
  <c r="AH23" i="5" s="1"/>
  <c r="AH21" i="5" a="1"/>
  <c r="AH21" i="5" s="1"/>
  <c r="AH311" i="4" s="1"/>
  <c r="AJ26" i="5" a="1"/>
  <c r="AJ26" i="5" s="1"/>
  <c r="AJ24" i="5" a="1"/>
  <c r="AJ24" i="5" s="1"/>
  <c r="AJ22" i="5" a="1"/>
  <c r="AJ22" i="5" s="1"/>
  <c r="AJ20" i="5" a="1"/>
  <c r="AJ20" i="5" s="1"/>
  <c r="AL26" i="5" a="1"/>
  <c r="AL26" i="5" s="1"/>
  <c r="AL23" i="5" a="1"/>
  <c r="AL23" i="5" s="1"/>
  <c r="AL22" i="5" a="1"/>
  <c r="AL22" i="5" s="1"/>
  <c r="AL20" i="5" a="1"/>
  <c r="AL20" i="5" s="1"/>
  <c r="AN20" i="5" a="1"/>
  <c r="AN20" i="5" s="1"/>
  <c r="AN25" i="5" a="1"/>
  <c r="AN25" i="5" s="1"/>
  <c r="AN353" i="4" s="1"/>
  <c r="AN26" i="5" a="1"/>
  <c r="AN26" i="5" s="1"/>
  <c r="AN24" i="5" a="1"/>
  <c r="AN24" i="5" s="1"/>
  <c r="AP26" i="5" a="1"/>
  <c r="AP26" i="5" s="1"/>
  <c r="AP24" i="5" a="1"/>
  <c r="AP24" i="5" s="1"/>
  <c r="AR20" i="5" a="1"/>
  <c r="AR20" i="5" s="1"/>
  <c r="AR25" i="5" a="1"/>
  <c r="AR25" i="5" s="1"/>
  <c r="AR353" i="4" s="1"/>
  <c r="AT22" i="5" a="1"/>
  <c r="AT22" i="5" s="1"/>
  <c r="AT21" i="5" a="1"/>
  <c r="AT21" i="5" s="1"/>
  <c r="AT311" i="4" s="1"/>
  <c r="AT20" i="5" a="1"/>
  <c r="AT20" i="5" s="1"/>
  <c r="AT26" i="5" a="1"/>
  <c r="AT26" i="5" s="1"/>
  <c r="AT23" i="5" a="1"/>
  <c r="AT23" i="5" s="1"/>
  <c r="AV23" i="5" a="1"/>
  <c r="AV23" i="5" s="1"/>
  <c r="AV21" i="5" a="1"/>
  <c r="AV21" i="5" s="1"/>
  <c r="AV311" i="4" s="1"/>
  <c r="AX26" i="5" a="1"/>
  <c r="AX26" i="5" s="1"/>
  <c r="AX22" i="5" a="1"/>
  <c r="AX22" i="5" s="1"/>
  <c r="AX21" i="5" a="1"/>
  <c r="AX21" i="5" s="1"/>
  <c r="AX311" i="4" s="1"/>
  <c r="AW16" i="5" a="1"/>
  <c r="AW16" i="5" s="1"/>
  <c r="AW215" i="4" s="1"/>
  <c r="AG16" i="5" a="1"/>
  <c r="AG16" i="5" s="1"/>
  <c r="AG215" i="4" s="1"/>
  <c r="Q16" i="5" a="1"/>
  <c r="Q16" i="5" s="1"/>
  <c r="Q205" i="4" s="1"/>
  <c r="AO15" i="5" a="1"/>
  <c r="AO15" i="5" s="1"/>
  <c r="Z15" i="5" a="1"/>
  <c r="Z15" i="5" s="1"/>
  <c r="Z203" i="4" s="1"/>
  <c r="K15" i="5" a="1"/>
  <c r="K15" i="5" s="1"/>
  <c r="AK14" i="5" a="1"/>
  <c r="AK14" i="5" s="1"/>
  <c r="W14" i="5" a="1"/>
  <c r="W14" i="5" s="1"/>
  <c r="AW13" i="5" a="1"/>
  <c r="AW13" i="5" s="1"/>
  <c r="T13" i="5" a="1"/>
  <c r="T13" i="5" s="1"/>
  <c r="AR12" i="5" a="1"/>
  <c r="AR12" i="5" s="1"/>
  <c r="AR173" i="4" s="1"/>
  <c r="AA12" i="5" a="1"/>
  <c r="AA12" i="5" s="1"/>
  <c r="AW11" i="5" a="1"/>
  <c r="AW11" i="5" s="1"/>
  <c r="AU25" i="5" a="1"/>
  <c r="AU25" i="5" s="1"/>
  <c r="AU353" i="4" s="1"/>
  <c r="AR24" i="5" a="1"/>
  <c r="AR24" i="5" s="1"/>
  <c r="S24" i="5" a="1"/>
  <c r="S24" i="5" s="1"/>
  <c r="AI23" i="5" a="1"/>
  <c r="AI23" i="5" s="1"/>
  <c r="K23" i="5" a="1"/>
  <c r="K23" i="5" s="1"/>
  <c r="Z22" i="5" a="1"/>
  <c r="Z22" i="5" s="1"/>
  <c r="Z372" i="4" s="1"/>
  <c r="AK21" i="5" a="1"/>
  <c r="AK21" i="5" s="1"/>
  <c r="AK311" i="4" s="1"/>
  <c r="AP20" i="5" a="1"/>
  <c r="AP20" i="5" s="1"/>
  <c r="AI17" i="5" a="1"/>
  <c r="AI17" i="5" s="1"/>
  <c r="AV16" i="5" a="1"/>
  <c r="AV16" i="5" s="1"/>
  <c r="AV227" i="4" s="1"/>
  <c r="AF16" i="5" a="1"/>
  <c r="AF16" i="5" s="1"/>
  <c r="AF215" i="4" s="1"/>
  <c r="P16" i="5" a="1"/>
  <c r="P16" i="5" s="1"/>
  <c r="AN15" i="5" a="1"/>
  <c r="AN15" i="5" s="1"/>
  <c r="Y15" i="5" a="1"/>
  <c r="Y15" i="5" s="1"/>
  <c r="Y203" i="4" s="1"/>
  <c r="AJ14" i="5" a="1"/>
  <c r="AJ14" i="5" s="1"/>
  <c r="V14" i="5" a="1"/>
  <c r="V14" i="5" s="1"/>
  <c r="AV13" i="5" a="1"/>
  <c r="AV13" i="5" s="1"/>
  <c r="AH13" i="5" a="1"/>
  <c r="AH13" i="5" s="1"/>
  <c r="S13" i="5" a="1"/>
  <c r="S13" i="5" s="1"/>
  <c r="AQ12" i="5" a="1"/>
  <c r="AQ12" i="5" s="1"/>
  <c r="AQ173" i="4" s="1"/>
  <c r="AV11" i="5" a="1"/>
  <c r="AV11" i="5" s="1"/>
  <c r="Y11" i="5" a="1"/>
  <c r="Y11" i="5" s="1"/>
  <c r="Y252" i="4" s="1"/>
  <c r="AT25" i="5" a="1"/>
  <c r="AT25" i="5" s="1"/>
  <c r="AT353" i="4" s="1"/>
  <c r="X25" i="5" a="1"/>
  <c r="X25" i="5" s="1"/>
  <c r="X365" i="4" s="1"/>
  <c r="AQ24" i="5" a="1"/>
  <c r="AQ24" i="5" s="1"/>
  <c r="AG23" i="5" a="1"/>
  <c r="AG23" i="5" s="1"/>
  <c r="AV22" i="5" a="1"/>
  <c r="AV22" i="5" s="1"/>
  <c r="Y22" i="5" a="1"/>
  <c r="Y22" i="5" s="1"/>
  <c r="Y372" i="4" s="1"/>
  <c r="AJ21" i="5" a="1"/>
  <c r="AJ21" i="5" s="1"/>
  <c r="AJ311" i="4" s="1"/>
  <c r="AK20" i="5" a="1"/>
  <c r="AK20" i="5" s="1"/>
  <c r="AD17" i="5" a="1"/>
  <c r="AD17" i="5" s="1"/>
  <c r="AU16" i="5" a="1"/>
  <c r="AU16" i="5" s="1"/>
  <c r="AU215" i="4" s="1"/>
  <c r="AE16" i="5" a="1"/>
  <c r="AE16" i="5" s="1"/>
  <c r="AE215" i="4" s="1"/>
  <c r="O16" i="5" a="1"/>
  <c r="O16" i="5" s="1"/>
  <c r="AM15" i="5" a="1"/>
  <c r="AM15" i="5" s="1"/>
  <c r="X15" i="5" a="1"/>
  <c r="X15" i="5" s="1"/>
  <c r="X203" i="4" s="1"/>
  <c r="AX14" i="5" a="1"/>
  <c r="AX14" i="5" s="1"/>
  <c r="AI14" i="5" a="1"/>
  <c r="AI14" i="5" s="1"/>
  <c r="U14" i="5" a="1"/>
  <c r="U14" i="5" s="1"/>
  <c r="AU13" i="5" a="1"/>
  <c r="AU13" i="5" s="1"/>
  <c r="AG13" i="5" a="1"/>
  <c r="AG13" i="5" s="1"/>
  <c r="Z12" i="5" a="1"/>
  <c r="Z12" i="5" s="1"/>
  <c r="AT11" i="5" a="1"/>
  <c r="AT11" i="5" s="1"/>
  <c r="X11" i="5" a="1"/>
  <c r="X11" i="5" s="1"/>
  <c r="X252" i="4" s="1"/>
  <c r="AS25" i="5" a="1"/>
  <c r="AS25" i="5" s="1"/>
  <c r="AS353" i="4" s="1"/>
  <c r="V25" i="5" a="1"/>
  <c r="V25" i="5" s="1"/>
  <c r="V365" i="4" s="1"/>
  <c r="R24" i="5" a="1"/>
  <c r="R24" i="5" s="1"/>
  <c r="AE23" i="5" a="1"/>
  <c r="AE23" i="5" s="1"/>
  <c r="AU22" i="5" a="1"/>
  <c r="AU22" i="5" s="1"/>
  <c r="W22" i="5" a="1"/>
  <c r="W22" i="5" s="1"/>
  <c r="W372" i="4" s="1"/>
  <c r="AI20" i="5" a="1"/>
  <c r="AI20" i="5" s="1"/>
  <c r="AT16" i="5" a="1"/>
  <c r="AT16" i="5" s="1"/>
  <c r="AT215" i="4" s="1"/>
  <c r="AD16" i="5" a="1"/>
  <c r="AD16" i="5" s="1"/>
  <c r="AD227" i="4" s="1"/>
  <c r="N16" i="5" a="1"/>
  <c r="N16" i="5" s="1"/>
  <c r="AL15" i="5" a="1"/>
  <c r="AL15" i="5" s="1"/>
  <c r="W15" i="5" a="1"/>
  <c r="W15" i="5" s="1"/>
  <c r="W203" i="4" s="1"/>
  <c r="AW14" i="5" a="1"/>
  <c r="AW14" i="5" s="1"/>
  <c r="T14" i="5" a="1"/>
  <c r="T14" i="5" s="1"/>
  <c r="AT13" i="5" a="1"/>
  <c r="AT13" i="5" s="1"/>
  <c r="AF13" i="5" a="1"/>
  <c r="AF13" i="5" s="1"/>
  <c r="R13" i="5" a="1"/>
  <c r="R13" i="5" s="1"/>
  <c r="AP12" i="5" a="1"/>
  <c r="AP12" i="5" s="1"/>
  <c r="AP173" i="4" s="1"/>
  <c r="Y12" i="5" a="1"/>
  <c r="Y12" i="5" s="1"/>
  <c r="AR11" i="5" a="1"/>
  <c r="AR11" i="5" s="1"/>
  <c r="W11" i="5" a="1"/>
  <c r="W11" i="5" s="1"/>
  <c r="W252" i="4" s="1"/>
  <c r="AQ25" i="5" a="1"/>
  <c r="AQ25" i="5" s="1"/>
  <c r="AQ353" i="4" s="1"/>
  <c r="U25" i="5" a="1"/>
  <c r="U25" i="5" s="1"/>
  <c r="U343" i="4" s="1"/>
  <c r="AM24" i="5" a="1"/>
  <c r="AM24" i="5" s="1"/>
  <c r="Q24" i="5" a="1"/>
  <c r="Q24" i="5" s="1"/>
  <c r="AD23" i="5" a="1"/>
  <c r="AD23" i="5" s="1"/>
  <c r="AR22" i="5" a="1"/>
  <c r="AR22" i="5" s="1"/>
  <c r="S22" i="5" a="1"/>
  <c r="S22" i="5" s="1"/>
  <c r="AE21" i="5" a="1"/>
  <c r="AE21" i="5" s="1"/>
  <c r="AE311" i="4" s="1"/>
  <c r="U17" i="5" a="1"/>
  <c r="U17" i="5" s="1"/>
  <c r="AS16" i="5" a="1"/>
  <c r="AS16" i="5" s="1"/>
  <c r="AS266" i="4" s="1"/>
  <c r="AC16" i="5" a="1"/>
  <c r="AC16" i="5" s="1"/>
  <c r="AC215" i="4" s="1"/>
  <c r="M16" i="5" a="1"/>
  <c r="M16" i="5" s="1"/>
  <c r="AK15" i="5" a="1"/>
  <c r="AK15" i="5" s="1"/>
  <c r="V15" i="5" a="1"/>
  <c r="V15" i="5" s="1"/>
  <c r="V203" i="4" s="1"/>
  <c r="AV14" i="5" a="1"/>
  <c r="AV14" i="5" s="1"/>
  <c r="AH14" i="5" a="1"/>
  <c r="AH14" i="5" s="1"/>
  <c r="S14" i="5" a="1"/>
  <c r="S14" i="5" s="1"/>
  <c r="AS13" i="5" a="1"/>
  <c r="AS13" i="5" s="1"/>
  <c r="AE13" i="5" a="1"/>
  <c r="AE13" i="5" s="1"/>
  <c r="Q13" i="5" a="1"/>
  <c r="Q13" i="5" s="1"/>
  <c r="AO12" i="5" a="1"/>
  <c r="AO12" i="5" s="1"/>
  <c r="AO173" i="4" s="1"/>
  <c r="X12" i="5" a="1"/>
  <c r="X12" i="5" s="1"/>
  <c r="AQ11" i="5" a="1"/>
  <c r="AQ11" i="5" s="1"/>
  <c r="V11" i="5" a="1"/>
  <c r="V11" i="5" s="1"/>
  <c r="V252" i="4" s="1"/>
  <c r="AP25" i="5" a="1"/>
  <c r="AP25" i="5" s="1"/>
  <c r="AP353" i="4" s="1"/>
  <c r="T25" i="5" a="1"/>
  <c r="T25" i="5" s="1"/>
  <c r="T343" i="4" s="1"/>
  <c r="AL24" i="5" a="1"/>
  <c r="AL24" i="5" s="1"/>
  <c r="P24" i="5" a="1"/>
  <c r="P24" i="5" s="1"/>
  <c r="AC23" i="5" a="1"/>
  <c r="AC23" i="5" s="1"/>
  <c r="AD21" i="5" a="1"/>
  <c r="AD21" i="5" s="1"/>
  <c r="AD311" i="4" s="1"/>
  <c r="AH20" i="5" a="1"/>
  <c r="AH20" i="5" s="1"/>
  <c r="P17" i="5" a="1"/>
  <c r="P17" i="5" s="1"/>
  <c r="Q367" i="4" l="1"/>
  <c r="Q313" i="4"/>
  <c r="Q315" i="4"/>
  <c r="Q311" i="4"/>
  <c r="R275" i="4"/>
  <c r="R252" i="4"/>
  <c r="R217" i="4"/>
  <c r="R190" i="4"/>
  <c r="R167" i="4"/>
  <c r="R178" i="4"/>
  <c r="R157" i="4"/>
  <c r="S275" i="4"/>
  <c r="S252" i="4"/>
  <c r="S217" i="4"/>
  <c r="S190" i="4"/>
  <c r="S167" i="4"/>
  <c r="S178" i="4"/>
  <c r="S157" i="4"/>
  <c r="AS215" i="4"/>
  <c r="AG353" i="4"/>
  <c r="AX266" i="4"/>
  <c r="Q229" i="4"/>
  <c r="Q177" i="4"/>
  <c r="Q175" i="4"/>
  <c r="Q173" i="4"/>
  <c r="T229" i="4"/>
  <c r="T177" i="4"/>
  <c r="T175" i="4"/>
  <c r="T173" i="4"/>
  <c r="T275" i="4"/>
  <c r="T252" i="4"/>
  <c r="T217" i="4"/>
  <c r="T190" i="4"/>
  <c r="T167" i="4"/>
  <c r="T178" i="4"/>
  <c r="T157" i="4"/>
  <c r="AT365" i="4"/>
  <c r="AK227" i="4"/>
  <c r="AN227" i="4"/>
  <c r="AQ215" i="4"/>
  <c r="AX404" i="4"/>
  <c r="AM266" i="4"/>
  <c r="AE353" i="4"/>
  <c r="AV266" i="4"/>
  <c r="U360" i="4"/>
  <c r="U358" i="4"/>
  <c r="U284" i="4"/>
  <c r="U367" i="4"/>
  <c r="U315" i="4"/>
  <c r="U311" i="4"/>
  <c r="U313" i="4"/>
  <c r="U390" i="4"/>
  <c r="U413" i="4"/>
  <c r="U355" i="4"/>
  <c r="U328" i="4"/>
  <c r="U316" i="4"/>
  <c r="U305" i="4"/>
  <c r="U295" i="4"/>
  <c r="AR365" i="4"/>
  <c r="AI227" i="4"/>
  <c r="AH227" i="4"/>
  <c r="AO215" i="4"/>
  <c r="AV404" i="4"/>
  <c r="AK266" i="4"/>
  <c r="J311" i="4"/>
  <c r="AC353" i="4"/>
  <c r="AT266" i="4"/>
  <c r="R341" i="4"/>
  <c r="R351" i="4"/>
  <c r="R398" i="4"/>
  <c r="R285" i="4"/>
  <c r="U388" i="4"/>
  <c r="U337" i="4"/>
  <c r="U372" i="4"/>
  <c r="U314" i="4"/>
  <c r="AP365" i="4"/>
  <c r="AG227" i="4"/>
  <c r="AX353" i="4"/>
  <c r="AX227" i="4"/>
  <c r="AT404" i="4"/>
  <c r="AI266" i="4"/>
  <c r="N365" i="4"/>
  <c r="AR266" i="4"/>
  <c r="T367" i="4"/>
  <c r="T315" i="4"/>
  <c r="T311" i="4"/>
  <c r="T313" i="4"/>
  <c r="AN365" i="4"/>
  <c r="AE227" i="4"/>
  <c r="AT227" i="4"/>
  <c r="AR404" i="4"/>
  <c r="AG266" i="4"/>
  <c r="AW365" i="4"/>
  <c r="AV215" i="4"/>
  <c r="N404" i="4"/>
  <c r="AP266" i="4"/>
  <c r="R250" i="4"/>
  <c r="R234" i="4"/>
  <c r="R199" i="4"/>
  <c r="R176" i="4"/>
  <c r="T250" i="4"/>
  <c r="T199" i="4"/>
  <c r="T234" i="4"/>
  <c r="T176" i="4"/>
  <c r="R413" i="4"/>
  <c r="R390" i="4"/>
  <c r="R355" i="4"/>
  <c r="R305" i="4"/>
  <c r="R328" i="4"/>
  <c r="R316" i="4"/>
  <c r="R295" i="4"/>
  <c r="T360" i="4"/>
  <c r="T358" i="4"/>
  <c r="T284" i="4"/>
  <c r="Q220" i="4"/>
  <c r="Q222" i="4"/>
  <c r="Q146" i="4"/>
  <c r="AL365" i="4"/>
  <c r="AC227" i="4"/>
  <c r="AP404" i="4"/>
  <c r="AE266" i="4"/>
  <c r="AU365" i="4"/>
  <c r="AJ227" i="4"/>
  <c r="AW404" i="4"/>
  <c r="AN266" i="4"/>
  <c r="Q358" i="4"/>
  <c r="Q360" i="4"/>
  <c r="Q284" i="4"/>
  <c r="T398" i="4"/>
  <c r="T341" i="4"/>
  <c r="T351" i="4"/>
  <c r="T285" i="4"/>
  <c r="R388" i="4"/>
  <c r="R337" i="4"/>
  <c r="R372" i="4"/>
  <c r="R314" i="4"/>
  <c r="AJ365" i="4"/>
  <c r="AL227" i="4"/>
  <c r="AN404" i="4"/>
  <c r="AC266" i="4"/>
  <c r="AS365" i="4"/>
  <c r="AR215" i="4"/>
  <c r="AU404" i="4"/>
  <c r="AL266" i="4"/>
  <c r="T390" i="4"/>
  <c r="T413" i="4"/>
  <c r="T355" i="4"/>
  <c r="T328" i="4"/>
  <c r="T316" i="4"/>
  <c r="T305" i="4"/>
  <c r="T295" i="4"/>
  <c r="R358" i="4"/>
  <c r="R360" i="4"/>
  <c r="R284" i="4"/>
  <c r="U252" i="4"/>
  <c r="U275" i="4"/>
  <c r="U190" i="4"/>
  <c r="U217" i="4"/>
  <c r="U167" i="4"/>
  <c r="U178" i="4"/>
  <c r="U157" i="4"/>
  <c r="AH365" i="4"/>
  <c r="AL404" i="4"/>
  <c r="AE365" i="4"/>
  <c r="AQ365" i="4"/>
  <c r="AP215" i="4"/>
  <c r="AS404" i="4"/>
  <c r="AJ266" i="4"/>
  <c r="T222" i="4"/>
  <c r="T220" i="4"/>
  <c r="T146" i="4"/>
  <c r="R229" i="4"/>
  <c r="R177" i="4"/>
  <c r="R175" i="4"/>
  <c r="R173" i="4"/>
  <c r="S260" i="4"/>
  <c r="S213" i="4"/>
  <c r="S203" i="4"/>
  <c r="S147" i="4"/>
  <c r="R220" i="4"/>
  <c r="R222" i="4"/>
  <c r="R146" i="4"/>
  <c r="AF365" i="4"/>
  <c r="AJ404" i="4"/>
  <c r="AO365" i="4"/>
  <c r="AQ404" i="4"/>
  <c r="AH266" i="4"/>
  <c r="S220" i="4"/>
  <c r="S146" i="4"/>
  <c r="S222" i="4"/>
  <c r="Q260" i="4"/>
  <c r="Q203" i="4"/>
  <c r="Q213" i="4"/>
  <c r="Q147" i="4"/>
  <c r="T260" i="4"/>
  <c r="T213" i="4"/>
  <c r="T203" i="4"/>
  <c r="T147" i="4"/>
  <c r="U213" i="4"/>
  <c r="U260" i="4"/>
  <c r="U203" i="4"/>
  <c r="U147" i="4"/>
  <c r="U250" i="4"/>
  <c r="U199" i="4"/>
  <c r="U176" i="4"/>
  <c r="U234" i="4"/>
  <c r="AD365" i="4"/>
  <c r="AH404" i="4"/>
  <c r="AM365" i="4"/>
  <c r="J187" i="4"/>
  <c r="AO404" i="4"/>
  <c r="AF266" i="4"/>
  <c r="S372" i="4"/>
  <c r="S337" i="4"/>
  <c r="S314" i="4"/>
  <c r="S388" i="4"/>
  <c r="U229" i="4"/>
  <c r="U177" i="4"/>
  <c r="U175" i="4"/>
  <c r="U173" i="4"/>
  <c r="T388" i="4"/>
  <c r="T337" i="4"/>
  <c r="T372" i="4"/>
  <c r="T314" i="4"/>
  <c r="J381" i="4"/>
  <c r="AF404" i="4"/>
  <c r="AK365" i="4"/>
  <c r="AM404" i="4"/>
  <c r="AD266" i="4"/>
  <c r="U222" i="4"/>
  <c r="U220" i="4"/>
  <c r="U146" i="4"/>
  <c r="U398" i="4"/>
  <c r="U341" i="4"/>
  <c r="U351" i="4"/>
  <c r="U285" i="4"/>
  <c r="R367" i="4"/>
  <c r="R313" i="4"/>
  <c r="R315" i="4"/>
  <c r="R311" i="4"/>
  <c r="S360" i="4"/>
  <c r="S358" i="4"/>
  <c r="S284" i="4"/>
  <c r="AW227" i="4"/>
  <c r="AD404" i="4"/>
  <c r="AI365" i="4"/>
  <c r="AK404" i="4"/>
  <c r="AF227" i="4"/>
  <c r="N266" i="4"/>
  <c r="N215" i="4"/>
  <c r="N227" i="4"/>
  <c r="Q388" i="4"/>
  <c r="Q372" i="4"/>
  <c r="Q337" i="4"/>
  <c r="Q314" i="4"/>
  <c r="AU227" i="4"/>
  <c r="AW266" i="4"/>
  <c r="AG365" i="4"/>
  <c r="AI404" i="4"/>
  <c r="Q234" i="4"/>
  <c r="Q199" i="4"/>
  <c r="Q250" i="4"/>
  <c r="Q176" i="4"/>
  <c r="Q398" i="4"/>
  <c r="Q341" i="4"/>
  <c r="Q351" i="4"/>
  <c r="Q285" i="4"/>
  <c r="S229" i="4"/>
  <c r="S177" i="4"/>
  <c r="S175" i="4"/>
  <c r="S173" i="4"/>
  <c r="S367" i="4"/>
  <c r="S313" i="4"/>
  <c r="S315" i="4"/>
  <c r="S311" i="4"/>
  <c r="AS227" i="4"/>
  <c r="AU266" i="4"/>
  <c r="AC365" i="4"/>
  <c r="AD215" i="4"/>
  <c r="Q275" i="4"/>
  <c r="Q252" i="4"/>
  <c r="Q217" i="4"/>
  <c r="Q190" i="4"/>
  <c r="Q167" i="4"/>
  <c r="Q178" i="4"/>
  <c r="Q157" i="4"/>
  <c r="Q390" i="4"/>
  <c r="Q413" i="4"/>
  <c r="Q355" i="4"/>
  <c r="Q305" i="4"/>
  <c r="Q328" i="4"/>
  <c r="Q316" i="4"/>
  <c r="Q295" i="4"/>
  <c r="AQ227" i="4"/>
  <c r="S250" i="4"/>
  <c r="S234" i="4"/>
  <c r="S199" i="4"/>
  <c r="S176" i="4"/>
  <c r="S398" i="4"/>
  <c r="S341" i="4"/>
  <c r="S351" i="4"/>
  <c r="S285" i="4"/>
  <c r="S390" i="4"/>
  <c r="S413" i="4"/>
  <c r="S355" i="4"/>
  <c r="S305" i="4"/>
  <c r="S328" i="4"/>
  <c r="S316" i="4"/>
  <c r="S295" i="4"/>
  <c r="R260" i="4"/>
  <c r="R203" i="4"/>
  <c r="R213" i="4"/>
  <c r="R14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Seaman</author>
  </authors>
  <commentList>
    <comment ref="I1" authorId="0" shapeId="0" xr:uid="{50EAFC5A-0138-4B20-9205-04DA40C4C5A3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Births
</t>
        </r>
      </text>
    </comment>
    <comment ref="K1" authorId="0" shapeId="0" xr:uid="{DCD7736F-84B0-4956-8E5C-7C8E33904E7C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 Dose Coverage
</t>
        </r>
      </text>
    </comment>
    <comment ref="L1" authorId="0" shapeId="0" xr:uid="{314AB2FC-F7A8-4012-8734-A329A0D8B4CF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HBV3 Coverage</t>
        </r>
      </text>
    </comment>
    <comment ref="I10" authorId="0" shapeId="0" xr:uid="{B49BBD35-128C-475C-90FB-D3EA33B6C9A4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Births
</t>
        </r>
      </text>
    </comment>
    <comment ref="K10" authorId="0" shapeId="0" xr:uid="{63EFB7CD-763D-40E0-9408-DFA34CF93039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 Dose Coverage
</t>
        </r>
      </text>
    </comment>
    <comment ref="L10" authorId="0" shapeId="0" xr:uid="{0B692F54-A2DD-46AC-960D-D1CA421D5470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HBV3 Coverage</t>
        </r>
      </text>
    </comment>
    <comment ref="I19" authorId="0" shapeId="0" xr:uid="{6C04085D-F605-4D66-A9FB-722E2002393F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Births
</t>
        </r>
      </text>
    </comment>
    <comment ref="K19" authorId="0" shapeId="0" xr:uid="{7867DAD3-8A96-4496-94BB-54A830282EE1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 Dose Coverage
</t>
        </r>
      </text>
    </comment>
    <comment ref="L19" authorId="0" shapeId="0" xr:uid="{8D8885D7-DCAB-47E0-A5ED-89CD7F2BB935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HBV3 Coverage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Seaman</author>
  </authors>
  <commentList>
    <comment ref="H1" authorId="0" shapeId="0" xr:uid="{ADE10A35-8F8B-42C7-AFD7-15BB6AA120F0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 Dose Coverage
</t>
        </r>
      </text>
    </comment>
    <comment ref="I1" authorId="0" shapeId="0" xr:uid="{B8E6F574-BEB7-4816-86D3-57A43E5DA0FB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Sensitivity analysis will be proportional, and limited to MAPs (i.e. we can assume PE as upper bound relative to other vaccine modalities)</t>
        </r>
      </text>
    </comment>
    <comment ref="R1" authorId="0" shapeId="0" xr:uid="{CE077D33-10FF-48EB-B0C2-926B457F4CD7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Two minutes; potentially costing the whole time a MAP needs to be adhered to the arm</t>
        </r>
      </text>
    </comment>
    <comment ref="U1" authorId="0" shapeId="0" xr:uid="{654E5847-3CE9-411E-A52A-8954BB93AAD5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 minutes, see comment on LHW maps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Seaman</author>
  </authors>
  <commentList>
    <comment ref="H1" authorId="0" shapeId="0" xr:uid="{39EF35CB-DB24-4A2E-B8E4-308E3D6471D3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2019 Birth Dose Coverage
</t>
        </r>
      </text>
    </comment>
    <comment ref="I1" authorId="0" shapeId="0" xr:uid="{9C9D5F7E-F958-4078-BE26-AA486FC5DE7F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Sensitivity analysis will be proportional, and limited to MAPs (i.e. we can assume PE as upper bound relative to other vaccine modalities)</t>
        </r>
      </text>
    </comment>
    <comment ref="R1" authorId="0" shapeId="0" xr:uid="{215C27A3-5971-4175-B927-A30892EF3B66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Two minutes; potentially costing the whole time a MAP needs to be adhered to the arm</t>
        </r>
      </text>
    </comment>
    <comment ref="U1" authorId="0" shapeId="0" xr:uid="{D353B4F2-D7A5-49A4-9274-3D16618E9D04}">
      <text>
        <r>
          <rPr>
            <b/>
            <sz val="9"/>
            <color indexed="81"/>
            <rFont val="Tahoma"/>
            <family val="2"/>
          </rPr>
          <t>Chris Seaman:</t>
        </r>
        <r>
          <rPr>
            <sz val="9"/>
            <color indexed="81"/>
            <rFont val="Tahoma"/>
            <family val="2"/>
          </rPr>
          <t xml:space="preserve">
2 minutes, see comment on LHW maps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<sst xmlns="http://schemas.openxmlformats.org/spreadsheetml/2006/main" count="5907" uniqueCount="533">
  <si>
    <t>Model Instructions</t>
  </si>
  <si>
    <t>Vaccine Effectiveness Assumptions</t>
  </si>
  <si>
    <t>Timing and Coverage Assumptions</t>
  </si>
  <si>
    <t>Day 1</t>
  </si>
  <si>
    <t>Day 2</t>
  </si>
  <si>
    <t>Days 3-7</t>
  </si>
  <si>
    <t>Days 8-41</t>
  </si>
  <si>
    <t>No Vax</t>
  </si>
  <si>
    <t>LMICs</t>
  </si>
  <si>
    <t>Model Runs</t>
  </si>
  <si>
    <t>VE of CTC (relative to cold chain)</t>
  </si>
  <si>
    <t>Baseline: Cold Chain in Facilities</t>
  </si>
  <si>
    <t>Regions</t>
  </si>
  <si>
    <t>Level of Analysis</t>
  </si>
  <si>
    <t>VE of MAPs (relative to cold chain)</t>
  </si>
  <si>
    <t>Baseline: Cold Chain in Communities</t>
  </si>
  <si>
    <t>Regional Weighted Values</t>
  </si>
  <si>
    <t>1 = Only include LMICs with a birth dose value
0 = Include all LMICs</t>
  </si>
  <si>
    <t>CTC: Additional Facility Coverage</t>
  </si>
  <si>
    <t>Uniform uncertainity</t>
  </si>
  <si>
    <t>± percentage, model default is 5%</t>
  </si>
  <si>
    <t>CTC: Timing of additional coverage</t>
  </si>
  <si>
    <t>CTC: Replacement Facility Coverage</t>
  </si>
  <si>
    <t>To: Day 1</t>
  </si>
  <si>
    <t>To: Day 2</t>
  </si>
  <si>
    <t>To: Days 3-7</t>
  </si>
  <si>
    <t>To: Days 8-41</t>
  </si>
  <si>
    <t>From: Day 1</t>
  </si>
  <si>
    <t>From: Day 2</t>
  </si>
  <si>
    <t>From: Days 3-7</t>
  </si>
  <si>
    <t>From: Days 8-41</t>
  </si>
  <si>
    <t>CTC: Additional Community Coverage</t>
  </si>
  <si>
    <t>CTC: Replacement Community Coverage</t>
  </si>
  <si>
    <t>MAPs: Additional Facility Coverage</t>
  </si>
  <si>
    <t>MAP: Timing of additional coverage</t>
  </si>
  <si>
    <t>MAP: Replacement Facility Coverage</t>
  </si>
  <si>
    <t>MAPs: Additional Community Coverage</t>
  </si>
  <si>
    <t>MAP: Replacement Community Coverage</t>
  </si>
  <si>
    <t>Increments: Additional Coverage</t>
  </si>
  <si>
    <t>0.01,0.05,0.1</t>
  </si>
  <si>
    <t>Increments: Replacement Coverage</t>
  </si>
  <si>
    <t>*NOTE: Can be infinitely long, but values need to be expressed as decimal (&lt;1) and seperated by commas</t>
  </si>
  <si>
    <t>Demographics</t>
  </si>
  <si>
    <t>All-Cause Mortality Rates</t>
  </si>
  <si>
    <t>Life Expectancy</t>
  </si>
  <si>
    <t>Epidemiology</t>
  </si>
  <si>
    <t>2019 HBsAg prevalence</t>
  </si>
  <si>
    <t>HBeAg prevalence</t>
  </si>
  <si>
    <t>2019 HepB-BD vaccination coverage</t>
  </si>
  <si>
    <t>2019 HBV3 vaccination coverage</t>
  </si>
  <si>
    <t>Facility Births (% total births)</t>
  </si>
  <si>
    <t>Vaccination Costs</t>
  </si>
  <si>
    <t>Supply Chain</t>
  </si>
  <si>
    <t xml:space="preserve">Commodity </t>
  </si>
  <si>
    <t>Human Resource</t>
  </si>
  <si>
    <t>Outreach</t>
  </si>
  <si>
    <t>Disease Management Costs</t>
  </si>
  <si>
    <t>HBsAg test</t>
  </si>
  <si>
    <t>Annual Monitoring</t>
  </si>
  <si>
    <t xml:space="preserve">Antiviral Therapy </t>
  </si>
  <si>
    <t>Disease Progression Rates</t>
  </si>
  <si>
    <t>Acute to Chronic</t>
  </si>
  <si>
    <t>Chronic to Clearance</t>
  </si>
  <si>
    <t xml:space="preserve">All other </t>
  </si>
  <si>
    <t>Disease Mortality Rates</t>
  </si>
  <si>
    <t>Health Utility (DALY) disability weights</t>
  </si>
  <si>
    <t>Chronic</t>
  </si>
  <si>
    <t>Compensated Cirrhosis</t>
  </si>
  <si>
    <t>Decompensated Cirrhosis</t>
  </si>
  <si>
    <t>Hepatocellular Carcinoma</t>
  </si>
  <si>
    <t>UN Population Prospects, 2019 Revision</t>
  </si>
  <si>
    <t>Acute</t>
  </si>
  <si>
    <t>Decompensated Cirrhosis and Hepatocellular Carcinoma</t>
  </si>
  <si>
    <t>Reflective of a birth cohort born between 2015-2020 in each modelled setting.</t>
  </si>
  <si>
    <t>http://situatedlaboratories.net/who-hepB-dashboard/src/#global-strategies</t>
  </si>
  <si>
    <r>
      <rPr>
        <b/>
        <sz val="11"/>
        <color theme="1"/>
        <rFont val="Calibri"/>
        <family val="2"/>
        <scheme val="minor"/>
      </rPr>
      <t>Webpage not secure</t>
    </r>
    <r>
      <rPr>
        <sz val="11"/>
        <color theme="1"/>
        <rFont val="Calibri"/>
        <family val="2"/>
        <scheme val="minor"/>
      </rPr>
      <t xml:space="preserve">
General population prevalence estimates used, last accessed 24/01/2022</t>
    </r>
  </si>
  <si>
    <t>Ott JJ, Stevens GA, Wiersma ST. The risk of perinatal hepatitis B virus transmission: hepatitis B e antigen (HBeAg) prevalence estimates for all world regions. BMC infectious diseases. 2012 Dec;12(1):1-9.
UN Population Prospects, 2019 Revision</t>
  </si>
  <si>
    <t>2005 HBeAg prevalence among 15-49y females taken from Ott et al in each world region, and weighted by number of pregnancies across 5-year age bands in 2019 (UN Population Prospects) to generate country specific HBeAg prevalence estimates among pregnant women.</t>
  </si>
  <si>
    <t>https://data.unicef.org/topic/maternal-health/delivery-care/</t>
  </si>
  <si>
    <t>Most recent estimate used for each LMIC, community births estimated as 1-facility births. Last accessed 24/01/2022</t>
  </si>
  <si>
    <t>symbol</t>
  </si>
  <si>
    <t>value</t>
  </si>
  <si>
    <t>lb</t>
  </si>
  <si>
    <t>ub</t>
  </si>
  <si>
    <t>P</t>
  </si>
  <si>
    <t>t_horizon</t>
  </si>
  <si>
    <t>weight</t>
  </si>
  <si>
    <t>discount</t>
  </si>
  <si>
    <t>r_LA</t>
  </si>
  <si>
    <t>r_AC</t>
  </si>
  <si>
    <t>p_AC</t>
  </si>
  <si>
    <t>r_AZ</t>
  </si>
  <si>
    <t>r_CZ</t>
  </si>
  <si>
    <t>r_CCC</t>
  </si>
  <si>
    <t>r_CHCC</t>
  </si>
  <si>
    <t>r_CCDC</t>
  </si>
  <si>
    <t>r_CCHCC</t>
  </si>
  <si>
    <t>r_DCHCC</t>
  </si>
  <si>
    <t>m_A</t>
  </si>
  <si>
    <t>m_C</t>
  </si>
  <si>
    <t>m_CC</t>
  </si>
  <si>
    <t>m_DC</t>
  </si>
  <si>
    <t>m_HCC</t>
  </si>
  <si>
    <t>DALY_A</t>
  </si>
  <si>
    <t>DALY_C</t>
  </si>
  <si>
    <t>DALY_CC</t>
  </si>
  <si>
    <t>DALY_DC</t>
  </si>
  <si>
    <t>DALY_HCC</t>
  </si>
  <si>
    <t>ve_1</t>
  </si>
  <si>
    <t>ve_2</t>
  </si>
  <si>
    <t>ve_3</t>
  </si>
  <si>
    <t>ve_4</t>
  </si>
  <si>
    <t>ve_5</t>
  </si>
  <si>
    <t>Nayagam S, Thursz M, Sicuri E, Conteh L, Wiktor S, Low-Beer D, Hallett TB. Requirements for global elimination of hepatitis B: a modelling study. The Lancet Infectious Diseases. 2016 Dec 1;16(12):1399-408.</t>
  </si>
  <si>
    <t>Global Burden of Disease Collaborative Network. Global Burden of Disease Study 2019 (GBD 2019) Disability Weights. Seattle, United States of America: Institute for Health Metrics and Evaluation (IHME), 2020.</t>
  </si>
  <si>
    <t>Portnoy A, Vaughan K, Clarke-Deelder E, Suharlim C, Resch SC, Brenzel L, Menzies NA. Producing standardized country-level immunization delivery unit cost estimates. PharmacoEconomics. 2020 Sep;38(9):995-1005.</t>
  </si>
  <si>
    <t>Assumed costs of delivery and storage of vaccine to a health facility level. Excluded commodity costs.</t>
  </si>
  <si>
    <t>Outreach costs in the South Asia GBD super-region adjusted to a weighted global average, as authors considered source costs unrealistic.</t>
  </si>
  <si>
    <t>Tordrup D, Hutin Y, Stenberg K, Lauer JA, Hutton DW, Toy M, Scott N, Chhatwal J, Ball A. Cost-Effectiveness of Testing and Treatment for Hepatitis B Virus and Hepatitis C Virus Infections: An Analysis by Scenarios, Regions, and Income. Value in Health. 2020 Dec 1;23(12):1552-60.</t>
  </si>
  <si>
    <t>In line with source study, assumed a 50:50 split of rapid tests and laboratory tests for HBsAg detection</t>
  </si>
  <si>
    <t>Tordrup D, Hutin Y, Stenberg K, Lauer JA, Hutton DW, Toy M, Scott N, Chhatwal J, Ball A. Cost-Effectiveness of Testing and Treatment for Hepatitis B Virus and Hepatitis C Virus Infections: An Analysis by Scenarios, Regions, and Income. Value in Health. 2020 Dec 1;23(12):1552-60.
WHO-CHOICE estimates of cost for inpatient and outpatient health service delivery
McAdam-Marx C, McGarry LJ, Hane CA, Biskupiak J, Deniz B, Brixner DI. All-cause and incremental per patient per year cost associated with chronic hepatitis C virus and associated liver complications in the United States: a managed care perspective. Journal of Managed Care Pharmacy. 2011 Sep;17(7):531-46.</t>
  </si>
  <si>
    <t>Source(s)</t>
  </si>
  <si>
    <t>Notes</t>
  </si>
  <si>
    <t>https://www.theglobalfund.org/media/5813/ppm_arvreferencepricing_table_en.pdf</t>
  </si>
  <si>
    <t>Cost annualized, assuming one tablet taken daily across 365 day year. Last accessed 24/01/2022.</t>
  </si>
  <si>
    <t>Costs included allowance for vaccine wastage, disposal and controlled-temperature chain (CTC) management where applicable. Costing assumed a 3:1 MDV to SDV procurement ratio in LMICs, consistent with UNICEF supply data for 2019.
Last accessed: 24/01/2022</t>
  </si>
  <si>
    <t>HepB-BD vaccine vials:  
https://www.unicef.org/supply/media/8146/file/HepB-vaccines-prices-27052021.pdf  
0.5mL autodisable needle+syringe, disposal boxes:  https://www.unicef.org/supply/media/2881/file/%20syringes%20-safety-boxes-price-data-April2020.pdf</t>
  </si>
  <si>
    <t xml:space="preserve">Only inclusive of time required to deliver a HepB-BD vaccine (variable by presentation). Travel-time costs assumed to be captured in other (supply chain or outreach) cost-components. 
Assumed a 37.5-hour work week, across 48 weeks of the year. </t>
  </si>
  <si>
    <t xml:space="preserve">Serje J, Bertram MY, Brindley C, Lauer JA. Global health worker salary estimates: an econometric analysis of global earnings data. Cost Effectiveness and Resource Allocation. 2018 Dec;16(1):1-9.
Per Capita GDP (current US$): https://data.worldbank.org/indicator/NY.GDP.PCAP.CD 
</t>
  </si>
  <si>
    <t>Chu C-M, Liaw Y-F. Hepatitis B surface antigen seroclearance during chronic HBV infection. Antivir Ther. 2010;15(2):133-43.</t>
  </si>
  <si>
    <t xml:space="preserve">Lin X, Robinson NJ, Thursz M, Rosenberg DM, Weild A, Pimenta JM, et al. Chronic hepatitis B virus infection in the Asia-Pacific region and Africa: review of disease progression. J Gastroenterol Hepatol. 2005;20(6):833-43. </t>
  </si>
  <si>
    <t>Edmunds WJ, Medley GF, Nokes DJ, Hall AJ, Whittle HC. The influence of age on the development of the hepatitis B carrier state. Proc Biol Sci. 1993;253(1337):197-201.</t>
  </si>
  <si>
    <t xml:space="preserve">Estimated as the rate of mortality conditional on fulminant hepatitis occurring from perinatal (mother to child) transmission </t>
  </si>
  <si>
    <t>Vaccine Effectiveness</t>
  </si>
  <si>
    <t>Fendrick AM, Lee JH, LaBarge C, Glick HA. Clinical and economic impact of a combination Haemophilus influenzae and Hepatitis B vaccine: estimating cost-effectiveness using decision analysis. Archives of pediatrics &amp; adolescent medicine 1999; 153(2): 126-36.</t>
  </si>
  <si>
    <t>Marion SA, Pastore MT, Pi DW, Mathias RG. Long-term follow-up of hepatitis B vaccine in infants of carrier mothers. American journal of epidemiology. 1994 Oct 15;140(8):734-46.
Scott N, Palmer A, Morgan C, Lesi O, Spearman CW, Sonderup M, Hellard M. Cost-effectiveness of the controlled temperature chain for the hepatitis B virus birth dose vaccine in various global settings: a modelling study. The lancet global health. 2018 Jun 1;6(6):e659-67.</t>
  </si>
  <si>
    <t>Includes cost of HBV DNA quantification and liver cirrhosis tests (APRI). Costs dependent upon utilization of outpatient/inpatient settings within each disease state, taken from McAdam-Marx et al. WHO CHOICE costs converted from PPP $I to USD 2010 and CPI adjusted to 2020.</t>
  </si>
  <si>
    <t>Proxied as "Abdominopelvic problem: mild"</t>
  </si>
  <si>
    <t>Decompensated Cirrhosis of the Liver (without anaemia)</t>
  </si>
  <si>
    <t>Drawn from lower-bound of "Decompensated cirrhosis of the liver (without anaemia)"</t>
  </si>
  <si>
    <t>Diagnosis and primary therapy phase of liver cancer due to hepatitis B</t>
  </si>
  <si>
    <t>Coverage Weighting (Facility vs Community)</t>
  </si>
  <si>
    <t xml:space="preserve">Olakunde BO, Adeyinka DA, Olakunde OA, Ogundipe T, Oladunni F, Ezeanolue EE. The coverage of hepatitis B birth dose vaccination in Nigeria: Does the place of delivery matter?. Transactions of The Royal Society of Tropical Medicine and Hygiene. 2021 Aug 27.
Hu Y, Chen Y, Wang Y, Liang H. Hepatitis B Vaccination among 1999(-)2017 Birth Cohorts in Zhejiang Province: The Determinants Associated with Infant Coverage. Int J Environ Res Public Health. 2018;15(12). </t>
  </si>
  <si>
    <t>Both indicate an approximate aOR of 2-fold higher odds of vaccination for a health facility birth as compared to a birth in the community (i.e. home).</t>
  </si>
  <si>
    <t>setting</t>
  </si>
  <si>
    <t>iso3</t>
  </si>
  <si>
    <t>num</t>
  </si>
  <si>
    <t>who_region</t>
  </si>
  <si>
    <t>gbd_region</t>
  </si>
  <si>
    <t>gbd_super</t>
  </si>
  <si>
    <t>wb_class</t>
  </si>
  <si>
    <t>pop</t>
  </si>
  <si>
    <t>births</t>
  </si>
  <si>
    <t>fac_birth</t>
  </si>
  <si>
    <t>bd_cov</t>
  </si>
  <si>
    <t>hbv3_cov</t>
  </si>
  <si>
    <t>hbv_prev</t>
  </si>
  <si>
    <t>hbe_prev</t>
  </si>
  <si>
    <t>epos</t>
  </si>
  <si>
    <t>eneg</t>
  </si>
  <si>
    <t>c_diag</t>
  </si>
  <si>
    <t>c_C</t>
  </si>
  <si>
    <t>c_CC</t>
  </si>
  <si>
    <t>c_DC</t>
  </si>
  <si>
    <t>c_HCC</t>
  </si>
  <si>
    <t>bl1_f</t>
  </si>
  <si>
    <t>bl1_c</t>
  </si>
  <si>
    <t>map_f</t>
  </si>
  <si>
    <t>map_cq</t>
  </si>
  <si>
    <t>map_cl</t>
  </si>
  <si>
    <t>ctc_f</t>
  </si>
  <si>
    <t>ctc_c</t>
  </si>
  <si>
    <t>m_01</t>
  </si>
  <si>
    <t>m_14</t>
  </si>
  <si>
    <t>m_59</t>
  </si>
  <si>
    <t>m_1014</t>
  </si>
  <si>
    <t>m_1519</t>
  </si>
  <si>
    <t>m_2024</t>
  </si>
  <si>
    <t>m_2529</t>
  </si>
  <si>
    <t>m_3034</t>
  </si>
  <si>
    <t>m_3539</t>
  </si>
  <si>
    <t>m_4044</t>
  </si>
  <si>
    <t>m_4549</t>
  </si>
  <si>
    <t>m_5054</t>
  </si>
  <si>
    <t>m_5559</t>
  </si>
  <si>
    <t>m_6064</t>
  </si>
  <si>
    <t>m_6569</t>
  </si>
  <si>
    <t>m_7074</t>
  </si>
  <si>
    <t>m_7079</t>
  </si>
  <si>
    <t>m_8084</t>
  </si>
  <si>
    <t>m_8589</t>
  </si>
  <si>
    <t>m_9094</t>
  </si>
  <si>
    <t>m_95+</t>
  </si>
  <si>
    <t>av_life</t>
  </si>
  <si>
    <t>Afghanistan</t>
  </si>
  <si>
    <t>AFG</t>
  </si>
  <si>
    <t>EMRO</t>
  </si>
  <si>
    <t>North Africa and Middle East</t>
  </si>
  <si>
    <t>Low Income</t>
  </si>
  <si>
    <t>Albania</t>
  </si>
  <si>
    <t>ALB</t>
  </si>
  <si>
    <t>EURO</t>
  </si>
  <si>
    <t>Central Europe</t>
  </si>
  <si>
    <t>Central Europe, Eastern Europe and Central Asia</t>
  </si>
  <si>
    <t>Upper Middle Income</t>
  </si>
  <si>
    <t>Algeria</t>
  </si>
  <si>
    <t>DZA</t>
  </si>
  <si>
    <t>AFRO</t>
  </si>
  <si>
    <t>Angola</t>
  </si>
  <si>
    <t>AGO</t>
  </si>
  <si>
    <t>Central Sub-Saharan Africa</t>
  </si>
  <si>
    <t>Sub-Saharan Africa</t>
  </si>
  <si>
    <t>Lower Middle Income</t>
  </si>
  <si>
    <t>Argentina</t>
  </si>
  <si>
    <t>ARG</t>
  </si>
  <si>
    <t>AMRO</t>
  </si>
  <si>
    <t>Southern Latin America</t>
  </si>
  <si>
    <t>Latin America and Caribbean</t>
  </si>
  <si>
    <t>Armenia</t>
  </si>
  <si>
    <t>ARM</t>
  </si>
  <si>
    <t>Central Asia</t>
  </si>
  <si>
    <t>Azerbaijan</t>
  </si>
  <si>
    <t>AZE</t>
  </si>
  <si>
    <t>Bangladesh</t>
  </si>
  <si>
    <t>BGD</t>
  </si>
  <si>
    <t>SEARO</t>
  </si>
  <si>
    <t>South Asia</t>
  </si>
  <si>
    <t>Belarus</t>
  </si>
  <si>
    <t>BLR</t>
  </si>
  <si>
    <t>Eastern Europe</t>
  </si>
  <si>
    <t>Belize</t>
  </si>
  <si>
    <t>BLZ</t>
  </si>
  <si>
    <t>Caribbean</t>
  </si>
  <si>
    <t>Benin</t>
  </si>
  <si>
    <t>BEN</t>
  </si>
  <si>
    <t>Western Sub-Saharan Africa</t>
  </si>
  <si>
    <t>Bhutan</t>
  </si>
  <si>
    <t>BTN</t>
  </si>
  <si>
    <t>Bolivia (Plurinational State of)</t>
  </si>
  <si>
    <t>BOL</t>
  </si>
  <si>
    <t>Andean Latin America</t>
  </si>
  <si>
    <t>Bosnia and Herzegovina</t>
  </si>
  <si>
    <t>BIH</t>
  </si>
  <si>
    <t>Botswana</t>
  </si>
  <si>
    <t>BWA</t>
  </si>
  <si>
    <t>Southern Sub-Saharan Africa</t>
  </si>
  <si>
    <t>Brazil</t>
  </si>
  <si>
    <t>BRA</t>
  </si>
  <si>
    <t>Tropical Latin America</t>
  </si>
  <si>
    <t>Bulgaria</t>
  </si>
  <si>
    <t>BGR</t>
  </si>
  <si>
    <t>Burkina Faso</t>
  </si>
  <si>
    <t>BFA</t>
  </si>
  <si>
    <t>Burundi</t>
  </si>
  <si>
    <t>BDI</t>
  </si>
  <si>
    <t>Eastern Sub-Saharan Africa</t>
  </si>
  <si>
    <t>Cabo Verde</t>
  </si>
  <si>
    <t>CPV</t>
  </si>
  <si>
    <t>Cambodia</t>
  </si>
  <si>
    <t>KHM</t>
  </si>
  <si>
    <t>WPRO</t>
  </si>
  <si>
    <t>Southeast Asia</t>
  </si>
  <si>
    <t>Southeast Asia, East Asia and Oceania</t>
  </si>
  <si>
    <t>Cameroon</t>
  </si>
  <si>
    <t>CMR</t>
  </si>
  <si>
    <t>Central African Republic (the)</t>
  </si>
  <si>
    <t>CAF</t>
  </si>
  <si>
    <t>Chad</t>
  </si>
  <si>
    <t>TCD</t>
  </si>
  <si>
    <t>China</t>
  </si>
  <si>
    <t>CHN</t>
  </si>
  <si>
    <t>East Asia</t>
  </si>
  <si>
    <t>Colombia</t>
  </si>
  <si>
    <t>COL</t>
  </si>
  <si>
    <t>Central Latin America</t>
  </si>
  <si>
    <t xml:space="preserve">Comoros </t>
  </si>
  <si>
    <t>COM</t>
  </si>
  <si>
    <t>Congo (the Democratic Republic of the)</t>
  </si>
  <si>
    <t>COD</t>
  </si>
  <si>
    <t>Congo (the)</t>
  </si>
  <si>
    <t>COG</t>
  </si>
  <si>
    <t>Costa Rica</t>
  </si>
  <si>
    <t>CRI</t>
  </si>
  <si>
    <t>Côte d'Ivoire</t>
  </si>
  <si>
    <t>CIV</t>
  </si>
  <si>
    <t>Cuba</t>
  </si>
  <si>
    <t>CUB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</si>
  <si>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</si>
  <si>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</si>
  <si>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</si>
  <si>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</si>
  <si>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</si>
  <si>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</si>
  <si>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</si>
  <si>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</si>
  <si>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</si>
  <si>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</si>
  <si>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</si>
  <si>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</si>
  <si>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</si>
  <si>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</si>
  <si>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</si>
  <si>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</si>
  <si>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</si>
  <si>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</si>
  <si>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</si>
  <si>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</si>
  <si>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</si>
  <si>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</si>
  <si>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Oceania</t>
  </si>
  <si>
    <t>Gabon</t>
  </si>
  <si>
    <t>GAB</t>
  </si>
  <si>
    <t>Gambia (the)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</si>
  <si>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</si>
  <si>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</si>
  <si>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</si>
  <si>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</si>
  <si>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</si>
  <si>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</si>
  <si>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</si>
  <si>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</si>
  <si>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</si>
  <si>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</si>
  <si>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</si>
  <si>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</si>
  <si>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</si>
  <si>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</si>
  <si>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</si>
  <si>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</si>
  <si>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</si>
  <si>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</si>
  <si>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</si>
  <si>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</si>
  <si>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</si>
  <si>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</si>
  <si>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</si>
  <si>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</si>
  <si>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</si>
  <si>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</si>
  <si>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</si>
  <si>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</si>
  <si>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</si>
  <si>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</si>
  <si>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</si>
  <si>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</si>
  <si>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</si>
  <si>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</si>
  <si>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</si>
  <si>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</si>
  <si>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</si>
  <si>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</si>
  <si>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</si>
  <si>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Kyrgyzstan</t>
  </si>
  <si>
    <t>KGZ</t>
  </si>
  <si>
    <t>Lao People's Democratic Republic (the)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</si>
  <si>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</si>
  <si>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</si>
  <si>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</si>
  <si>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</si>
  <si>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</si>
  <si>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</si>
  <si>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</si>
  <si>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</si>
  <si>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</si>
  <si>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</si>
  <si>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</si>
  <si>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</si>
  <si>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</si>
  <si>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</si>
  <si>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</si>
  <si>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</si>
  <si>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</si>
  <si>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</si>
  <si>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</si>
  <si>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 (the)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</si>
  <si>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</si>
  <si>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</si>
  <si>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</si>
  <si>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</si>
  <si>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</si>
  <si>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</si>
  <si>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</si>
  <si>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</si>
  <si>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</si>
  <si>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Moldova (the Republic of)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</si>
  <si>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</si>
  <si>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</si>
  <si>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</si>
  <si>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</si>
  <si>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</si>
  <si>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</si>
  <si>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</si>
  <si>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</si>
  <si>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</si>
  <si>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</si>
  <si>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</si>
  <si>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</si>
  <si>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</si>
  <si>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</si>
  <si>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</si>
  <si>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</si>
  <si>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</si>
  <si>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</si>
  <si>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</si>
  <si>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 (the)</t>
  </si>
  <si>
    <t>NER</t>
  </si>
  <si>
    <t>Nigeria</t>
  </si>
  <si>
    <t>NGA</t>
  </si>
  <si>
    <t>North Macedonia</t>
  </si>
  <si>
    <t>MKD</t>
  </si>
  <si>
    <t>Pakistan</t>
  </si>
  <si>
    <t>PAK</t>
  </si>
  <si>
    <t>Palestine, State of</t>
  </si>
  <si>
    <t>PSE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</si>
  <si>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</si>
  <si>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</si>
  <si>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</si>
  <si>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</si>
  <si>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</si>
  <si>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</si>
  <si>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</si>
  <si>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</si>
  <si>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Romania</t>
  </si>
  <si>
    <t>ROU</t>
  </si>
  <si>
    <t>Russian Federation (the)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</si>
  <si>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</si>
  <si>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</si>
  <si>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</si>
  <si>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</si>
  <si>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</si>
  <si>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</si>
  <si>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</si>
  <si>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</si>
  <si>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</si>
  <si>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São Tomé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</si>
  <si>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</si>
  <si>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</si>
  <si>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</si>
  <si>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</si>
  <si>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</si>
  <si>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</si>
  <si>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</si>
  <si>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</si>
  <si>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</si>
  <si>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</si>
  <si>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</si>
  <si>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</si>
  <si>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</si>
  <si>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</si>
  <si>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</si>
  <si>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</si>
  <si>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</si>
  <si>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 (the)</t>
  </si>
  <si>
    <t>SDN</t>
  </si>
  <si>
    <t>Suriname</t>
  </si>
  <si>
    <t>SUR</t>
  </si>
  <si>
    <t>Syrian Arab Republic (the)</t>
  </si>
  <si>
    <t>SYR</t>
  </si>
  <si>
    <t>Tajikistan</t>
  </si>
  <si>
    <t>TJK</t>
  </si>
  <si>
    <t>Tanzania, the United Republic of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</si>
  <si>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</si>
  <si>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</si>
  <si>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</si>
  <si>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</si>
  <si>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</si>
  <si>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</si>
  <si>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</si>
  <si>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</si>
  <si>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</si>
  <si>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</si>
  <si>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</si>
  <si>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</si>
  <si>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</si>
  <si>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</si>
  <si>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</si>
  <si>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</si>
  <si>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</si>
  <si>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</si>
  <si>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</si>
  <si>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</si>
  <si>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</si>
  <si>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</si>
  <si>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</si>
  <si>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</si>
  <si>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</si>
  <si>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</si>
  <si>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</si>
  <si>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</si>
  <si>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</si>
  <si>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</si>
  <si>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</si>
  <si>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</si>
  <si>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</si>
  <si>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</si>
  <si>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</si>
  <si>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Perinatal Transmission Risk</t>
  </si>
  <si>
    <t>Keane E, Funk AL, Shimakawa Y. Systematic review with meta‐analysis: the risk of mother‐to‐child transmission of hepatitis B virus infection in sub‐Saharan Africa. Alimentary pharmacology &amp; therapeutics. 2016 Nov;44(10):1005-17.
BEASLEY RP, TREPO C, STEVENS CE, SZMUNESS W. The e antigen and vertical transmission of hepatitis B surface antigen. American journal of epidemiology. 1977 Feb 1;105(2):94-8.</t>
  </si>
  <si>
    <t>2020 Total Population ('000s)</t>
  </si>
  <si>
    <t>2015-2020 crude birth rate (per 1000) multiplied by 2020 population size</t>
  </si>
  <si>
    <t>https://immunizationdata.who.int/.</t>
  </si>
  <si>
    <t>Last accessed 24/01/2022; coverage estimates available for 80 LMICs (2019 estimates used in lieu of 2020 where data was missing)</t>
  </si>
  <si>
    <t xml:space="preserve">Last accessed 24/01/2023; coverage estimates available for 136 LMICs </t>
  </si>
  <si>
    <t>2020 Births</t>
  </si>
  <si>
    <t>cov_impute</t>
  </si>
  <si>
    <t>All LMICs</t>
  </si>
  <si>
    <t>supp_chain</t>
  </si>
  <si>
    <t>cold_com_lb</t>
  </si>
  <si>
    <t>cold_com_pe</t>
  </si>
  <si>
    <t>cold_com_ub</t>
  </si>
  <si>
    <t>ctc_com_lb</t>
  </si>
  <si>
    <t>ctc_com_pe</t>
  </si>
  <si>
    <t>ctc_com_ub</t>
  </si>
  <si>
    <t>qhw_map_lb</t>
  </si>
  <si>
    <t>qhw_map_pe</t>
  </si>
  <si>
    <t>qhw_map_ub</t>
  </si>
  <si>
    <t>lhw_map_lb</t>
  </si>
  <si>
    <t>lhw_map_pe</t>
  </si>
  <si>
    <t>lhw_map_ub</t>
  </si>
  <si>
    <t>outreach</t>
  </si>
  <si>
    <t>c_C_lb</t>
  </si>
  <si>
    <t>c_CC_lb</t>
  </si>
  <si>
    <t>c_DC_lb</t>
  </si>
  <si>
    <t>c_HCC_lb</t>
  </si>
  <si>
    <t>c_C_ub</t>
  </si>
  <si>
    <t>c_CC_ub</t>
  </si>
  <si>
    <t>c_DC_ub</t>
  </si>
  <si>
    <t>c_HCC_ub</t>
  </si>
  <si>
    <t>diag_lb</t>
  </si>
  <si>
    <t>wtp_thresh</t>
  </si>
  <si>
    <t>0.5_gdp</t>
  </si>
  <si>
    <t>1_gdp</t>
  </si>
  <si>
    <t>3_gdp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</si>
</sst>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&quot;$&quot;#,##0.00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rgb="FFFFFF00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9" fontId="0" fillId="3" borderId="0" xfId="0" applyNumberFormat="1" applyFill="1"/>
    <xf numFmtId="164" fontId="0" fillId="3" borderId="0" xfId="2" applyNumberFormat="1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9" fontId="0" fillId="5" borderId="0" xfId="0" applyNumberFormat="1" applyFill="1"/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9" fontId="0" fillId="4" borderId="0" xfId="0" applyNumberForma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right"/>
    </xf>
    <xf numFmtId="0" fontId="0" fillId="6" borderId="0" xfId="0" applyFill="1"/>
    <xf numFmtId="9" fontId="0" fillId="6" borderId="0" xfId="0" applyNumberFormat="1" applyFill="1"/>
    <xf numFmtId="0" fontId="5" fillId="6" borderId="0" xfId="0" applyFont="1" applyFill="1"/>
    <xf numFmtId="0" fontId="5" fillId="6" borderId="0" xfId="0" applyFont="1" applyFill="1" applyAlignment="1">
      <alignment horizontal="right"/>
    </xf>
    <xf numFmtId="0" fontId="0" fillId="7" borderId="0" xfId="0" applyFill="1"/>
    <xf numFmtId="9" fontId="0" fillId="7" borderId="0" xfId="0" applyNumberFormat="1" applyFill="1"/>
    <xf numFmtId="0" fontId="5" fillId="7" borderId="0" xfId="0" applyFont="1" applyFill="1"/>
    <xf numFmtId="0" fontId="5" fillId="7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0" borderId="1" xfId="0" applyBorder="1" applyAlignment="1">
      <alignment vertical="center" wrapText="1"/>
    </xf>
    <xf numFmtId="0" fontId="6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3" fillId="10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 wrapText="1"/>
    </xf>
    <xf numFmtId="0" fontId="3" fillId="1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2" fillId="12" borderId="5" xfId="0" applyFont="1" applyFill="1" applyBorder="1"/>
    <xf numFmtId="0" fontId="2" fillId="12" borderId="0" xfId="0" applyFont="1" applyFill="1"/>
    <xf numFmtId="0" fontId="2" fillId="12" borderId="6" xfId="0" applyFont="1" applyFill="1" applyBorder="1"/>
    <xf numFmtId="165" fontId="0" fillId="0" borderId="0" xfId="1" applyNumberFormat="1" applyFont="1"/>
    <xf numFmtId="0" fontId="0" fillId="13" borderId="7" xfId="0" applyFont="1" applyFill="1" applyBorder="1"/>
    <xf numFmtId="0" fontId="0" fillId="13" borderId="5" xfId="0" applyFont="1" applyFill="1" applyBorder="1"/>
    <xf numFmtId="0" fontId="0" fillId="0" borderId="7" xfId="0" applyFont="1" applyBorder="1"/>
    <xf numFmtId="0" fontId="0" fillId="0" borderId="5" xfId="0" applyFont="1" applyBorder="1"/>
    <xf numFmtId="9" fontId="0" fillId="0" borderId="0" xfId="0" applyNumberFormat="1"/>
    <xf numFmtId="0" fontId="2" fillId="14" borderId="0" xfId="0" applyFont="1" applyFill="1"/>
    <xf numFmtId="0" fontId="2" fillId="15" borderId="5" xfId="0" applyFont="1" applyFill="1" applyBorder="1"/>
    <xf numFmtId="0" fontId="2" fillId="15" borderId="0" xfId="0" applyFont="1" applyFill="1"/>
    <xf numFmtId="0" fontId="8" fillId="16" borderId="0" xfId="0" applyFont="1" applyFill="1"/>
    <xf numFmtId="0" fontId="0" fillId="0" borderId="0" xfId="0" applyNumberFormat="1"/>
    <xf numFmtId="165" fontId="0" fillId="0" borderId="0" xfId="0" applyNumberFormat="1" applyFont="1"/>
    <xf numFmtId="0" fontId="2" fillId="12" borderId="7" xfId="0" applyFont="1" applyFill="1" applyBorder="1"/>
    <xf numFmtId="0" fontId="0" fillId="13" borderId="5" xfId="0" applyFill="1" applyBorder="1"/>
    <xf numFmtId="0" fontId="0" fillId="0" borderId="5" xfId="0" applyBorder="1"/>
    <xf numFmtId="164" fontId="0" fillId="0" borderId="0" xfId="2" applyNumberFormat="1" applyFont="1"/>
    <xf numFmtId="10" fontId="0" fillId="0" borderId="0" xfId="2" applyNumberFormat="1" applyFont="1"/>
    <xf numFmtId="166" fontId="0" fillId="0" borderId="0" xfId="2" applyNumberFormat="1" applyFont="1"/>
    <xf numFmtId="166" fontId="0" fillId="0" borderId="0" xfId="0" applyNumberFormat="1"/>
    <xf numFmtId="167" fontId="0" fillId="0" borderId="0" xfId="2" applyNumberFormat="1" applyFont="1"/>
    <xf numFmtId="167" fontId="0" fillId="0" borderId="0" xfId="0" applyNumberFormat="1"/>
    <xf numFmtId="165" fontId="0" fillId="13" borderId="5" xfId="1" applyNumberFormat="1" applyFont="1" applyFill="1" applyBorder="1"/>
    <xf numFmtId="165" fontId="0" fillId="0" borderId="5" xfId="1" applyNumberFormat="1" applyFont="1" applyBorder="1"/>
    <xf numFmtId="164" fontId="2" fillId="12" borderId="0" xfId="2" applyNumberFormat="1" applyFont="1" applyFill="1"/>
    <xf numFmtId="164" fontId="0" fillId="13" borderId="5" xfId="2" applyNumberFormat="1" applyFont="1" applyFill="1" applyBorder="1"/>
    <xf numFmtId="164" fontId="0" fillId="0" borderId="0" xfId="0" applyNumberFormat="1"/>
    <xf numFmtId="10" fontId="2" fillId="12" borderId="0" xfId="2" applyNumberFormat="1" applyFont="1" applyFill="1"/>
    <xf numFmtId="10" fontId="0" fillId="13" borderId="5" xfId="2" applyNumberFormat="1" applyFont="1" applyFill="1" applyBorder="1"/>
    <xf numFmtId="166" fontId="0" fillId="13" borderId="5" xfId="2" applyNumberFormat="1" applyFont="1" applyFill="1" applyBorder="1"/>
    <xf numFmtId="166" fontId="2" fillId="12" borderId="0" xfId="0" applyNumberFormat="1" applyFont="1" applyFill="1"/>
    <xf numFmtId="167" fontId="0" fillId="13" borderId="5" xfId="2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&quot;$&quot;#,##0.00"/>
    </dxf>
    <dxf>
      <numFmt numFmtId="0" formatCode="General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_-* #,##0_-;\-* #,##0_-;_-* &quot;-&quot;??_-;_-@_-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ama/Desktop/bd_costs_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ama/Dropbox/MAPs%20Modelling/map_inputs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ography"/>
      <sheetName val="Vaccine Costs_total"/>
      <sheetName val="supply chain"/>
      <sheetName val="commodity"/>
      <sheetName val="human resource"/>
      <sheetName val="outreach"/>
      <sheetName val="Annual Disease Management"/>
      <sheetName val="Plott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active"/>
      <sheetName val="global_pars"/>
      <sheetName val="LMICs"/>
      <sheetName val="Regions"/>
      <sheetName val="Demographics"/>
      <sheetName val="Epidemiology"/>
      <sheetName val="vaccine_costs"/>
      <sheetName val="disease_costs"/>
      <sheetName val="sens_costs_lmics"/>
      <sheetName val="sens_costs_regions"/>
      <sheetName val="LMICs_raw"/>
      <sheetName val="Tab 1"/>
      <sheetName val="Tab 2"/>
      <sheetName val="Figure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D83331-58AB-4638-A76A-E526B72B24DB}" name="lmics" displayName="lmics" ref="A1:AY137" totalsRowShown="0" headerRowDxfId="482">
  <autoFilter ref="A1:AY137" xr:uid="{17D83331-58AB-4638-A76A-E526B72B24DB}"/>
  <tableColumns count="51">
    <tableColumn id="1" xr3:uid="{23EFAC76-5396-4B8F-87BB-908A4BC6B2AD}" name="setting" dataDxfId="481"/>
    <tableColumn id="2" xr3:uid="{8C5007F6-ABC2-4931-8965-64077AA0BBA8}" name="iso3" dataDxfId="480"/>
    <tableColumn id="3" xr3:uid="{3819AF20-38C4-4622-9F0D-D2728B0BEC9E}" name="num" dataDxfId="479"/>
    <tableColumn id="4" xr3:uid="{A14B9A47-CBCA-44E4-8147-B3A96465DA08}" name="who_region" dataDxfId="478"/>
    <tableColumn id="5" xr3:uid="{2E127AF3-D6B3-4E51-AD81-CF313B13645C}" name="gbd_region" dataDxfId="477"/>
    <tableColumn id="6" xr3:uid="{5700C544-1E28-4210-B81D-2E725C7FB054}" name="gbd_super" dataDxfId="476"/>
    <tableColumn id="7" xr3:uid="{F4C8F36D-CEEC-41EC-9F8E-718EE9855DDD}" name="wb_class" dataDxfId="475"/>
    <tableColumn id="8" xr3:uid="{228F63DC-5BBB-4031-9B57-CA4E8AB097CF}" name="pop" dataDxfId="474" dataCellStyle="Comma">
      <calculatedColumnFormula>VLOOKUP(lmics[[#This Row],[setting]],raw[],8,FALSE)</calculatedColumnFormula>
    </tableColumn>
    <tableColumn id="9" xr3:uid="{D5F5AF25-C2B0-444B-95ED-A82C30ED57A6}" name="births" dataDxfId="473" dataCellStyle="Comma">
      <calculatedColumnFormula>VLOOKUP(lmics[[#This Row],[setting]],raw[],9,FALSE)</calculatedColumnFormula>
    </tableColumn>
    <tableColumn id="10" xr3:uid="{47EC39E9-337E-4506-8820-8550C7907B38}" name="fac_birth" dataDxfId="26" dataCellStyle="Percent">
      <calculatedColumnFormula>IF(VLOOKUP($A2,raw[],COLUMN(J$1),FALSE)=0, VLOOKUP($D2, regions[], COLUMN(J$1), FALSE), VLOOKUP($A2,raw[],COLUMN(J$1),FALSE))</calculatedColumnFormula>
    </tableColumn>
    <tableColumn id="11" xr3:uid="{D2A7C089-42D1-4A70-9571-D50360C29926}" name="bd_cov" dataDxfId="472">
      <calculatedColumnFormula>VLOOKUP($A2, raw[], 11, FALSE)</calculatedColumnFormula>
    </tableColumn>
    <tableColumn id="12" xr3:uid="{B3C19315-16F1-4A62-A653-078C0A7D537F}" name="hbv3_cov" dataDxfId="471">
      <calculatedColumnFormula>VLOOKUP($A2, raw[], 12, FALSE)</calculatedColumnFormula>
    </tableColumn>
    <tableColumn id="13" xr3:uid="{E688D01B-B6AD-4838-BC31-4A60F42D4FBE}" name="hbv_prev" dataDxfId="25">
      <calculatedColumnFormula>IF(VLOOKUP($A2,raw[],COLUMN(M$1),FALSE)=0, VLOOKUP($D2, regions[], COLUMN(M$1), FALSE), VLOOKUP($A2,raw[],COLUMN(M$1),FALSE))</calculatedColumnFormula>
    </tableColumn>
    <tableColumn id="14" xr3:uid="{110F1A61-48D7-4115-AB71-5318E79CC505}" name="hbe_prev" dataDxfId="24" dataCellStyle="Percent">
      <calculatedColumnFormula>IF(VLOOKUP($A2,raw[],COLUMN(N$1),FALSE)=0, VLOOKUP($D2, regions[], COLUMN(N$1), FALSE), VLOOKUP($A2,raw[],COLUMN(N$1),FALSE))</calculatedColumnFormula>
    </tableColumn>
    <tableColumn id="15" xr3:uid="{49504CDA-BF7F-4DD7-B373-6EF5CD72E34E}" name="epos" dataDxfId="23" dataCellStyle="Percent">
      <calculatedColumnFormula>IF(VLOOKUP($A2,raw[],COLUMN(O$1),FALSE)=0, VLOOKUP($D2, regions[], COLUMN(O$1), FALSE), VLOOKUP($A2,raw[],COLUMN(O$1),FALSE))</calculatedColumnFormula>
    </tableColumn>
    <tableColumn id="16" xr3:uid="{C5FD0117-F627-4144-AC12-3142DA5D1958}" name="eneg" dataDxfId="22" dataCellStyle="Percent">
      <calculatedColumnFormula>IF(VLOOKUP($A2,raw[],COLUMN(P$1),FALSE)=0, VLOOKUP($D2, regions[], COLUMN(P$1), FALSE), VLOOKUP($A2,raw[],COLUMN(P$1),FALSE))</calculatedColumnFormula>
    </tableColumn>
    <tableColumn id="17" xr3:uid="{67CDDAE4-2A2C-47FC-8FCC-0224396EBF71}" name="c_diag" dataDxfId="21">
      <calculatedColumnFormula>IF(VLOOKUP($A2,raw[],COLUMN(Q$1),FALSE)=0, VLOOKUP($D2, regions[], COLUMN(Q$1), FALSE), VLOOKUP($A2,raw[],COLUMN(Q$1),FALSE))</calculatedColumnFormula>
    </tableColumn>
    <tableColumn id="18" xr3:uid="{AD146114-AC1B-4B33-94AC-87C8ED813D98}" name="c_C" dataDxfId="20">
      <calculatedColumnFormula>IF(VLOOKUP($A2,raw[],COLUMN(R$1),FALSE)=0, VLOOKUP($D2, regions[], COLUMN(R$1), FALSE), VLOOKUP($A2,raw[],COLUMN(R$1),FALSE))</calculatedColumnFormula>
    </tableColumn>
    <tableColumn id="19" xr3:uid="{944FDEA1-E787-4272-BD73-C4A15F771A76}" name="c_CC" dataDxfId="19">
      <calculatedColumnFormula>IF(VLOOKUP($A2,raw[],COLUMN(S$1),FALSE)=0, VLOOKUP($D2, regions[], COLUMN(S$1), FALSE), VLOOKUP($A2,raw[],COLUMN(S$1),FALSE))</calculatedColumnFormula>
    </tableColumn>
    <tableColumn id="20" xr3:uid="{E4E7FF94-93A8-4598-9713-3F1EAB6CB235}" name="c_DC" dataDxfId="57">
      <calculatedColumnFormula>IF(VLOOKUP($A2,raw[],COLUMN(U$1)-COLUMN($A$1),FALSE)=0, VLOOKUP($D2, regions[], COLUMN(U$1)-COLUMN($A$1), FALSE), VLOOKUP($A2,raw[],COLUMN(U$1)-COLUMN($A$1),FALSE))</calculatedColumnFormula>
    </tableColumn>
    <tableColumn id="21" xr3:uid="{052DDBF6-EA5A-4B5C-B672-77AD4AB83912}" name="c_HCC" dataDxfId="56">
      <calculatedColumnFormula>IF(VLOOKUP($A2,raw[],COLUMN(V$1)-COLUMN($A$1),FALSE)=0, VLOOKUP($D2, regions[], COLUMN(V$1)-COLUMN($A$1), FALSE), VLOOKUP($A2,raw[],COLUMN(V$1)-COLUMN($A$1),FALSE))</calculatedColumnFormula>
    </tableColumn>
    <tableColumn id="22" xr3:uid="{AA63E6E9-1D17-495C-A0E2-026051CD150D}" name="bl1_f" dataDxfId="55">
      <calculatedColumnFormula>IF(VLOOKUP($A2,raw[],COLUMN(W$1)-COLUMN($A$1),FALSE)=0, VLOOKUP($D2, regions[], COLUMN(W$1)-COLUMN($A$1), FALSE), VLOOKUP($A2,raw[],COLUMN(W$1)-COLUMN($A$1),FALSE))</calculatedColumnFormula>
    </tableColumn>
    <tableColumn id="23" xr3:uid="{DF3A29EC-5853-44DE-8F83-A600233D36D8}" name="bl1_c" dataDxfId="54">
      <calculatedColumnFormula>IF(VLOOKUP($A2,raw[],COLUMN(X$1)-COLUMN($A$1),FALSE)=0, VLOOKUP($D2, regions[], COLUMN(X$1)-COLUMN($A$1), FALSE), VLOOKUP($A2,raw[],COLUMN(X$1)-COLUMN($A$1),FALSE))</calculatedColumnFormula>
    </tableColumn>
    <tableColumn id="24" xr3:uid="{BA316850-16AD-4132-817C-E64257558660}" name="map_f" dataDxfId="53">
      <calculatedColumnFormula>IF(VLOOKUP($A2,raw[],COLUMN(Y$1)-COLUMN($A$1),FALSE)=0, VLOOKUP($D2, regions[], COLUMN(Y$1)-COLUMN($A$1), FALSE), VLOOKUP($A2,raw[],COLUMN(Y$1)-COLUMN($A$1),FALSE))</calculatedColumnFormula>
    </tableColumn>
    <tableColumn id="25" xr3:uid="{2EC4ED98-90F3-4C74-B339-8ABFA9D031B0}" name="map_cq" dataDxfId="52">
      <calculatedColumnFormula>IF(VLOOKUP($A2,raw[],COLUMN(Z$1)-COLUMN($A$1),FALSE)=0, VLOOKUP($D2, regions[], COLUMN(Z$1)-COLUMN($A$1), FALSE), VLOOKUP($A2,raw[],COLUMN(Z$1)-COLUMN($A$1),FALSE))</calculatedColumnFormula>
    </tableColumn>
    <tableColumn id="26" xr3:uid="{510527EE-6737-4285-BB73-05A01E3D183D}" name="map_cl" dataDxfId="51">
      <calculatedColumnFormula>IF(VLOOKUP($A2,raw[],COLUMN(AA$1)-COLUMN($A$1),FALSE)=0, VLOOKUP($D2, regions[], COLUMN(AA$1)-COLUMN($A$1), FALSE), VLOOKUP($A2,raw[],COLUMN(AA$1)-COLUMN($A$1),FALSE))</calculatedColumnFormula>
    </tableColumn>
    <tableColumn id="27" xr3:uid="{E34FFD4F-D0C2-44D3-AB05-4442280E967E}" name="ctc_f" dataDxfId="50">
      <calculatedColumnFormula>IF(VLOOKUP($A2,raw[],COLUMN(AB$1)-COLUMN($A$1),FALSE)=0, VLOOKUP($D2, regions[], COLUMN(AB$1)-COLUMN($A$1), FALSE), VLOOKUP($A2,raw[],COLUMN(AB$1)-COLUMN($A$1),FALSE))</calculatedColumnFormula>
    </tableColumn>
    <tableColumn id="28" xr3:uid="{84948F3C-44C4-4025-A24C-08295D0C8A08}" name="ctc_c" dataDxfId="49">
      <calculatedColumnFormula>IF(VLOOKUP($A2,raw[],COLUMN(AC$1)-COLUMN($A$1),FALSE)=0, VLOOKUP($D2, regions[], COLUMN(AC$1)-COLUMN($A$1), FALSE), VLOOKUP($A2,raw[],COLUMN(AC$1)-COLUMN($A$1),FALSE))</calculatedColumnFormula>
    </tableColumn>
    <tableColumn id="29" xr3:uid="{CF73E78A-556B-4462-913B-F4C852A04435}" name="m_01" dataDxfId="48">
      <calculatedColumnFormula>IF(VLOOKUP($A2,raw[],COLUMN(AD$1)-COLUMN($A$1),FALSE)=0, VLOOKUP($D2, regions[], COLUMN(AD$1)-COLUMN($A$1), FALSE), VLOOKUP($A2,raw[],COLUMN(AD$1)-COLUMN($A$1),FALSE))</calculatedColumnFormula>
    </tableColumn>
    <tableColumn id="30" xr3:uid="{C0381B78-1CB6-400D-A9B0-F93F4F14D193}" name="m_14" dataDxfId="47">
      <calculatedColumnFormula>IF(VLOOKUP($A2,raw[],COLUMN(AE$1)-COLUMN($A$1),FALSE)=0, VLOOKUP($D2, regions[], COLUMN(AE$1)-COLUMN($A$1), FALSE), VLOOKUP($A2,raw[],COLUMN(AE$1)-COLUMN($A$1),FALSE))</calculatedColumnFormula>
    </tableColumn>
    <tableColumn id="31" xr3:uid="{7357F67C-1501-4545-9FC0-F6C663A1B0C3}" name="m_59" dataDxfId="46">
      <calculatedColumnFormula>IF(VLOOKUP($A2,raw[],COLUMN(AF$1)-COLUMN($A$1),FALSE)=0, VLOOKUP($D2, regions[], COLUMN(AF$1)-COLUMN($A$1), FALSE), VLOOKUP($A2,raw[],COLUMN(AF$1)-COLUMN($A$1),FALSE))</calculatedColumnFormula>
    </tableColumn>
    <tableColumn id="32" xr3:uid="{94D615A7-67A3-4CD4-9F91-ADF76EB51742}" name="m_1014" dataDxfId="45">
      <calculatedColumnFormula>IF(VLOOKUP($A2,raw[],COLUMN(AG$1)-COLUMN($A$1),FALSE)=0, VLOOKUP($D2, regions[], COLUMN(AG$1)-COLUMN($A$1), FALSE), VLOOKUP($A2,raw[],COLUMN(AG$1)-COLUMN($A$1),FALSE))</calculatedColumnFormula>
    </tableColumn>
    <tableColumn id="33" xr3:uid="{E11B7886-83E4-4E8B-9A71-E256EA83FF51}" name="m_1519" dataDxfId="44">
      <calculatedColumnFormula>IF(VLOOKUP($A2,raw[],COLUMN(AH$1)-COLUMN($A$1),FALSE)=0, VLOOKUP($D2, regions[], COLUMN(AH$1)-COLUMN($A$1), FALSE), VLOOKUP($A2,raw[],COLUMN(AH$1)-COLUMN($A$1),FALSE))</calculatedColumnFormula>
    </tableColumn>
    <tableColumn id="34" xr3:uid="{8EBFDE2D-92AB-4DC9-8682-DA6BBD7DC09A}" name="m_2024" dataDxfId="43">
      <calculatedColumnFormula>IF(VLOOKUP($A2,raw[],COLUMN(AI$1)-COLUMN($A$1),FALSE)=0, VLOOKUP($D2, regions[], COLUMN(AI$1)-COLUMN($A$1), FALSE), VLOOKUP($A2,raw[],COLUMN(AI$1)-COLUMN($A$1),FALSE))</calculatedColumnFormula>
    </tableColumn>
    <tableColumn id="35" xr3:uid="{A2F77A7B-953C-4282-A037-20A992508339}" name="m_2529" dataDxfId="42">
      <calculatedColumnFormula>IF(VLOOKUP($A2,raw[],COLUMN(AJ$1)-COLUMN($A$1),FALSE)=0, VLOOKUP($D2, regions[], COLUMN(AJ$1)-COLUMN($A$1), FALSE), VLOOKUP($A2,raw[],COLUMN(AJ$1)-COLUMN($A$1),FALSE))</calculatedColumnFormula>
    </tableColumn>
    <tableColumn id="36" xr3:uid="{D6704BF6-7144-450D-AAC3-C11088608F5D}" name="m_3034" dataDxfId="41">
      <calculatedColumnFormula>IF(VLOOKUP($A2,raw[],COLUMN(AK$1)-COLUMN($A$1),FALSE)=0, VLOOKUP($D2, regions[], COLUMN(AK$1)-COLUMN($A$1), FALSE), VLOOKUP($A2,raw[],COLUMN(AK$1)-COLUMN($A$1),FALSE))</calculatedColumnFormula>
    </tableColumn>
    <tableColumn id="37" xr3:uid="{4007A47D-40E5-433F-82B4-BA73EDD87721}" name="m_3539" dataDxfId="40">
      <calculatedColumnFormula>IF(VLOOKUP($A2,raw[],COLUMN(AL$1)-COLUMN($A$1),FALSE)=0, VLOOKUP($D2, regions[], COLUMN(AL$1)-COLUMN($A$1), FALSE), VLOOKUP($A2,raw[],COLUMN(AL$1)-COLUMN($A$1),FALSE))</calculatedColumnFormula>
    </tableColumn>
    <tableColumn id="38" xr3:uid="{70F39787-20C0-41C2-A713-94BDB52CE638}" name="m_4044" dataDxfId="39">
      <calculatedColumnFormula>IF(VLOOKUP($A2,raw[],COLUMN(AM$1)-COLUMN($A$1),FALSE)=0, VLOOKUP($D2, regions[], COLUMN(AM$1)-COLUMN($A$1), FALSE), VLOOKUP($A2,raw[],COLUMN(AM$1)-COLUMN($A$1),FALSE))</calculatedColumnFormula>
    </tableColumn>
    <tableColumn id="39" xr3:uid="{C0B13420-3474-49DE-9F72-D8FCBA62BE2F}" name="m_4549" dataDxfId="38">
      <calculatedColumnFormula>IF(VLOOKUP($A2,raw[],COLUMN(AN$1)-COLUMN($A$1),FALSE)=0, VLOOKUP($D2, regions[], COLUMN(AN$1)-COLUMN($A$1), FALSE), VLOOKUP($A2,raw[],COLUMN(AN$1)-COLUMN($A$1),FALSE))</calculatedColumnFormula>
    </tableColumn>
    <tableColumn id="40" xr3:uid="{29FDCD6A-ACA3-4C0C-BC1F-6B83F5547563}" name="m_5054" dataDxfId="37">
      <calculatedColumnFormula>IF(VLOOKUP($A2,raw[],COLUMN(AO$1)-COLUMN($A$1),FALSE)=0, VLOOKUP($D2, regions[], COLUMN(AO$1)-COLUMN($A$1), FALSE), VLOOKUP($A2,raw[],COLUMN(AO$1)-COLUMN($A$1),FALSE))</calculatedColumnFormula>
    </tableColumn>
    <tableColumn id="41" xr3:uid="{2C7BFE5E-19EC-4D93-9E0A-5FF78304306B}" name="m_5559" dataDxfId="36">
      <calculatedColumnFormula>IF(VLOOKUP($A2,raw[],COLUMN(AP$1)-COLUMN($A$1),FALSE)=0, VLOOKUP($D2, regions[], COLUMN(AP$1)-COLUMN($A$1), FALSE), VLOOKUP($A2,raw[],COLUMN(AP$1)-COLUMN($A$1),FALSE))</calculatedColumnFormula>
    </tableColumn>
    <tableColumn id="42" xr3:uid="{984640F9-12CB-40E4-9230-D90018D1BCE7}" name="m_6064" dataDxfId="35">
      <calculatedColumnFormula>IF(VLOOKUP($A2,raw[],COLUMN(AQ$1)-COLUMN($A$1),FALSE)=0, VLOOKUP($D2, regions[], COLUMN(AQ$1)-COLUMN($A$1), FALSE), VLOOKUP($A2,raw[],COLUMN(AQ$1)-COLUMN($A$1),FALSE))</calculatedColumnFormula>
    </tableColumn>
    <tableColumn id="43" xr3:uid="{BF7FED30-E99C-4085-9373-952F8D288F74}" name="m_6569" dataDxfId="34">
      <calculatedColumnFormula>IF(VLOOKUP($A2,raw[],COLUMN(AR$1)-COLUMN($A$1),FALSE)=0, VLOOKUP($D2, regions[], COLUMN(AR$1)-COLUMN($A$1), FALSE), VLOOKUP($A2,raw[],COLUMN(AR$1)-COLUMN($A$1),FALSE))</calculatedColumnFormula>
    </tableColumn>
    <tableColumn id="44" xr3:uid="{5682CA80-BAD6-49EC-908C-42B39B6C1A9D}" name="m_7074" dataDxfId="33">
      <calculatedColumnFormula>IF(VLOOKUP($A2,raw[],COLUMN(AS$1)-COLUMN($A$1),FALSE)=0, VLOOKUP($D2, regions[], COLUMN(AS$1)-COLUMN($A$1), FALSE), VLOOKUP($A2,raw[],COLUMN(AS$1)-COLUMN($A$1),FALSE))</calculatedColumnFormula>
    </tableColumn>
    <tableColumn id="45" xr3:uid="{C8098169-09B3-4FAF-898A-E5475BF60DF2}" name="m_7079" dataDxfId="32">
      <calculatedColumnFormula>IF(VLOOKUP($A2,raw[],COLUMN(AT$1)-COLUMN($A$1),FALSE)=0, VLOOKUP($D2, regions[], COLUMN(AT$1)-COLUMN($A$1), FALSE), VLOOKUP($A2,raw[],COLUMN(AT$1)-COLUMN($A$1),FALSE))</calculatedColumnFormula>
    </tableColumn>
    <tableColumn id="46" xr3:uid="{4A2446C7-FEC9-472E-A716-D66AB8280AD1}" name="m_8084" dataDxfId="31">
      <calculatedColumnFormula>IF(VLOOKUP($A2,raw[],COLUMN(AU$1)-COLUMN($A$1),FALSE)=0, VLOOKUP($D2, regions[], COLUMN(AU$1)-COLUMN($A$1), FALSE), VLOOKUP($A2,raw[],COLUMN(AU$1)-COLUMN($A$1),FALSE))</calculatedColumnFormula>
    </tableColumn>
    <tableColumn id="47" xr3:uid="{B7950265-2A5D-42EA-8390-7ADDC12DFD57}" name="m_8589" dataDxfId="30">
      <calculatedColumnFormula>IF(VLOOKUP($A2,raw[],COLUMN(AV$1)-COLUMN($A$1),FALSE)=0, VLOOKUP($D2, regions[], COLUMN(AV$1)-COLUMN($A$1), FALSE), VLOOKUP($A2,raw[],COLUMN(AV$1)-COLUMN($A$1),FALSE))</calculatedColumnFormula>
    </tableColumn>
    <tableColumn id="48" xr3:uid="{FF4F35DC-5666-4F06-A401-4E62FA3483AB}" name="m_9094" dataDxfId="29">
      <calculatedColumnFormula>IF(VLOOKUP($A2,raw[],COLUMN(AW$1)-COLUMN($A$1),FALSE)=0, VLOOKUP($D2, regions[], COLUMN(AW$1)-COLUMN($A$1), FALSE), VLOOKUP($A2,raw[],COLUMN(AW$1)-COLUMN($A$1),FALSE))</calculatedColumnFormula>
    </tableColumn>
    <tableColumn id="49" xr3:uid="{9DABFC93-7CBF-4914-8959-460D4B6AB73A}" name="m_95+" dataDxfId="28">
      <calculatedColumnFormula>IF(VLOOKUP($A2,raw[],COLUMN(AX$1)-COLUMN($A$1),FALSE)=0, VLOOKUP($D2, regions[], COLUMN(AX$1)-COLUMN($A$1), FALSE), VLOOKUP($A2,raw[],COLUMN(AX$1)-COLUMN($A$1),FALSE))</calculatedColumnFormula>
    </tableColumn>
    <tableColumn id="50" xr3:uid="{BE9CE042-5DB0-4AA0-BA8C-2F4B5121FF19}" name="av_life" dataDxfId="27">
      <calculatedColumnFormula>IF(VLOOKUP($A2,raw[],COLUMN(AY$1)-COLUMN($A$1),FALSE)=0, VLOOKUP($D2, regions[], COLUMN(AY$1)-COLUMN($A$1), FALSE), VLOOKUP($A2,raw[],COLUMN(AY$1)-COLUMN($A$1),FALSE))</calculatedColumnFormula>
    </tableColumn>
    <tableColumn id="51" xr3:uid="{443A414A-FC6E-4851-99A7-27DFDD91C269}" name="cov_impute" dataDxfId="8">
      <calculatedColumnFormula>IF($K2=0,"Yes",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303FDBE-6FE3-4A4A-948F-CE6949238243}" name="lmics_lb" displayName="lmics_lb" ref="A139:AY275" totalsRowShown="0" headerRowDxfId="470">
  <autoFilter ref="A139:AY275" xr:uid="{E303FDBE-6FE3-4A4A-948F-CE6949238243}"/>
  <tableColumns count="51">
    <tableColumn id="1" xr3:uid="{106249C0-3E36-4B04-9EE9-73A272FD9B43}" name="setting" dataDxfId="469"/>
    <tableColumn id="2" xr3:uid="{744DEAA8-50BD-4B44-A654-2EA55A94B4B8}" name="iso3" dataDxfId="468"/>
    <tableColumn id="3" xr3:uid="{E16C5903-0DC8-4C6A-9C24-D9A2548B28EE}" name="num" dataDxfId="467"/>
    <tableColumn id="4" xr3:uid="{57A48117-C62A-4079-ADFB-AD28459C11A8}" name="who_region" dataDxfId="466"/>
    <tableColumn id="5" xr3:uid="{F5197E49-4D64-4794-97C7-D2CE6DA81315}" name="gbd_region" dataDxfId="465"/>
    <tableColumn id="6" xr3:uid="{785D1F3E-2C16-468F-AD54-FE5823F2EA10}" name="gbd_super" dataDxfId="464"/>
    <tableColumn id="7" xr3:uid="{84063292-9DD4-48FB-B198-A4FE2A4A140C}" name="wb_class" dataDxfId="463"/>
    <tableColumn id="8" xr3:uid="{6A1FB586-9740-446E-BA8D-FA7EB9924D79}" name="pop" dataDxfId="462" dataCellStyle="Comma"/>
    <tableColumn id="9" xr3:uid="{9A9F83F0-04D4-4D70-9FC2-0B4B0D856338}" name="births" dataDxfId="461" dataCellStyle="Comma"/>
    <tableColumn id="10" xr3:uid="{37A945BA-0E7C-466E-BA3D-71066C0266E6}" name="fac_birth" dataDxfId="460" dataCellStyle="Percent">
      <calculatedColumnFormula>IF(VLOOKUP($A140,raw[],COLUMN(J$1),FALSE)=0, VLOOKUP($D140, regions[], COLUMN(J$1), FALSE), VLOOKUP($A140,raw[],COLUMN(J$1),FALSE))</calculatedColumnFormula>
    </tableColumn>
    <tableColumn id="11" xr3:uid="{8AAB390D-A40F-4ECB-B978-802DABD7033B}" name="bd_cov" dataDxfId="459">
      <calculatedColumnFormula>VLOOKUP($A140, raw[], 11, FALSE)</calculatedColumnFormula>
    </tableColumn>
    <tableColumn id="12" xr3:uid="{AFA2824C-99A0-4136-90DA-658080364FBE}" name="hbv3_cov" dataDxfId="458">
      <calculatedColumnFormula>VLOOKUP($A140, raw[], 12, FALSE)</calculatedColumnFormula>
    </tableColumn>
    <tableColumn id="13" xr3:uid="{238FD646-8ADD-48F0-8835-A28B8EA5575F}" name="hbv_prev" dataDxfId="457">
      <calculatedColumnFormula>IF(VLOOKUP($A140,raw[],COLUMN(M$1),FALSE)=0, VLOOKUP($D140, regions[], COLUMN(M$1), FALSE), VLOOKUP($A140,raw[],COLUMN(M$1),FALSE))</calculatedColumnFormula>
    </tableColumn>
    <tableColumn id="14" xr3:uid="{A39AB290-2D6D-487B-9C1B-6E3409B4F828}" name="hbe_prev" dataDxfId="456" dataCellStyle="Percent">
      <calculatedColumnFormula>IF(VLOOKUP($A140,raw[],COLUMN(N$1),FALSE)=0, VLOOKUP($D140, regions[], COLUMN(N$1), FALSE), VLOOKUP($A140,raw[],COLUMN(N$1),FALSE))</calculatedColumnFormula>
    </tableColumn>
    <tableColumn id="15" xr3:uid="{C78CDC08-3590-49C0-A7E1-7E11D49D6E29}" name="epos" dataDxfId="455" dataCellStyle="Percent">
      <calculatedColumnFormula>IF(VLOOKUP($A140,raw[],COLUMN(O$1),FALSE)=0, VLOOKUP($D140, regions[], COLUMN(O$1), FALSE), VLOOKUP($A140,raw[],COLUMN(O$1),FALSE))</calculatedColumnFormula>
    </tableColumn>
    <tableColumn id="16" xr3:uid="{C582C20A-C875-4A41-BC88-B3F4D6CEAE4C}" name="eneg" dataDxfId="454" dataCellStyle="Percent">
      <calculatedColumnFormula>IF(VLOOKUP($A140,raw[],COLUMN(P$1),FALSE)=0, VLOOKUP($D140, regions[], COLUMN(P$1), FALSE), VLOOKUP($A140,raw[],COLUMN(P$1),FALSE))</calculatedColumnFormula>
    </tableColumn>
    <tableColumn id="17" xr3:uid="{A9496148-5E39-4C6C-A2F2-FD64F8F0D788}" name="c_diag" dataDxfId="453">
      <calculatedColumnFormula>IF(VLOOKUP($A140,raw[],COLUMN(Q$1),FALSE)=0, VLOOKUP($D140, regions[], COLUMN(Q$1), FALSE), VLOOKUP($A140,raw[],COLUMN(Q$1),FALSE))</calculatedColumnFormula>
    </tableColumn>
    <tableColumn id="18" xr3:uid="{E0129E28-9859-422D-8BC9-FF229FC912B6}" name="c_C" dataDxfId="452">
      <calculatedColumnFormula>IF(VLOOKUP($A140,raw[],COLUMN(R$1),FALSE)=0, VLOOKUP($D140, regions[], COLUMN(R$1), FALSE), VLOOKUP($A140,raw[],COLUMN(R$1),FALSE))</calculatedColumnFormula>
    </tableColumn>
    <tableColumn id="19" xr3:uid="{E797DB85-BA13-4C3C-81F6-2754026636AC}" name="c_CC" dataDxfId="451">
      <calculatedColumnFormula>IF(VLOOKUP($A140,raw[],COLUMN(S$1),FALSE)=0, VLOOKUP($D140, regions[], COLUMN(S$1), FALSE), VLOOKUP($A140,raw[],COLUMN(S$1),FALSE))</calculatedColumnFormula>
    </tableColumn>
    <tableColumn id="20" xr3:uid="{39E41139-8605-4113-B5D4-7977B65DA0F9}" name="c_DC" dataDxfId="450"/>
    <tableColumn id="21" xr3:uid="{EB3E2CF5-A541-46CB-B1D1-E2AE904C31AC}" name="c_HCC" dataDxfId="449"/>
    <tableColumn id="22" xr3:uid="{A7A75AE2-15FD-4E0E-A04D-6B5F001C519C}" name="bl1_f" dataDxfId="448"/>
    <tableColumn id="23" xr3:uid="{04C55ADC-BB4B-40DA-9E24-35BEDEA1C186}" name="bl1_c" dataDxfId="447"/>
    <tableColumn id="24" xr3:uid="{536EBF07-0DEA-4FB3-8F02-52ACC69E2005}" name="map_f" dataDxfId="446"/>
    <tableColumn id="25" xr3:uid="{B81ED168-6D10-431C-A623-5015062577F1}" name="map_cq" dataDxfId="445"/>
    <tableColumn id="26" xr3:uid="{BFB9BBEC-B95A-47AA-9899-E4BD4C8F54E0}" name="map_cl" dataDxfId="444"/>
    <tableColumn id="27" xr3:uid="{A50017B2-79CA-4DB8-B342-DCD765C17C9F}" name="ctc_f" dataDxfId="443"/>
    <tableColumn id="28" xr3:uid="{70026F4B-EEC7-4C11-9FF9-54B71241D7ED}" name="ctc_c" dataDxfId="442"/>
    <tableColumn id="29" xr3:uid="{EED07368-495C-4764-B718-78B6CDC6D74C}" name="m_01" dataDxfId="441"/>
    <tableColumn id="30" xr3:uid="{C0D7B90A-6101-4CD0-8C84-DF7008C0C803}" name="m_14" dataDxfId="440"/>
    <tableColumn id="31" xr3:uid="{C1903166-88CC-486A-92FC-E5AA7D18F798}" name="m_59" dataDxfId="439"/>
    <tableColumn id="32" xr3:uid="{A03847C8-01B2-4312-9F6A-F6BC8CACC04B}" name="m_1014" dataDxfId="438"/>
    <tableColumn id="33" xr3:uid="{E77907B2-24C7-4B19-90C3-5E549749C725}" name="m_1519" dataDxfId="437"/>
    <tableColumn id="34" xr3:uid="{72B1D4B7-9556-4A35-8A0F-C81F8C6B9BC1}" name="m_2024" dataDxfId="436"/>
    <tableColumn id="35" xr3:uid="{FBF6B057-C5F8-48B4-9148-21C9C13BEA7D}" name="m_2529" dataDxfId="435"/>
    <tableColumn id="36" xr3:uid="{3021BD5B-F498-48A5-B157-95E66B515F00}" name="m_3034" dataDxfId="434"/>
    <tableColumn id="37" xr3:uid="{6B96C7DD-3B9B-4F16-9671-44AFDF82B8CC}" name="m_3539" dataDxfId="433"/>
    <tableColumn id="38" xr3:uid="{A3AB353D-D7E8-4CFE-B09F-9047FAD5470B}" name="m_4044" dataDxfId="432"/>
    <tableColumn id="39" xr3:uid="{58A35127-3906-44C5-B4CC-EB9F456731D8}" name="m_4549" dataDxfId="431"/>
    <tableColumn id="40" xr3:uid="{95EC7C40-BF0C-4814-BD74-F04A3B44A868}" name="m_5054" dataDxfId="430"/>
    <tableColumn id="41" xr3:uid="{6158D129-F773-434E-B491-B455D5A64ED8}" name="m_5559" dataDxfId="429"/>
    <tableColumn id="42" xr3:uid="{62A21CF1-080B-4B0E-8B89-3AF6B3232B5B}" name="m_6064" dataDxfId="428"/>
    <tableColumn id="43" xr3:uid="{3D52B491-E9B5-4143-9F7E-B87F927A7315}" name="m_6569" dataDxfId="427"/>
    <tableColumn id="44" xr3:uid="{BB70D990-B196-4FF8-8D95-4A36302498EC}" name="m_7074" dataDxfId="426"/>
    <tableColumn id="45" xr3:uid="{247B499A-25D4-4531-9E6D-7D33EDDF7ED7}" name="m_7079" dataDxfId="425">
      <calculatedColumnFormula>IF(VLOOKUP($A140,raw_lb[],COLUMN(AS$1),FALSE)=0, VLOOKUP($D140, regions_lb[], COLUMN(AS$1), FALSE), VLOOKUP($A140,raw_lb[],COLUMN(AS$1),FALSE))</calculatedColumnFormula>
    </tableColumn>
    <tableColumn id="46" xr3:uid="{DD8DD4A2-292A-4B03-B6FB-0DBB7ED73796}" name="m_8084" dataDxfId="424">
      <calculatedColumnFormula>IF(VLOOKUP($A140,raw_lb[],COLUMN(AT$1),FALSE)=0, VLOOKUP($D140, regions_lb[], COLUMN(AT$1), FALSE), VLOOKUP($A140,raw_lb[],COLUMN(AT$1),FALSE))</calculatedColumnFormula>
    </tableColumn>
    <tableColumn id="47" xr3:uid="{F523526E-62C3-40FA-B005-5EE47FB762C1}" name="m_8589" dataDxfId="423">
      <calculatedColumnFormula>IF(VLOOKUP($A140,raw_lb[],COLUMN(AU$1),FALSE)=0, VLOOKUP($D140, regions_lb[], COLUMN(AU$1), FALSE), VLOOKUP($A140,raw_lb[],COLUMN(AU$1),FALSE))</calculatedColumnFormula>
    </tableColumn>
    <tableColumn id="48" xr3:uid="{03C3C179-2539-4179-BCAE-9DB358917B31}" name="m_9094" dataDxfId="422">
      <calculatedColumnFormula>IF(VLOOKUP($A140,raw_lb[],COLUMN(AV$1),FALSE)=0, VLOOKUP($D140, regions_lb[], COLUMN(AV$1), FALSE), VLOOKUP($A140,raw_lb[],COLUMN(AV$1),FALSE))</calculatedColumnFormula>
    </tableColumn>
    <tableColumn id="49" xr3:uid="{0E1A1508-5B84-4C36-8F93-E3C5FAC810E6}" name="m_95+" dataDxfId="421">
      <calculatedColumnFormula>IF(VLOOKUP($A140,raw_lb[],COLUMN(AW$1),FALSE)=0, VLOOKUP($D140, regions_lb[], COLUMN(AW$1), FALSE), VLOOKUP($A140,raw_lb[],COLUMN(AW$1),FALSE))</calculatedColumnFormula>
    </tableColumn>
    <tableColumn id="50" xr3:uid="{812CCCF0-C59E-4B5F-B44C-8CDB41B6CD8D}" name="av_life" dataDxfId="420">
      <calculatedColumnFormula>IF(VLOOKUP($A140,raw_lb[],COLUMN(AX$1),FALSE)=0, VLOOKUP($D140, regions_lb[], COLUMN(AX$1), FALSE), VLOOKUP($A140,raw_lb[],COLUMN(AX$1),FALSE))</calculatedColumnFormula>
    </tableColumn>
    <tableColumn id="51" xr3:uid="{437D7F6E-FA19-4E39-A0FE-B8B1E6987673}" name="cov_impute" dataDxfId="7">
      <calculatedColumnFormula>IF($K140=0,"Yes", 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2699C1-EFED-485C-846E-0204F1FAEEA7}" name="lmics_ub" displayName="lmics_ub" ref="A277:AY413" totalsRowShown="0" headerRowDxfId="419">
  <autoFilter ref="A277:AY413" xr:uid="{E42699C1-EFED-485C-846E-0204F1FAEEA7}"/>
  <tableColumns count="51">
    <tableColumn id="1" xr3:uid="{28CF39E3-E8D9-4B0D-A27E-0F6A8B1008A4}" name="setting" dataDxfId="418"/>
    <tableColumn id="2" xr3:uid="{C5563AE3-3B4A-4FFE-94AF-C8921D1BB7D5}" name="iso3" dataDxfId="417"/>
    <tableColumn id="3" xr3:uid="{212D36CD-4A8D-4D28-9F65-567D7D9A78C6}" name="num" dataDxfId="416"/>
    <tableColumn id="4" xr3:uid="{A53E01DB-529A-4D21-BCEF-B776D949EC05}" name="who_region" dataDxfId="415"/>
    <tableColumn id="5" xr3:uid="{783BDB67-3C13-4D15-A3D5-DE0B241D76EB}" name="gbd_region" dataDxfId="414"/>
    <tableColumn id="6" xr3:uid="{CDF5C670-CE5F-4A02-A948-F84E01537947}" name="gbd_super" dataDxfId="413"/>
    <tableColumn id="7" xr3:uid="{9BA4A4F7-6B98-4D0C-B64D-EF568D434DAB}" name="wb_class" dataDxfId="412"/>
    <tableColumn id="8" xr3:uid="{9B9B6716-18E4-4278-BAA2-CE5798681DFB}" name="pop" dataDxfId="411" dataCellStyle="Comma"/>
    <tableColumn id="9" xr3:uid="{C3D5C2E5-AA9F-4C47-8789-146C0459EF29}" name="births" dataDxfId="410" dataCellStyle="Comma"/>
    <tableColumn id="10" xr3:uid="{AEF5DF25-6705-45D7-88CC-D72F6E7CA846}" name="fac_birth" dataDxfId="409" dataCellStyle="Percent">
      <calculatedColumnFormula>IF(VLOOKUP($A278,raw[],COLUMN(J$1),FALSE)=0, VLOOKUP($D278, regions[], COLUMN(J$1), FALSE), VLOOKUP($A278,raw[],COLUMN(J$1),FALSE))</calculatedColumnFormula>
    </tableColumn>
    <tableColumn id="11" xr3:uid="{D3DCED58-D3D5-43EB-A93B-9205B1F78B64}" name="bd_cov" dataDxfId="408">
      <calculatedColumnFormula>VLOOKUP($A278, raw[], 11, FALSE)</calculatedColumnFormula>
    </tableColumn>
    <tableColumn id="12" xr3:uid="{0B7D26AF-CAF1-4B50-B029-2ECCBC5E8D7E}" name="hbv3_cov" dataDxfId="407">
      <calculatedColumnFormula>VLOOKUP($A278, raw[], 12, FALSE)</calculatedColumnFormula>
    </tableColumn>
    <tableColumn id="13" xr3:uid="{B3CD4AD7-FD89-4816-84C2-843EF0BE322E}" name="hbv_prev" dataDxfId="406">
      <calculatedColumnFormula>IF(VLOOKUP($A278,raw[],COLUMN(M$1),FALSE)=0, VLOOKUP($D278, regions[], COLUMN(M$1), FALSE), VLOOKUP($A278,raw[],COLUMN(M$1),FALSE))</calculatedColumnFormula>
    </tableColumn>
    <tableColumn id="14" xr3:uid="{7743692B-4169-45E2-BC99-44676EE3DBB5}" name="hbe_prev" dataDxfId="405" dataCellStyle="Percent">
      <calculatedColumnFormula>IF(VLOOKUP($A278,raw[],COLUMN(N$1),FALSE)=0, VLOOKUP($D278, regions[], COLUMN(N$1), FALSE), VLOOKUP($A278,raw[],COLUMN(N$1),FALSE))</calculatedColumnFormula>
    </tableColumn>
    <tableColumn id="15" xr3:uid="{7174B2CA-4808-41B3-9647-F15AA1DA106F}" name="epos" dataDxfId="404" dataCellStyle="Percent">
      <calculatedColumnFormula>IF(VLOOKUP($A278,raw[],COLUMN(O$1),FALSE)=0, VLOOKUP($D278, regions[], COLUMN(O$1), FALSE), VLOOKUP($A278,raw[],COLUMN(O$1),FALSE))</calculatedColumnFormula>
    </tableColumn>
    <tableColumn id="16" xr3:uid="{974F1B9E-ACE1-4918-BF64-6595A5A959BB}" name="eneg" dataDxfId="403" dataCellStyle="Percent">
      <calculatedColumnFormula>IF(VLOOKUP($A278,raw[],COLUMN(P$1),FALSE)=0, VLOOKUP($D278, regions[], COLUMN(P$1), FALSE), VLOOKUP($A278,raw[],COLUMN(P$1),FALSE))</calculatedColumnFormula>
    </tableColumn>
    <tableColumn id="17" xr3:uid="{7E632CB4-8F2C-40BD-87E4-39EDE1588AFC}" name="c_diag" dataDxfId="402">
      <calculatedColumnFormula>IF(VLOOKUP($A278,raw[],COLUMN(Q$1),FALSE)=0, VLOOKUP($D278, regions[], COLUMN(Q$1), FALSE), VLOOKUP($A278,raw[],COLUMN(Q$1),FALSE))</calculatedColumnFormula>
    </tableColumn>
    <tableColumn id="18" xr3:uid="{3266FA6C-4B2D-4C4C-B14F-4594C0628C21}" name="c_C" dataDxfId="401">
      <calculatedColumnFormula>IF(VLOOKUP($A278,raw[],COLUMN(R$1),FALSE)=0, VLOOKUP($D278, regions[], COLUMN(R$1), FALSE), VLOOKUP($A278,raw[],COLUMN(R$1),FALSE))</calculatedColumnFormula>
    </tableColumn>
    <tableColumn id="19" xr3:uid="{3CAE5B88-0713-4C74-B63D-76AB58384350}" name="c_CC" dataDxfId="400">
      <calculatedColumnFormula>IF(VLOOKUP($A278,raw[],COLUMN(S$1),FALSE)=0, VLOOKUP($D278, regions[], COLUMN(S$1), FALSE), VLOOKUP($A278,raw[],COLUMN(S$1),FALSE))</calculatedColumnFormula>
    </tableColumn>
    <tableColumn id="20" xr3:uid="{581B5610-2124-4D23-AA3E-7CD63F0729F4}" name="c_DC" dataDxfId="399"/>
    <tableColumn id="21" xr3:uid="{B74FC4D2-5327-4B29-A9FF-AF2FB0C011D1}" name="c_HCC" dataDxfId="398"/>
    <tableColumn id="22" xr3:uid="{D129A960-A214-4BF2-AA48-62A807031377}" name="bl1_f" dataDxfId="397"/>
    <tableColumn id="23" xr3:uid="{4B28FA62-8B40-4F6A-AA39-68AB80947966}" name="bl1_c" dataDxfId="396"/>
    <tableColumn id="24" xr3:uid="{830AE598-95BE-4019-9305-BBC875F26A90}" name="map_f" dataDxfId="395"/>
    <tableColumn id="25" xr3:uid="{619CDAFE-98BA-40C3-933F-F161D0E5018C}" name="map_cq" dataDxfId="394"/>
    <tableColumn id="26" xr3:uid="{7E1E5A78-A8EA-45C4-805B-D8BF8FC1C55B}" name="map_cl" dataDxfId="393"/>
    <tableColumn id="27" xr3:uid="{D59CC060-41A0-4E2D-B288-ED180FF908EA}" name="ctc_f" dataDxfId="392"/>
    <tableColumn id="28" xr3:uid="{74ABB7A4-ED72-4CA0-8147-16D7BD654BA7}" name="ctc_c" dataDxfId="391"/>
    <tableColumn id="29" xr3:uid="{0096ECD5-14A8-46F9-920F-DE7696C73AC1}" name="m_01" dataDxfId="390"/>
    <tableColumn id="30" xr3:uid="{75FC3F17-F46F-4730-A370-6C8129686C02}" name="m_14" dataDxfId="389"/>
    <tableColumn id="31" xr3:uid="{E66D6859-9FBA-4F51-8316-C16AF857A09C}" name="m_59" dataDxfId="388"/>
    <tableColumn id="32" xr3:uid="{EEE40FFE-C05C-433A-A40E-A9F19B334B4F}" name="m_1014" dataDxfId="387"/>
    <tableColumn id="33" xr3:uid="{D06912C7-AFED-428E-B1F8-4A016A9381D0}" name="m_1519" dataDxfId="386"/>
    <tableColumn id="34" xr3:uid="{EC0B1BA8-9C2A-4E5D-B523-AD5AE3A00B05}" name="m_2024" dataDxfId="385"/>
    <tableColumn id="35" xr3:uid="{7F84573E-467B-4C42-A0B0-784C160258B8}" name="m_2529" dataDxfId="384"/>
    <tableColumn id="36" xr3:uid="{293FA254-9902-4486-8C15-C2647A9CA899}" name="m_3034" dataDxfId="383"/>
    <tableColumn id="37" xr3:uid="{FCF8F677-8CCB-42BC-A9F4-887512246D0C}" name="m_3539" dataDxfId="382"/>
    <tableColumn id="38" xr3:uid="{0FF888C7-11C3-4749-810B-DB13C2B093BC}" name="m_4044" dataDxfId="381"/>
    <tableColumn id="39" xr3:uid="{210EE941-D25F-49CE-95B7-4D86540E477E}" name="m_4549" dataDxfId="380"/>
    <tableColumn id="40" xr3:uid="{212361C1-7172-49CA-B453-DA2CE3716303}" name="m_5054" dataDxfId="379"/>
    <tableColumn id="41" xr3:uid="{399AE04C-F00C-450B-98FC-5A9A61EFB39D}" name="m_5559" dataDxfId="378"/>
    <tableColumn id="42" xr3:uid="{BE3348D5-B153-4E85-B749-960DCF55D202}" name="m_6064" dataDxfId="377"/>
    <tableColumn id="43" xr3:uid="{4F31B2AD-E470-4454-AD13-50251CC2A2CA}" name="m_6569" dataDxfId="376"/>
    <tableColumn id="44" xr3:uid="{D4982F48-D00E-41E3-A8E2-C547AD9DDFB7}" name="m_7074" dataDxfId="375"/>
    <tableColumn id="45" xr3:uid="{882411F9-6A21-40E1-92DB-D6FA9D7BE5BC}" name="m_7079" dataDxfId="374"/>
    <tableColumn id="46" xr3:uid="{E4384A52-D521-4CD7-89C1-4E413A5A0EBD}" name="m_8084" dataDxfId="373">
      <calculatedColumnFormula>IF(VLOOKUP($A278,raw_ub[],COLUMN(AT$1),FALSE)=0, VLOOKUP($D278, regions_ub[], COLUMN(AT$1), FALSE), VLOOKUP($A278,raw_ub[],COLUMN(AT$1),FALSE))</calculatedColumnFormula>
    </tableColumn>
    <tableColumn id="47" xr3:uid="{AA9FEE91-7BFB-43D8-B061-5B971B60C6D0}" name="m_8589" dataDxfId="372">
      <calculatedColumnFormula>IF(VLOOKUP($A278,raw_ub[],COLUMN(AU$1),FALSE)=0, VLOOKUP($D278, regions_ub[], COLUMN(AU$1), FALSE), VLOOKUP($A278,raw_ub[],COLUMN(AU$1),FALSE))</calculatedColumnFormula>
    </tableColumn>
    <tableColumn id="48" xr3:uid="{800BD4ED-2B76-4C37-86F7-33A183BBC33F}" name="m_9094" dataDxfId="371">
      <calculatedColumnFormula>IF(VLOOKUP($A278,raw_ub[],COLUMN(AV$1),FALSE)=0, VLOOKUP($D278, regions_ub[], COLUMN(AV$1), FALSE), VLOOKUP($A278,raw_ub[],COLUMN(AV$1),FALSE))</calculatedColumnFormula>
    </tableColumn>
    <tableColumn id="49" xr3:uid="{E35B314E-2728-409F-8BBD-8EF3F07E01C1}" name="m_95+" dataDxfId="370">
      <calculatedColumnFormula>IF(VLOOKUP($A278,raw_ub[],COLUMN(AW$1),FALSE)=0, VLOOKUP($D278, regions_ub[], COLUMN(AW$1), FALSE), VLOOKUP($A278,raw_ub[],COLUMN(AW$1),FALSE))</calculatedColumnFormula>
    </tableColumn>
    <tableColumn id="50" xr3:uid="{F0C47B99-71F3-43A6-BFD4-223C84A62AA8}" name="av_life" dataDxfId="369">
      <calculatedColumnFormula>IF(VLOOKUP($A278,raw_ub[],COLUMN(AX$1),FALSE)=0, VLOOKUP($D278, regions_ub[], COLUMN(AX$1), FALSE), VLOOKUP($A278,raw_ub[],COLUMN(AX$1),FALSE))</calculatedColumnFormula>
    </tableColumn>
    <tableColumn id="51" xr3:uid="{075F24A3-A5A7-4347-A868-F0FDC2ACD3C6}" name="cov_impute" dataDxfId="6">
      <calculatedColumnFormula>IF($K278=0,"Yes", 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BBAB4-F3B8-449A-99C9-9BE36E7C479D}" name="regions" displayName="regions" ref="A1:AY8" totalsRowShown="0" headerRowDxfId="368" tableBorderDxfId="367">
  <autoFilter ref="A1:AY8" xr:uid="{733BBAB4-F3B8-449A-99C9-9BE36E7C479D}"/>
  <tableColumns count="51">
    <tableColumn id="1" xr3:uid="{8D965470-46D5-41E0-96A4-0DA8A514392E}" name="setting" dataDxfId="366"/>
    <tableColumn id="2" xr3:uid="{BE31F481-730A-4281-809B-180101715419}" name="iso3"/>
    <tableColumn id="3" xr3:uid="{7EBFF66F-EEEB-4EE7-B069-61FD68A9BBDA}" name="num"/>
    <tableColumn id="4" xr3:uid="{EC61E6A7-300B-419B-9925-24E848561E81}" name="who_region"/>
    <tableColumn id="5" xr3:uid="{080F3BA8-185D-4B08-A543-13BDF3112DC3}" name="gbd_region"/>
    <tableColumn id="6" xr3:uid="{F3EDFCF7-1578-4B5F-A4A3-A6E854EE2291}" name="gbd_super"/>
    <tableColumn id="7" xr3:uid="{BE5D9874-B50B-40D8-ABA2-1CC1F24926C3}" name="wb_class"/>
    <tableColumn id="8" xr3:uid="{57158FE4-7B9B-42A0-A87D-88A099BA69EA}" name="pop" dataDxfId="365">
      <calculatedColumnFormula array="1">SUMPRODUCT((raw[[who_region]:[who_region]]=$A2)*raw[pop]*(LEN(raw[bd_cov])&gt;interactive!$C$6))</calculatedColumnFormula>
    </tableColumn>
    <tableColumn id="9" xr3:uid="{8D098776-60A7-4EEF-B35A-9634AFD0228C}" name="births" dataDxfId="364" dataCellStyle="Comma">
      <calculatedColumnFormula array="1">SUMPRODUCT((raw[[who_region]:[who_region]]=$A2)*raw[births]*(LEN(raw[bd_cov])&gt;interactive!$C$6))</calculatedColumnFormula>
    </tableColumn>
    <tableColumn id="10" xr3:uid="{021CC4D7-652E-4E72-945C-A1935FCDDC94}" name="fac_birth" dataDxfId="363" dataCellStyle="Percent">
      <calculatedColumnFormula array="1">SUMPRODUCT((raw[[who_region]:[who_region]]=$A2)*raw[[births]:[births]]*raw[fac_birth]*(LEN(raw[fac_birth])&gt;1)*(LEN(raw[[bd_cov]:[bd_cov]])&gt;interactive!$C$6))/SUMPRODUCT((raw[[who_region]:[who_region]]=$A2)*raw[[births]:[births]]*(LEN(raw[fac_birth])&gt;1)*(LEN(raw[[bd_cov]:[bd_cov]])&gt;interactive!$C$6))</calculatedColumnFormula>
    </tableColumn>
    <tableColumn id="11" xr3:uid="{BFAE59EA-5CC4-4665-A432-625FAB55E99B}" name="bd_cov" dataDxfId="362" dataCellStyle="Percent">
      <calculatedColumnFormula array="1">SUMPRODUCT((raw[[who_region]:[who_region]]=$A2)*raw[[births]:[births]]*raw[bd_cov]*(LEN(raw[bd_cov])&gt;1)*(LEN(raw[[bd_cov]:[bd_cov]])&gt;interactive!$C$6))/SUMPRODUCT((raw[[who_region]:[who_region]]=$A2)*raw[[births]:[births]]*(LEN(raw[bd_cov])&gt;1)*(LEN(raw[[bd_cov]:[bd_cov]])&gt;interactive!$C$6))</calculatedColumnFormula>
    </tableColumn>
    <tableColumn id="12" xr3:uid="{9EBC6B0D-5EB3-41F6-A9EF-A3A3225D6E3B}" name="hbv3_cov" dataDxfId="361" dataCellStyle="Percent">
      <calculatedColumnFormula array="1">SUMPRODUCT((raw[[who_region]:[who_region]]=$A2)*raw[[births]:[births]]*raw[hbv3_cov]*(LEN(raw[hbv3_cov])&gt;1)*(LEN(raw[[bd_cov]:[bd_cov]])&gt;interactive!$C$6))/SUMPRODUCT((raw[[who_region]:[who_region]]=$A2)*raw[[births]:[births]]*(LEN(raw[hbv3_cov])&gt;1)*(LEN(raw[[bd_cov]:[bd_cov]])&gt;interactive!$C$6))</calculatedColumnFormula>
    </tableColumn>
    <tableColumn id="13" xr3:uid="{DB6C5485-060F-4389-A869-0CDE0758376E}" name="hbv_prev" dataDxfId="360">
      <calculatedColumnFormula array="1">SUMPRODUCT((raw[[who_region]:[who_region]]=$A2)*raw[[births]:[births]]*raw[hbv_prev]*(LEN(raw[hbv_prev])&gt;1)*(LEN(raw[[bd_cov]:[bd_cov]])&gt;interactive!$C$6))/SUMPRODUCT((raw[[who_region]:[who_region]]=$A2)*raw[[births]:[births]]*(LEN(raw[hbv_prev])&gt;1)*(LEN(raw[[bd_cov]:[bd_cov]])&gt;interactive!$C$6))</calculatedColumnFormula>
    </tableColumn>
    <tableColumn id="14" xr3:uid="{194723AB-FE0F-4442-964B-671B0E1F5773}" name="hbe_prev" dataDxfId="359">
      <calculatedColumnFormula array="1">SUMPRODUCT((raw[[who_region]:[who_region]]=$A2)*raw[[births]:[births]]*raw[hbe_prev]*(LEN(raw[hbe_prev])&gt;1)*(LEN(raw[[bd_cov]:[bd_cov]])&gt;interactive!$C$6))/SUMPRODUCT((raw[[who_region]:[who_region]]=$A2)*raw[[births]:[births]]*(LEN(raw[hbe_prev])&gt;1)*(LEN(raw[[bd_cov]:[bd_cov]])&gt;interactive!$C$6))</calculatedColumnFormula>
    </tableColumn>
    <tableColumn id="15" xr3:uid="{0F0E2C63-E449-4151-9F41-3286646FEF00}" name="epos" dataDxfId="358" dataCellStyle="Percent">
      <calculatedColumnFormula array="1">SUMPRODUCT((raw[[who_region]:[who_region]]=$A2)*raw[[births]:[births]]*raw[epos]*(LEN(raw[epos])&gt;1)*(LEN(raw[[bd_cov]:[bd_cov]])&gt;interactive!$C$6))/SUMPRODUCT((raw[[who_region]:[who_region]]=$A2)*raw[[births]:[births]]*(LEN(raw[epos])&gt;1)*(LEN(raw[[bd_cov]:[bd_cov]])&gt;interactive!$C$6))</calculatedColumnFormula>
    </tableColumn>
    <tableColumn id="16" xr3:uid="{D96C03AE-CC58-4523-AC42-67890D18ADA5}" name="eneg" dataDxfId="357" dataCellStyle="Percent">
      <calculatedColumnFormula array="1">SUMPRODUCT((raw[[who_region]:[who_region]]=$A2)*raw[[births]:[births]]*raw[eneg]*(LEN(raw[eneg])&gt;1)*(LEN(raw[[bd_cov]:[bd_cov]])&gt;interactive!$C$6))/SUMPRODUCT((raw[[who_region]:[who_region]]=$A2)*raw[[births]:[births]]*(LEN(raw[eneg])&gt;1)*(LEN(raw[[bd_cov]:[bd_cov]])&gt;interactive!$C$6))</calculatedColumnFormula>
    </tableColumn>
    <tableColumn id="17" xr3:uid="{62F7A962-0ABD-48A6-B57F-9EC2E83D13C9}" name="c_diag" dataDxfId="356">
      <calculatedColumnFormula array="1">SUMPRODUCT((raw[[who_region]:[who_region]]=$A2)*raw[[births]:[births]]*raw[c_diag]*(LEN(raw[c_diag])&gt;1)*(LEN(raw[[bd_cov]:[bd_cov]])&gt;interactive!$C$6))/SUMPRODUCT((raw[[who_region]:[who_region]]=$A2)*raw[[births]:[births]]*(LEN(raw[c_diag])&gt;1)*(LEN(raw[[bd_cov]:[bd_cov]])&gt;interactive!$C$6))</calculatedColumnFormula>
    </tableColumn>
    <tableColumn id="18" xr3:uid="{1C876EFB-B9B6-4E65-BA30-D87D83577102}" name="c_C" dataDxfId="355">
      <calculatedColumnFormula array="1">SUMPRODUCT((raw[[who_region]:[who_region]]=$A2)*raw[[births]:[births]]*raw[c_C]*(LEN(raw[c_C])&gt;1)*(LEN(raw[[bd_cov]:[bd_cov]])&gt;interactive!$C$6))/SUMPRODUCT((raw[[who_region]:[who_region]]=$A2)*raw[[births]:[births]]*(LEN(raw[c_C])&gt;1)*(LEN(raw[[bd_cov]:[bd_cov]])&gt;interactive!$C$6))</calculatedColumnFormula>
    </tableColumn>
    <tableColumn id="19" xr3:uid="{9E2FC599-DD09-4732-8932-D3CE6996827C}" name="c_CC" dataDxfId="354">
      <calculatedColumnFormula array="1">SUMPRODUCT((raw[[who_region]:[who_region]]=$A2)*raw[[births]:[births]]*raw[c_CC]*(LEN(raw[c_CC])&gt;1)*(LEN(raw[[bd_cov]:[bd_cov]])&gt;interactive!$C$6))/SUMPRODUCT((raw[[who_region]:[who_region]]=$A2)*raw[[births]:[births]]*(LEN(raw[c_CC])&gt;1)*(LEN(raw[[bd_cov]:[bd_cov]])&gt;interactive!$C$6))</calculatedColumnFormula>
    </tableColumn>
    <tableColumn id="20" xr3:uid="{02B56FAD-3DD5-4CF1-8D58-3B10543097DF}" name="c_DC" dataDxfId="353">
      <calculatedColumnFormula array="1">SUMPRODUCT((raw[[who_region]:[who_region]]=$A2)*raw[[births]:[births]]*raw[c_DC]*(LEN(raw[c_DC])&gt;1)*(LEN(raw[[bd_cov]:[bd_cov]])&gt;interactive!$C$6))/SUMPRODUCT((raw[[who_region]:[who_region]]=$A2)*raw[[births]:[births]]*(LEN(raw[c_DC])&gt;1)*(LEN(raw[[bd_cov]:[bd_cov]])&gt;interactive!$C$6))</calculatedColumnFormula>
    </tableColumn>
    <tableColumn id="21" xr3:uid="{033BC5B0-89F9-4359-966A-C4EC80DD0614}" name="c_HCC" dataDxfId="352">
      <calculatedColumnFormula array="1">SUMPRODUCT((raw[[who_region]:[who_region]]=$A2)*raw[[births]:[births]]*raw[c_HCC]*(LEN(raw[c_HCC])&gt;1)*(LEN(raw[[bd_cov]:[bd_cov]])&gt;interactive!$C$6))/SUMPRODUCT((raw[[who_region]:[who_region]]=$A2)*raw[[births]:[births]]*(LEN(raw[c_HCC])&gt;1)*(LEN(raw[[bd_cov]:[bd_cov]])&gt;interactive!$C$6))</calculatedColumnFormula>
    </tableColumn>
    <tableColumn id="22" xr3:uid="{32338DFA-811C-4ED1-A29A-55795287C807}" name="bl1_f" dataDxfId="351">
      <calculatedColumnFormula array="1">SUMPRODUCT((raw[[who_region]:[who_region]]=$A2)*raw[[births]:[births]]*raw[bl1_f]*(LEN(raw[bl1_f])&gt;1)*(LEN(raw[[bd_cov]:[bd_cov]])&gt;interactive!$C$6))/SUMPRODUCT((raw[[who_region]:[who_region]]=$A2)*raw[[births]:[births]]*(LEN(raw[bl1_f])&gt;1)*(LEN(raw[[bd_cov]:[bd_cov]])&gt;interactive!$C$6))</calculatedColumnFormula>
    </tableColumn>
    <tableColumn id="23" xr3:uid="{A38AD39D-2C7E-478F-96C3-DDCFE2E2ECB7}" name="bl1_c" dataDxfId="350">
      <calculatedColumnFormula array="1">SUMPRODUCT((raw[[who_region]:[who_region]]=$A2)*raw[[births]:[births]]*raw[bl1_c]*(LEN(raw[bl1_c])&gt;1)*(LEN(raw[[bd_cov]:[bd_cov]])&gt;interactive!$C$6))/SUMPRODUCT((raw[[who_region]:[who_region]]=$A2)*raw[[births]:[births]]*(LEN(raw[bl1_c])&gt;1)*(LEN(raw[[bd_cov]:[bd_cov]])&gt;interactive!$C$6))</calculatedColumnFormula>
    </tableColumn>
    <tableColumn id="24" xr3:uid="{BA8B3607-EF6B-4CA3-AA00-75E7FCB28980}" name="map_f" dataDxfId="349">
      <calculatedColumnFormula array="1">SUMPRODUCT((raw[[who_region]:[who_region]]=$A2)*raw[[births]:[births]]*raw[map_f]*(LEN(raw[map_f])&gt;1)*(LEN(raw[[bd_cov]:[bd_cov]])&gt;interactive!$C$6))/SUMPRODUCT((raw[[who_region]:[who_region]]=$A2)*raw[[births]:[births]]*(LEN(raw[map_f])&gt;1)*(LEN(raw[[bd_cov]:[bd_cov]])&gt;interactive!$C$6))</calculatedColumnFormula>
    </tableColumn>
    <tableColumn id="25" xr3:uid="{DB3CE219-F14A-40C0-B260-C6C73B6121A3}" name="map_cq" dataDxfId="348">
      <calculatedColumnFormula array="1">SUMPRODUCT((raw[[who_region]:[who_region]]=$A2)*raw[[births]:[births]]*raw[map_cq]*(LEN(raw[map_cq])&gt;1)*(LEN(raw[[bd_cov]:[bd_cov]])&gt;interactive!$C$6))/SUMPRODUCT((raw[[who_region]:[who_region]]=$A2)*raw[[births]:[births]]*(LEN(raw[map_cq])&gt;1)*(LEN(raw[[bd_cov]:[bd_cov]])&gt;interactive!$C$6))</calculatedColumnFormula>
    </tableColumn>
    <tableColumn id="26" xr3:uid="{4FCEE7AE-5699-4C2B-ADEC-ED8C394BD240}" name="map_cl" dataDxfId="347">
      <calculatedColumnFormula array="1">SUMPRODUCT((raw[[who_region]:[who_region]]=$A2)*raw[[births]:[births]]*raw[map_cl]*(LEN(raw[map_cl])&gt;1)*(LEN(raw[[bd_cov]:[bd_cov]])&gt;interactive!$C$6))/SUMPRODUCT((raw[[who_region]:[who_region]]=$A2)*raw[[births]:[births]]*(LEN(raw[map_cl])&gt;1)*(LEN(raw[[bd_cov]:[bd_cov]])&gt;interactive!$C$6))</calculatedColumnFormula>
    </tableColumn>
    <tableColumn id="27" xr3:uid="{A5E2B249-11B4-4B35-BBDE-4E73D35DB9BD}" name="ctc_f" dataDxfId="346">
      <calculatedColumnFormula array="1">SUMPRODUCT((raw[[who_region]:[who_region]]=$A2)*raw[[births]:[births]]*raw[ctc_f]*(LEN(raw[ctc_f])&gt;1)*(LEN(raw[[bd_cov]:[bd_cov]])&gt;interactive!$C$6))/SUMPRODUCT((raw[[who_region]:[who_region]]=$A2)*raw[[births]:[births]]*(LEN(raw[ctc_f])&gt;1)*(LEN(raw[[bd_cov]:[bd_cov]])&gt;interactive!$C$6))</calculatedColumnFormula>
    </tableColumn>
    <tableColumn id="28" xr3:uid="{87666929-33FE-4271-BFD5-6677EB963859}" name="ctc_c" dataDxfId="345">
      <calculatedColumnFormula array="1">SUMPRODUCT((raw[[who_region]:[who_region]]=$A2)*raw[[births]:[births]]*raw[ctc_c]*(LEN(raw[ctc_c])&gt;1)*(LEN(raw[[bd_cov]:[bd_cov]])&gt;interactive!$C$6))/SUMPRODUCT((raw[[who_region]:[who_region]]=$A2)*raw[[births]:[births]]*(LEN(raw[ctc_c])&gt;1)*(LEN(raw[[bd_cov]:[bd_cov]])&gt;interactive!$C$6))</calculatedColumnFormula>
    </tableColumn>
    <tableColumn id="29" xr3:uid="{FFC84B34-0DA4-4FA8-B5E8-4D7725DC7DCB}" name="m_01" dataDxfId="344">
      <calculatedColumnFormula array="1">SUMPRODUCT((raw[[who_region]:[who_region]]=$A2)*raw[[births]:[births]]*raw[m_01]*(LEN(raw[m_01])&gt;1)*(LEN(raw[[bd_cov]:[bd_cov]])&gt;interactive!$C$6))/SUMPRODUCT((raw[[who_region]:[who_region]]=$A2)*raw[[births]:[births]]*(LEN(raw[m_01])&gt;1)*(LEN(raw[[bd_cov]:[bd_cov]])&gt;interactive!$C$6))</calculatedColumnFormula>
    </tableColumn>
    <tableColumn id="30" xr3:uid="{A38DF719-40E4-4361-B229-772DD1B51678}" name="m_14" dataDxfId="343">
      <calculatedColumnFormula array="1">SUMPRODUCT((raw[[who_region]:[who_region]]=$A2)*raw[[births]:[births]]*raw[m_14]*(LEN(raw[m_14])&gt;1)*(LEN(raw[[bd_cov]:[bd_cov]])&gt;interactive!$C$6))/SUMPRODUCT((raw[[who_region]:[who_region]]=$A2)*raw[[births]:[births]]*(LEN(raw[m_14])&gt;1)*(LEN(raw[[bd_cov]:[bd_cov]])&gt;interactive!$C$6))</calculatedColumnFormula>
    </tableColumn>
    <tableColumn id="31" xr3:uid="{89CCB85A-A631-49F3-B767-7DC9851E7D89}" name="m_59" dataDxfId="342">
      <calculatedColumnFormula array="1">SUMPRODUCT((raw[[who_region]:[who_region]]=$A2)*raw[[births]:[births]]*raw[m_59]*(LEN(raw[m_59])&gt;1)*(LEN(raw[[bd_cov]:[bd_cov]])&gt;interactive!$C$6))/SUMPRODUCT((raw[[who_region]:[who_region]]=$A2)*raw[[births]:[births]]*(LEN(raw[m_59])&gt;1)*(LEN(raw[[bd_cov]:[bd_cov]])&gt;interactive!$C$6))</calculatedColumnFormula>
    </tableColumn>
    <tableColumn id="32" xr3:uid="{236178B4-6A9C-4B41-9723-7A1BEB438887}" name="m_1014" dataDxfId="341">
      <calculatedColumnFormula array="1">SUMPRODUCT((raw[[who_region]:[who_region]]=$A2)*raw[[births]:[births]]*raw[m_1014]*(LEN(raw[m_1014])&gt;1)*(LEN(raw[[bd_cov]:[bd_cov]])&gt;interactive!$C$6))/SUMPRODUCT((raw[[who_region]:[who_region]]=$A2)*raw[[births]:[births]]*(LEN(raw[m_1014])&gt;1)*(LEN(raw[[bd_cov]:[bd_cov]])&gt;interactive!$C$6))</calculatedColumnFormula>
    </tableColumn>
    <tableColumn id="33" xr3:uid="{81F095F8-A4EB-4199-B330-5F6C670CCFDF}" name="m_1519" dataDxfId="340">
      <calculatedColumnFormula array="1">SUMPRODUCT((raw[[who_region]:[who_region]]=$A2)*raw[[births]:[births]]*raw[m_1519]*(LEN(raw[m_1519])&gt;1)*(LEN(raw[[bd_cov]:[bd_cov]])&gt;interactive!$C$6))/SUMPRODUCT((raw[[who_region]:[who_region]]=$A2)*raw[[births]:[births]]*(LEN(raw[m_1519])&gt;1)*(LEN(raw[[bd_cov]:[bd_cov]])&gt;interactive!$C$6))</calculatedColumnFormula>
    </tableColumn>
    <tableColumn id="34" xr3:uid="{B956D2D5-9B56-409A-AFD3-66F6D0726490}" name="m_2024" dataDxfId="339">
      <calculatedColumnFormula array="1">SUMPRODUCT((raw[[who_region]:[who_region]]=$A2)*raw[[births]:[births]]*raw[m_2024]*(LEN(raw[m_2024])&gt;1)*(LEN(raw[[bd_cov]:[bd_cov]])&gt;interactive!$C$6))/SUMPRODUCT((raw[[who_region]:[who_region]]=$A2)*raw[[births]:[births]]*(LEN(raw[m_2024])&gt;1)*(LEN(raw[[bd_cov]:[bd_cov]])&gt;interactive!$C$6))</calculatedColumnFormula>
    </tableColumn>
    <tableColumn id="35" xr3:uid="{1DB8E66F-592F-40BE-98A7-C59836F78B86}" name="m_2529" dataDxfId="338">
      <calculatedColumnFormula array="1">SUMPRODUCT((raw[[who_region]:[who_region]]=$A2)*raw[[births]:[births]]*raw[m_2529]*(LEN(raw[m_2529])&gt;1)*(LEN(raw[[bd_cov]:[bd_cov]])&gt;interactive!$C$6))/SUMPRODUCT((raw[[who_region]:[who_region]]=$A2)*raw[[births]:[births]]*(LEN(raw[m_2529])&gt;1)*(LEN(raw[[bd_cov]:[bd_cov]])&gt;interactive!$C$6))</calculatedColumnFormula>
    </tableColumn>
    <tableColumn id="36" xr3:uid="{25CC45B9-5865-4F77-A4C2-B9952D1F617D}" name="m_3034" dataDxfId="337">
      <calculatedColumnFormula array="1">SUMPRODUCT((raw[[who_region]:[who_region]]=$A2)*raw[[births]:[births]]*raw[m_3034]*(LEN(raw[m_3034])&gt;1)*(LEN(raw[[bd_cov]:[bd_cov]])&gt;interactive!$C$6))/SUMPRODUCT((raw[[who_region]:[who_region]]=$A2)*raw[[births]:[births]]*(LEN(raw[m_3034])&gt;1)*(LEN(raw[[bd_cov]:[bd_cov]])&gt;interactive!$C$6))</calculatedColumnFormula>
    </tableColumn>
    <tableColumn id="37" xr3:uid="{6A3F40EB-DCDD-4D0A-8FA2-D8EECB3238B2}" name="m_3539" dataDxfId="336">
      <calculatedColumnFormula array="1">SUMPRODUCT((raw[[who_region]:[who_region]]=$A2)*raw[[births]:[births]]*raw[m_3539]*(LEN(raw[m_3539])&gt;1)*(LEN(raw[[bd_cov]:[bd_cov]])&gt;interactive!$C$6))/SUMPRODUCT((raw[[who_region]:[who_region]]=$A2)*raw[[births]:[births]]*(LEN(raw[m_3539])&gt;1)*(LEN(raw[[bd_cov]:[bd_cov]])&gt;interactive!$C$6))</calculatedColumnFormula>
    </tableColumn>
    <tableColumn id="38" xr3:uid="{887D3B11-7780-4021-B5CB-8CE203371B31}" name="m_4044" dataDxfId="335">
      <calculatedColumnFormula array="1">SUMPRODUCT((raw[[who_region]:[who_region]]=$A2)*raw[[births]:[births]]*raw[m_4044]*(LEN(raw[m_4044])&gt;1)*(LEN(raw[[bd_cov]:[bd_cov]])&gt;interactive!$C$6))/SUMPRODUCT((raw[[who_region]:[who_region]]=$A2)*raw[[births]:[births]]*(LEN(raw[m_4044])&gt;1)*(LEN(raw[[bd_cov]:[bd_cov]])&gt;interactive!$C$6))</calculatedColumnFormula>
    </tableColumn>
    <tableColumn id="39" xr3:uid="{471116DF-CC4F-472D-8D66-ABABDAB0D5B2}" name="m_4549" dataDxfId="334">
      <calculatedColumnFormula array="1">SUMPRODUCT((raw[[who_region]:[who_region]]=$A2)*raw[[births]:[births]]*raw[m_4549]*(LEN(raw[m_4549])&gt;1)*(LEN(raw[[bd_cov]:[bd_cov]])&gt;interactive!$C$6))/SUMPRODUCT((raw[[who_region]:[who_region]]=$A2)*raw[[births]:[births]]*(LEN(raw[m_4549])&gt;1)*(LEN(raw[[bd_cov]:[bd_cov]])&gt;interactive!$C$6))</calculatedColumnFormula>
    </tableColumn>
    <tableColumn id="40" xr3:uid="{65CEA5E1-DB2F-42E6-AB19-F517184D3C49}" name="m_5054" dataDxfId="333">
      <calculatedColumnFormula array="1">SUMPRODUCT((raw[[who_region]:[who_region]]=$A2)*raw[[births]:[births]]*raw[m_5054]*(LEN(raw[m_5054])&gt;1)*(LEN(raw[[bd_cov]:[bd_cov]])&gt;interactive!$C$6))/SUMPRODUCT((raw[[who_region]:[who_region]]=$A2)*raw[[births]:[births]]*(LEN(raw[m_5054])&gt;1)*(LEN(raw[[bd_cov]:[bd_cov]])&gt;interactive!$C$6))</calculatedColumnFormula>
    </tableColumn>
    <tableColumn id="41" xr3:uid="{20854867-7FD5-4AE8-8C3E-4720A0DBFED5}" name="m_5559" dataDxfId="332">
      <calculatedColumnFormula array="1">SUMPRODUCT((raw[[who_region]:[who_region]]=$A2)*raw[[births]:[births]]*raw[m_5559]*(LEN(raw[m_5559])&gt;1)*(LEN(raw[[bd_cov]:[bd_cov]])&gt;interactive!$C$6))/SUMPRODUCT((raw[[who_region]:[who_region]]=$A2)*raw[[births]:[births]]*(LEN(raw[m_5559])&gt;1)*(LEN(raw[[bd_cov]:[bd_cov]])&gt;interactive!$C$6))</calculatedColumnFormula>
    </tableColumn>
    <tableColumn id="42" xr3:uid="{AE47427A-4D0D-42D6-BA81-D1E7DABEC908}" name="m_6064" dataDxfId="331">
      <calculatedColumnFormula array="1">SUMPRODUCT((raw[[who_region]:[who_region]]=$A2)*raw[[births]:[births]]*raw[m_6064]*(LEN(raw[m_6064])&gt;1)*(LEN(raw[[bd_cov]:[bd_cov]])&gt;interactive!$C$6))/SUMPRODUCT((raw[[who_region]:[who_region]]=$A2)*raw[[births]:[births]]*(LEN(raw[m_6064])&gt;1)*(LEN(raw[[bd_cov]:[bd_cov]])&gt;interactive!$C$6))</calculatedColumnFormula>
    </tableColumn>
    <tableColumn id="43" xr3:uid="{9970B7BB-EFC2-423A-9B32-8B9762E9ACD3}" name="m_6569" dataDxfId="330">
      <calculatedColumnFormula array="1">SUMPRODUCT((raw[[who_region]:[who_region]]=$A2)*raw[[births]:[births]]*raw[m_6569]*(LEN(raw[m_6569])&gt;1)*(LEN(raw[[bd_cov]:[bd_cov]])&gt;interactive!$C$6))/SUMPRODUCT((raw[[who_region]:[who_region]]=$A2)*raw[[births]:[births]]*(LEN(raw[m_6569])&gt;1)*(LEN(raw[[bd_cov]:[bd_cov]])&gt;interactive!$C$6))</calculatedColumnFormula>
    </tableColumn>
    <tableColumn id="44" xr3:uid="{13A81930-59BB-48CC-B966-89388F2FCC04}" name="m_7074" dataDxfId="329">
      <calculatedColumnFormula array="1">SUMPRODUCT((raw[[who_region]:[who_region]]=$A2)*raw[[births]:[births]]*raw[m_7074]*(LEN(raw[m_7074])&gt;1)*(LEN(raw[[bd_cov]:[bd_cov]])&gt;interactive!$C$6))/SUMPRODUCT((raw[[who_region]:[who_region]]=$A2)*raw[[births]:[births]]*(LEN(raw[m_7074])&gt;1)*(LEN(raw[[bd_cov]:[bd_cov]])&gt;interactive!$C$6))</calculatedColumnFormula>
    </tableColumn>
    <tableColumn id="45" xr3:uid="{0B47B772-B081-4240-A051-0A1ECFBA237C}" name="m_7079" dataDxfId="328">
      <calculatedColumnFormula array="1">SUMPRODUCT((raw[[who_region]:[who_region]]=$A2)*raw[[births]:[births]]*raw[m_7079]*(LEN(raw[m_7079])&gt;1)*(LEN(raw[[bd_cov]:[bd_cov]])&gt;interactive!$C$6))/SUMPRODUCT((raw[[who_region]:[who_region]]=$A2)*raw[[births]:[births]]*(LEN(raw[m_7079])&gt;1)*(LEN(raw[[bd_cov]:[bd_cov]])&gt;interactive!$C$6))</calculatedColumnFormula>
    </tableColumn>
    <tableColumn id="46" xr3:uid="{C3CC423D-9050-446E-BF07-D780D973FDE7}" name="m_8084" dataDxfId="327">
      <calculatedColumnFormula array="1">SUMPRODUCT((raw[[who_region]:[who_region]]=$A2)*raw[[births]:[births]]*raw[m_8084]*(LEN(raw[m_8084])&gt;1)*(LEN(raw[[bd_cov]:[bd_cov]])&gt;interactive!$C$6))/SUMPRODUCT((raw[[who_region]:[who_region]]=$A2)*raw[[births]:[births]]*(LEN(raw[m_8084])&gt;1)*(LEN(raw[[bd_cov]:[bd_cov]])&gt;interactive!$C$6))</calculatedColumnFormula>
    </tableColumn>
    <tableColumn id="47" xr3:uid="{F8E192F8-EB3E-4297-92D8-4D11C3BF4ED5}" name="m_8589" dataDxfId="326">
      <calculatedColumnFormula array="1">SUMPRODUCT((raw[[who_region]:[who_region]]=$A2)*raw[[births]:[births]]*raw[m_8589]*(LEN(raw[m_8589])&gt;1)*(LEN(raw[[bd_cov]:[bd_cov]])&gt;interactive!$C$6))/SUMPRODUCT((raw[[who_region]:[who_region]]=$A2)*raw[[births]:[births]]*(LEN(raw[m_8589])&gt;1)*(LEN(raw[[bd_cov]:[bd_cov]])&gt;interactive!$C$6))</calculatedColumnFormula>
    </tableColumn>
    <tableColumn id="48" xr3:uid="{AFD812F6-D88F-4C2C-B0E0-DCF94B3C93D4}" name="m_9094" dataDxfId="325">
      <calculatedColumnFormula array="1">SUMPRODUCT((raw[[who_region]:[who_region]]=$A2)*raw[[births]:[births]]*raw[m_9094]*(LEN(raw[m_9094])&gt;1)*(LEN(raw[[bd_cov]:[bd_cov]])&gt;interactive!$C$6))/SUMPRODUCT((raw[[who_region]:[who_region]]=$A2)*raw[[births]:[births]]*(LEN(raw[m_9094])&gt;1)*(LEN(raw[[bd_cov]:[bd_cov]])&gt;interactive!$C$6))</calculatedColumnFormula>
    </tableColumn>
    <tableColumn id="49" xr3:uid="{767F7E64-51C3-437F-B069-C373A714DB2B}" name="m_95+" dataDxfId="324">
      <calculatedColumnFormula array="1">SUMPRODUCT((raw[[who_region]:[who_region]]=$A2)*raw[[births]:[births]]*raw[m_95+]*(LEN(raw[m_95+])&gt;1)*(LEN(raw[[bd_cov]:[bd_cov]])&gt;interactive!$C$6))/SUMPRODUCT((raw[[who_region]:[who_region]]=$A2)*raw[[births]:[births]]*(LEN(raw[m_95+])&gt;1)*(LEN(raw[[bd_cov]:[bd_cov]])&gt;interactive!$C$6))</calculatedColumnFormula>
    </tableColumn>
    <tableColumn id="50" xr3:uid="{AB1C4891-DA40-4D74-ABB8-D4E52431BABE}" name="av_life" dataDxfId="323">
      <calculatedColumnFormula array="1">SUMPRODUCT((raw[[who_region]:[who_region]]=$A2)*raw[[births]:[births]]*raw[av_life]*(LEN(raw[av_life])&gt;1)*(LEN(raw[[bd_cov]:[bd_cov]])&gt;interactive!$C$6))/SUMPRODUCT((raw[[who_region]:[who_region]]=$A2)*raw[[births]:[births]]*(LEN(raw[av_life])&gt;1)*(LEN(raw[[bd_cov]:[bd_cov]])&gt;interactive!$C$6))</calculatedColumnFormula>
    </tableColumn>
    <tableColumn id="51" xr3:uid="{F01196F1-978D-4C4D-A3B5-3A4D9FC1288B}" name="cov_impu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A0B5D-E772-4416-9A62-FB0808857A88}" name="regions_lb" displayName="regions_lb" ref="A10:AY17" totalsRowShown="0" headerRowDxfId="322" tableBorderDxfId="321">
  <autoFilter ref="A10:AY17" xr:uid="{415A0B5D-E772-4416-9A62-FB0808857A88}"/>
  <tableColumns count="51">
    <tableColumn id="1" xr3:uid="{339DD4F0-02C6-43B6-98C4-0652498F1A68}" name="setting" dataDxfId="320"/>
    <tableColumn id="2" xr3:uid="{E4480B02-79F5-41C2-864B-C40DC9538CA3}" name="iso3"/>
    <tableColumn id="3" xr3:uid="{80CE13CB-3E8A-480C-B592-A494A6DF43A1}" name="num"/>
    <tableColumn id="4" xr3:uid="{1ECE30F2-6357-4270-BB80-3D662F17F6BA}" name="who_region"/>
    <tableColumn id="5" xr3:uid="{CC1818AB-6911-4113-889E-7AFC8A09E94E}" name="gbd_region"/>
    <tableColumn id="6" xr3:uid="{5EB927ED-5E19-4401-9F5B-0FA75285BAF7}" name="gbd_super"/>
    <tableColumn id="7" xr3:uid="{184E4786-4EDA-44B7-B7A7-190F15330F83}" name="wb_class"/>
    <tableColumn id="8" xr3:uid="{6A1A854E-B1B7-4B9B-AD64-CF1753D194CD}" name="pop"/>
    <tableColumn id="9" xr3:uid="{CC3D02B7-7F1C-47A6-AEDE-7C937B0671E0}" name="births"/>
    <tableColumn id="10" xr3:uid="{E9DA9419-E639-4E92-ACD5-14A3827494A9}" name="fac_birth" dataDxfId="319" dataCellStyle="Percent">
      <calculatedColumnFormula array="1">SUMPRODUCT((raw_lb[[who_region]:[who_region]]=$A11)*raw[[births]:[births]]*raw_lb[fac_birth]*(LEN(raw_lb[fac_birth])&gt;1)*(LEN(raw_lb[[bd_cov]:[bd_cov]])&gt;interactive!$C$6))/SUMPRODUCT((raw_lb[[who_region]:[who_region]]=$A11)*raw[[births]:[births]]*(LEN(raw_lb[fac_birth])&gt;1)*(LEN(raw_lb[[bd_cov]:[bd_cov]])&gt;interactive!$C$6))</calculatedColumnFormula>
    </tableColumn>
    <tableColumn id="11" xr3:uid="{72C40EB6-3044-4618-8FC9-5D431650B2D5}" name="bd_cov" dataDxfId="318" dataCellStyle="Percent">
      <calculatedColumnFormula array="1">SUMPRODUCT((raw_lb[[who_region]:[who_region]]=$A11)*raw[[births]:[births]]*raw_lb[bd_cov]*(LEN(raw_lb[bd_cov])&gt;1)*(LEN(raw_lb[[bd_cov]:[bd_cov]])&gt;interactive!$C$6))/SUMPRODUCT((raw_lb[[who_region]:[who_region]]=$A11)*raw[[births]:[births]]*(LEN(raw_lb[bd_cov])&gt;1)*(LEN(raw_lb[[bd_cov]:[bd_cov]])&gt;interactive!$C$6))</calculatedColumnFormula>
    </tableColumn>
    <tableColumn id="12" xr3:uid="{9FABA6BF-84B0-4AB2-AB8B-CE2E9A699D32}" name="hbv3_cov" dataDxfId="317" dataCellStyle="Percent">
      <calculatedColumnFormula array="1">SUMPRODUCT((raw_lb[[who_region]:[who_region]]=$A11)*raw[[births]:[births]]*raw_lb[hbv3_cov]*(LEN(raw_lb[hbv3_cov])&gt;1)*(LEN(raw_lb[[bd_cov]:[bd_cov]])&gt;interactive!$C$6))/SUMPRODUCT((raw_lb[[who_region]:[who_region]]=$A11)*raw[[births]:[births]]*(LEN(raw_lb[hbv3_cov])&gt;1)*(LEN(raw_lb[[bd_cov]:[bd_cov]])&gt;interactive!$C$6))</calculatedColumnFormula>
    </tableColumn>
    <tableColumn id="13" xr3:uid="{358142AA-FE97-45A9-A2ED-99D2898B0448}" name="hbv_prev" dataDxfId="316" dataCellStyle="Percent">
      <calculatedColumnFormula array="1">SUMPRODUCT((raw_lb[[who_region]:[who_region]]=$A11)*raw[[births]:[births]]*raw_lb[hbv_prev]*(LEN(raw_lb[hbv_prev])&gt;1)*(LEN(raw_lb[[bd_cov]:[bd_cov]])&gt;interactive!$C$6))/SUMPRODUCT((raw_lb[[who_region]:[who_region]]=$A11)*raw[[births]:[births]]*(LEN(raw_lb[hbv_prev])&gt;1)*(LEN(raw_lb[[bd_cov]:[bd_cov]])&gt;interactive!$C$6))</calculatedColumnFormula>
    </tableColumn>
    <tableColumn id="14" xr3:uid="{A716ED31-81DF-4675-875D-4A5F981C413C}" name="hbe_prev" dataDxfId="315">
      <calculatedColumnFormula array="1">SUMPRODUCT((raw_lb[[who_region]:[who_region]]=$A11)*raw[[births]:[births]]*raw_lb[hbe_prev]*(LEN(raw_lb[hbe_prev])&gt;1)*(LEN(raw_lb[[bd_cov]:[bd_cov]])&gt;interactive!$C$6))/SUMPRODUCT((raw_lb[[who_region]:[who_region]]=$A11)*raw[[births]:[births]]*(LEN(raw_lb[hbe_prev])&gt;1)*(LEN(raw_lb[[bd_cov]:[bd_cov]])&gt;interactive!$C$6))</calculatedColumnFormula>
    </tableColumn>
    <tableColumn id="15" xr3:uid="{01C9CAEC-5695-4222-BA32-EAC720778E8E}" name="epos" dataDxfId="314" dataCellStyle="Percent">
      <calculatedColumnFormula array="1">SUMPRODUCT((raw_lb[[who_region]:[who_region]]=$A11)*raw[[births]:[births]]*raw_lb[epos]*(LEN(raw_lb[epos])&gt;1)*(LEN(raw_lb[[bd_cov]:[bd_cov]])&gt;interactive!$C$6))/SUMPRODUCT((raw_lb[[who_region]:[who_region]]=$A11)*raw[[births]:[births]]*(LEN(raw_lb[epos])&gt;1)*(LEN(raw_lb[[bd_cov]:[bd_cov]])&gt;interactive!$C$6))</calculatedColumnFormula>
    </tableColumn>
    <tableColumn id="16" xr3:uid="{B9804E55-AF8F-4FAB-A325-6C13BDC8AC42}" name="eneg" dataDxfId="313" dataCellStyle="Percent">
      <calculatedColumnFormula array="1">SUMPRODUCT((raw_lb[[who_region]:[who_region]]=$A11)*raw[[births]:[births]]*raw_lb[eneg]*(LEN(raw_lb[eneg])&gt;1)*(LEN(raw_lb[[bd_cov]:[bd_cov]])&gt;interactive!$C$6))/SUMPRODUCT((raw_lb[[who_region]:[who_region]]=$A11)*raw[[births]:[births]]*(LEN(raw_lb[eneg])&gt;1)*(LEN(raw_lb[[bd_cov]:[bd_cov]])&gt;interactive!$C$6))</calculatedColumnFormula>
    </tableColumn>
    <tableColumn id="17" xr3:uid="{48A3E9EA-F464-4BD7-914B-781FE674423A}" name="c_diag" dataDxfId="312">
      <calculatedColumnFormula array="1">SUMPRODUCT((raw_lb[[who_region]:[who_region]]=$A11)*raw[[births]:[births]]*raw_lb[c_diag]*(LEN(raw_lb[c_diag])&gt;1)*(LEN(raw_lb[[bd_cov]:[bd_cov]])&gt;interactive!$C$6))/SUMPRODUCT((raw_lb[[who_region]:[who_region]]=$A11)*raw[[births]:[births]]*(LEN(raw_lb[c_diag])&gt;1)*(LEN(raw_lb[[bd_cov]:[bd_cov]])&gt;interactive!$C$6))</calculatedColumnFormula>
    </tableColumn>
    <tableColumn id="18" xr3:uid="{BA05944D-9836-454C-9635-8BDDE83F05DE}" name="c_C" dataDxfId="311">
      <calculatedColumnFormula array="1">SUMPRODUCT((raw_lb[[who_region]:[who_region]]=$A11)*raw[[births]:[births]]*raw_lb[c_C]*(LEN(raw_lb[c_C])&gt;1)*(LEN(raw_lb[[bd_cov]:[bd_cov]])&gt;interactive!$C$6))/SUMPRODUCT((raw_lb[[who_region]:[who_region]]=$A11)*raw[[births]:[births]]*(LEN(raw_lb[c_C])&gt;1)*(LEN(raw_lb[[bd_cov]:[bd_cov]])&gt;interactive!$C$6))</calculatedColumnFormula>
    </tableColumn>
    <tableColumn id="19" xr3:uid="{BAB9A25A-43DD-4472-871D-D1696B910476}" name="c_CC" dataDxfId="310">
      <calculatedColumnFormula array="1">SUMPRODUCT((raw_lb[[who_region]:[who_region]]=$A11)*raw[[births]:[births]]*raw_lb[c_CC]*(LEN(raw_lb[c_CC])&gt;1)*(LEN(raw_lb[[bd_cov]:[bd_cov]])&gt;interactive!$C$6))/SUMPRODUCT((raw_lb[[who_region]:[who_region]]=$A11)*raw[[births]:[births]]*(LEN(raw_lb[c_CC])&gt;1)*(LEN(raw_lb[[bd_cov]:[bd_cov]])&gt;interactive!$C$6))</calculatedColumnFormula>
    </tableColumn>
    <tableColumn id="20" xr3:uid="{925045E3-2538-4DFC-A640-EC863CF07000}" name="c_DC" dataDxfId="309">
      <calculatedColumnFormula array="1">SUMPRODUCT((raw_lb[[who_region]:[who_region]]=$A11)*raw[[births]:[births]]*raw_lb[c_DC]*(LEN(raw_lb[c_DC])&gt;1)*(LEN(raw_lb[[bd_cov]:[bd_cov]])&gt;interactive!$C$6))/SUMPRODUCT((raw_lb[[who_region]:[who_region]]=$A11)*raw[[births]:[births]]*(LEN(raw_lb[c_DC])&gt;1)*(LEN(raw_lb[[bd_cov]:[bd_cov]])&gt;interactive!$C$6))</calculatedColumnFormula>
    </tableColumn>
    <tableColumn id="21" xr3:uid="{DA37D110-8144-44BE-99E7-24C1E6677C34}" name="c_HCC" dataDxfId="308">
      <calculatedColumnFormula array="1">SUMPRODUCT((raw_lb[[who_region]:[who_region]]=$A11)*raw[[births]:[births]]*raw_lb[c_HCC]*(LEN(raw_lb[c_HCC])&gt;1)*(LEN(raw_lb[[bd_cov]:[bd_cov]])&gt;interactive!$C$6))/SUMPRODUCT((raw_lb[[who_region]:[who_region]]=$A11)*raw[[births]:[births]]*(LEN(raw_lb[c_HCC])&gt;1)*(LEN(raw_lb[[bd_cov]:[bd_cov]])&gt;interactive!$C$6))</calculatedColumnFormula>
    </tableColumn>
    <tableColumn id="22" xr3:uid="{148CB5E4-8F36-473D-97F6-003A7FA0258F}" name="bl1_f" dataDxfId="307">
      <calculatedColumnFormula array="1">SUMPRODUCT((raw_lb[[who_region]:[who_region]]=$A11)*raw[[births]:[births]]*raw_lb[bl1_f]*(LEN(raw_lb[bl1_f])&gt;1)*(LEN(raw_lb[[bd_cov]:[bd_cov]])&gt;interactive!$C$6))/SUMPRODUCT((raw_lb[[who_region]:[who_region]]=$A11)*raw[[births]:[births]]*(LEN(raw_lb[bl1_f])&gt;1)*(LEN(raw_lb[[bd_cov]:[bd_cov]])&gt;interactive!$C$6))</calculatedColumnFormula>
    </tableColumn>
    <tableColumn id="23" xr3:uid="{FD0BF0E7-03CD-4623-B7A6-043E38E41F2D}" name="bl1_c" dataDxfId="306">
      <calculatedColumnFormula array="1">SUMPRODUCT((raw_lb[[who_region]:[who_region]]=$A11)*raw[[births]:[births]]*raw_lb[bl1_c]*(LEN(raw_lb[bl1_c])&gt;1)*(LEN(raw_lb[[bd_cov]:[bd_cov]])&gt;interactive!$C$6))/SUMPRODUCT((raw_lb[[who_region]:[who_region]]=$A11)*raw[[births]:[births]]*(LEN(raw_lb[bl1_c])&gt;1)*(LEN(raw_lb[[bd_cov]:[bd_cov]])&gt;interactive!$C$6))</calculatedColumnFormula>
    </tableColumn>
    <tableColumn id="24" xr3:uid="{A91EE598-B9C3-4DDE-8E57-C0FFF89983B4}" name="map_f" dataDxfId="305">
      <calculatedColumnFormula array="1">SUMPRODUCT((raw_lb[[who_region]:[who_region]]=$A11)*raw[[births]:[births]]*raw_lb[map_f]*(LEN(raw_lb[map_f])&gt;1)*(LEN(raw_lb[[bd_cov]:[bd_cov]])&gt;interactive!$C$6))/SUMPRODUCT((raw_lb[[who_region]:[who_region]]=$A11)*raw[[births]:[births]]*(LEN(raw_lb[map_f])&gt;1)*(LEN(raw_lb[[bd_cov]:[bd_cov]])&gt;interactive!$C$6))</calculatedColumnFormula>
    </tableColumn>
    <tableColumn id="25" xr3:uid="{E3119A9C-30E3-4B8A-AF20-6375D7D2AD17}" name="map_cq" dataDxfId="304">
      <calculatedColumnFormula array="1">SUMPRODUCT((raw_lb[[who_region]:[who_region]]=$A11)*raw[[births]:[births]]*raw_lb[map_cq]*(LEN(raw_lb[map_cq])&gt;1)*(LEN(raw_lb[[bd_cov]:[bd_cov]])&gt;interactive!$C$6))/SUMPRODUCT((raw_lb[[who_region]:[who_region]]=$A11)*raw[[births]:[births]]*(LEN(raw_lb[map_cq])&gt;1)*(LEN(raw_lb[[bd_cov]:[bd_cov]])&gt;interactive!$C$6))</calculatedColumnFormula>
    </tableColumn>
    <tableColumn id="26" xr3:uid="{17E484E5-92E6-4FF0-80C9-1D835F708697}" name="map_cl" dataDxfId="303">
      <calculatedColumnFormula array="1">SUMPRODUCT((raw_lb[[who_region]:[who_region]]=$A11)*raw[[births]:[births]]*raw_lb[map_cl]*(LEN(raw_lb[map_cl])&gt;1)*(LEN(raw_lb[[bd_cov]:[bd_cov]])&gt;interactive!$C$6))/SUMPRODUCT((raw_lb[[who_region]:[who_region]]=$A11)*raw[[births]:[births]]*(LEN(raw_lb[map_cl])&gt;1)*(LEN(raw_lb[[bd_cov]:[bd_cov]])&gt;interactive!$C$6))</calculatedColumnFormula>
    </tableColumn>
    <tableColumn id="27" xr3:uid="{093127EB-BEA0-40C7-A8B6-377F38BA9A60}" name="ctc_f" dataDxfId="302">
      <calculatedColumnFormula array="1">SUMPRODUCT((raw_lb[[who_region]:[who_region]]=$A11)*raw[[births]:[births]]*raw_lb[ctc_f]*(LEN(raw_lb[ctc_f])&gt;1)*(LEN(raw_lb[[bd_cov]:[bd_cov]])&gt;interactive!$C$6))/SUMPRODUCT((raw_lb[[who_region]:[who_region]]=$A11)*raw[[births]:[births]]*(LEN(raw_lb[ctc_f])&gt;1)*(LEN(raw_lb[[bd_cov]:[bd_cov]])&gt;interactive!$C$6))</calculatedColumnFormula>
    </tableColumn>
    <tableColumn id="28" xr3:uid="{D90757D7-1474-477F-8DCB-6E33D41DCDFA}" name="ctc_c" dataDxfId="301">
      <calculatedColumnFormula array="1">SUMPRODUCT((raw_lb[[who_region]:[who_region]]=$A11)*raw[[births]:[births]]*raw_lb[ctc_c]*(LEN(raw_lb[ctc_c])&gt;1)*(LEN(raw_lb[[bd_cov]:[bd_cov]])&gt;interactive!$C$6))/SUMPRODUCT((raw_lb[[who_region]:[who_region]]=$A11)*raw[[births]:[births]]*(LEN(raw_lb[ctc_c])&gt;1)*(LEN(raw_lb[[bd_cov]:[bd_cov]])&gt;interactive!$C$6))</calculatedColumnFormula>
    </tableColumn>
    <tableColumn id="29" xr3:uid="{7C536864-02B1-4729-9AAF-ED5B0C138D55}" name="m_01" dataDxfId="300">
      <calculatedColumnFormula array="1">SUMPRODUCT((raw_lb[[who_region]:[who_region]]=$A11)*raw[[births]:[births]]*raw_lb[m_01]*(LEN(raw_lb[m_01])&gt;1)*(LEN(raw_lb[[bd_cov]:[bd_cov]])&gt;interactive!$C$6))/SUMPRODUCT((raw_lb[[who_region]:[who_region]]=$A11)*raw[[births]:[births]]*(LEN(raw_lb[m_01])&gt;1)*(LEN(raw_lb[[bd_cov]:[bd_cov]])&gt;interactive!$C$6))</calculatedColumnFormula>
    </tableColumn>
    <tableColumn id="30" xr3:uid="{BF273302-532E-4BB9-8F10-CAB5072C245D}" name="m_14" dataDxfId="299">
      <calculatedColumnFormula array="1">SUMPRODUCT((raw_lb[[who_region]:[who_region]]=$A11)*raw[[births]:[births]]*raw_lb[m_14]*(LEN(raw_lb[m_14])&gt;1)*(LEN(raw_lb[[bd_cov]:[bd_cov]])&gt;interactive!$C$6))/SUMPRODUCT((raw_lb[[who_region]:[who_region]]=$A11)*raw[[births]:[births]]*(LEN(raw_lb[m_14])&gt;1)*(LEN(raw_lb[[bd_cov]:[bd_cov]])&gt;interactive!$C$6))</calculatedColumnFormula>
    </tableColumn>
    <tableColumn id="31" xr3:uid="{09D795D7-3D3B-43D2-9027-9D1FCB818DDA}" name="m_59" dataDxfId="298">
      <calculatedColumnFormula array="1">SUMPRODUCT((raw_lb[[who_region]:[who_region]]=$A11)*raw[[births]:[births]]*raw_lb[m_59]*(LEN(raw_lb[m_59])&gt;1)*(LEN(raw_lb[[bd_cov]:[bd_cov]])&gt;interactive!$C$6))/SUMPRODUCT((raw_lb[[who_region]:[who_region]]=$A11)*raw[[births]:[births]]*(LEN(raw_lb[m_59])&gt;1)*(LEN(raw_lb[[bd_cov]:[bd_cov]])&gt;interactive!$C$6))</calculatedColumnFormula>
    </tableColumn>
    <tableColumn id="32" xr3:uid="{119BAFAD-FAAA-40D7-B0CC-091CF8A62942}" name="m_1014" dataDxfId="297">
      <calculatedColumnFormula array="1">SUMPRODUCT((raw_lb[[who_region]:[who_region]]=$A11)*raw[[births]:[births]]*raw_lb[m_1014]*(LEN(raw_lb[m_1014])&gt;1)*(LEN(raw_lb[[bd_cov]:[bd_cov]])&gt;interactive!$C$6))/SUMPRODUCT((raw_lb[[who_region]:[who_region]]=$A11)*raw[[births]:[births]]*(LEN(raw_lb[m_1014])&gt;1)*(LEN(raw_lb[[bd_cov]:[bd_cov]])&gt;interactive!$C$6))</calculatedColumnFormula>
    </tableColumn>
    <tableColumn id="33" xr3:uid="{001E3DAB-44A8-47F4-AE3C-5EA10D54532A}" name="m_1519" dataDxfId="296">
      <calculatedColumnFormula array="1">SUMPRODUCT((raw_lb[[who_region]:[who_region]]=$A11)*raw[[births]:[births]]*raw_lb[m_1519]*(LEN(raw_lb[m_1519])&gt;1)*(LEN(raw_lb[[bd_cov]:[bd_cov]])&gt;interactive!$C$6))/SUMPRODUCT((raw_lb[[who_region]:[who_region]]=$A11)*raw[[births]:[births]]*(LEN(raw_lb[m_1519])&gt;1)*(LEN(raw_lb[[bd_cov]:[bd_cov]])&gt;interactive!$C$6))</calculatedColumnFormula>
    </tableColumn>
    <tableColumn id="34" xr3:uid="{D6F17845-3438-4D15-ACFD-531786AE471A}" name="m_2024" dataDxfId="295">
      <calculatedColumnFormula array="1">SUMPRODUCT((raw_lb[[who_region]:[who_region]]=$A11)*raw[[births]:[births]]*raw_lb[m_2024]*(LEN(raw_lb[m_2024])&gt;1)*(LEN(raw_lb[[bd_cov]:[bd_cov]])&gt;interactive!$C$6))/SUMPRODUCT((raw_lb[[who_region]:[who_region]]=$A11)*raw[[births]:[births]]*(LEN(raw_lb[m_2024])&gt;1)*(LEN(raw_lb[[bd_cov]:[bd_cov]])&gt;interactive!$C$6))</calculatedColumnFormula>
    </tableColumn>
    <tableColumn id="35" xr3:uid="{BA50C9B2-B755-4F65-BA1C-C128648E444B}" name="m_2529" dataDxfId="294">
      <calculatedColumnFormula array="1">SUMPRODUCT((raw_lb[[who_region]:[who_region]]=$A11)*raw[[births]:[births]]*raw_lb[m_2529]*(LEN(raw_lb[m_2529])&gt;1)*(LEN(raw_lb[[bd_cov]:[bd_cov]])&gt;interactive!$C$6))/SUMPRODUCT((raw_lb[[who_region]:[who_region]]=$A11)*raw[[births]:[births]]*(LEN(raw_lb[m_2529])&gt;1)*(LEN(raw_lb[[bd_cov]:[bd_cov]])&gt;interactive!$C$6))</calculatedColumnFormula>
    </tableColumn>
    <tableColumn id="36" xr3:uid="{4094C68E-EE96-4F5B-AF54-452573A9A981}" name="m_3034" dataDxfId="293">
      <calculatedColumnFormula array="1">SUMPRODUCT((raw_lb[[who_region]:[who_region]]=$A11)*raw[[births]:[births]]*raw_lb[m_3034]*(LEN(raw_lb[m_3034])&gt;1)*(LEN(raw_lb[[bd_cov]:[bd_cov]])&gt;interactive!$C$6))/SUMPRODUCT((raw_lb[[who_region]:[who_region]]=$A11)*raw[[births]:[births]]*(LEN(raw_lb[m_3034])&gt;1)*(LEN(raw_lb[[bd_cov]:[bd_cov]])&gt;interactive!$C$6))</calculatedColumnFormula>
    </tableColumn>
    <tableColumn id="37" xr3:uid="{42093B5F-1749-420D-A0D9-A40D749D9E90}" name="m_3539" dataDxfId="292">
      <calculatedColumnFormula array="1">SUMPRODUCT((raw_lb[[who_region]:[who_region]]=$A11)*raw[[births]:[births]]*raw_lb[m_3539]*(LEN(raw_lb[m_3539])&gt;1)*(LEN(raw_lb[[bd_cov]:[bd_cov]])&gt;interactive!$C$6))/SUMPRODUCT((raw_lb[[who_region]:[who_region]]=$A11)*raw[[births]:[births]]*(LEN(raw_lb[m_3539])&gt;1)*(LEN(raw_lb[[bd_cov]:[bd_cov]])&gt;interactive!$C$6))</calculatedColumnFormula>
    </tableColumn>
    <tableColumn id="38" xr3:uid="{226F2E91-5322-4A04-9E2E-46B0B88FF3C1}" name="m_4044" dataDxfId="291">
      <calculatedColumnFormula array="1">SUMPRODUCT((raw_lb[[who_region]:[who_region]]=$A11)*raw[[births]:[births]]*raw_lb[m_4044]*(LEN(raw_lb[m_4044])&gt;1)*(LEN(raw_lb[[bd_cov]:[bd_cov]])&gt;interactive!$C$6))/SUMPRODUCT((raw_lb[[who_region]:[who_region]]=$A11)*raw[[births]:[births]]*(LEN(raw_lb[m_4044])&gt;1)*(LEN(raw_lb[[bd_cov]:[bd_cov]])&gt;interactive!$C$6))</calculatedColumnFormula>
    </tableColumn>
    <tableColumn id="39" xr3:uid="{59011F86-4460-40FC-B081-EE1E0D9B766D}" name="m_4549" dataDxfId="290">
      <calculatedColumnFormula array="1">SUMPRODUCT((raw_lb[[who_region]:[who_region]]=$A11)*raw[[births]:[births]]*raw_lb[m_4549]*(LEN(raw_lb[m_4549])&gt;1)*(LEN(raw_lb[[bd_cov]:[bd_cov]])&gt;interactive!$C$6))/SUMPRODUCT((raw_lb[[who_region]:[who_region]]=$A11)*raw[[births]:[births]]*(LEN(raw_lb[m_4549])&gt;1)*(LEN(raw_lb[[bd_cov]:[bd_cov]])&gt;interactive!$C$6))</calculatedColumnFormula>
    </tableColumn>
    <tableColumn id="40" xr3:uid="{E3CE5722-3B9A-470F-964D-F3002631FD3E}" name="m_5054" dataDxfId="289">
      <calculatedColumnFormula array="1">SUMPRODUCT((raw_lb[[who_region]:[who_region]]=$A11)*raw[[births]:[births]]*raw_lb[m_5054]*(LEN(raw_lb[m_5054])&gt;1)*(LEN(raw_lb[[bd_cov]:[bd_cov]])&gt;interactive!$C$6))/SUMPRODUCT((raw_lb[[who_region]:[who_region]]=$A11)*raw[[births]:[births]]*(LEN(raw_lb[m_5054])&gt;1)*(LEN(raw_lb[[bd_cov]:[bd_cov]])&gt;interactive!$C$6))</calculatedColumnFormula>
    </tableColumn>
    <tableColumn id="41" xr3:uid="{B3037CCA-8B35-44BB-A2B9-F5F04C18629D}" name="m_5559" dataDxfId="288">
      <calculatedColumnFormula array="1">SUMPRODUCT((raw_lb[[who_region]:[who_region]]=$A11)*raw[[births]:[births]]*raw_lb[m_5559]*(LEN(raw_lb[m_5559])&gt;1)*(LEN(raw_lb[[bd_cov]:[bd_cov]])&gt;interactive!$C$6))/SUMPRODUCT((raw_lb[[who_region]:[who_region]]=$A11)*raw[[births]:[births]]*(LEN(raw_lb[m_5559])&gt;1)*(LEN(raw_lb[[bd_cov]:[bd_cov]])&gt;interactive!$C$6))</calculatedColumnFormula>
    </tableColumn>
    <tableColumn id="42" xr3:uid="{64484AEB-186B-4B2E-BAFF-37D15E69FDFF}" name="m_6064" dataDxfId="287">
      <calculatedColumnFormula array="1">SUMPRODUCT((raw_lb[[who_region]:[who_region]]=$A11)*raw[[births]:[births]]*raw_lb[m_6064]*(LEN(raw_lb[m_6064])&gt;1)*(LEN(raw_lb[[bd_cov]:[bd_cov]])&gt;interactive!$C$6))/SUMPRODUCT((raw_lb[[who_region]:[who_region]]=$A11)*raw[[births]:[births]]*(LEN(raw_lb[m_6064])&gt;1)*(LEN(raw_lb[[bd_cov]:[bd_cov]])&gt;interactive!$C$6))</calculatedColumnFormula>
    </tableColumn>
    <tableColumn id="43" xr3:uid="{06211520-7A04-40EF-8498-D538BD01F286}" name="m_6569" dataDxfId="286">
      <calculatedColumnFormula array="1">SUMPRODUCT((raw_lb[[who_region]:[who_region]]=$A11)*raw[[births]:[births]]*raw_lb[m_6569]*(LEN(raw_lb[m_6569])&gt;1)*(LEN(raw_lb[[bd_cov]:[bd_cov]])&gt;interactive!$C$6))/SUMPRODUCT((raw_lb[[who_region]:[who_region]]=$A11)*raw[[births]:[births]]*(LEN(raw_lb[m_6569])&gt;1)*(LEN(raw_lb[[bd_cov]:[bd_cov]])&gt;interactive!$C$6))</calculatedColumnFormula>
    </tableColumn>
    <tableColumn id="44" xr3:uid="{EEF2AC2C-2EC6-4873-92FF-3C04BEBAD4AE}" name="m_7074" dataDxfId="285">
      <calculatedColumnFormula array="1">SUMPRODUCT((raw_lb[[who_region]:[who_region]]=$A11)*raw[[births]:[births]]*raw_lb[m_7074]*(LEN(raw_lb[m_7074])&gt;1)*(LEN(raw_lb[[bd_cov]:[bd_cov]])&gt;interactive!$C$6))/SUMPRODUCT((raw_lb[[who_region]:[who_region]]=$A11)*raw[[births]:[births]]*(LEN(raw_lb[m_7074])&gt;1)*(LEN(raw_lb[[bd_cov]:[bd_cov]])&gt;interactive!$C$6))</calculatedColumnFormula>
    </tableColumn>
    <tableColumn id="45" xr3:uid="{3F8257A8-93E7-4488-BB4A-B1371FF43DCB}" name="m_7079" dataDxfId="284">
      <calculatedColumnFormula array="1">SUMPRODUCT((raw_lb[[who_region]:[who_region]]=$A11)*raw[[births]:[births]]*raw_lb[m_7079]*(LEN(raw_lb[m_7079])&gt;1)*(LEN(raw_lb[[bd_cov]:[bd_cov]])&gt;interactive!$C$6))/SUMPRODUCT((raw_lb[[who_region]:[who_region]]=$A11)*raw[[births]:[births]]*(LEN(raw_lb[m_7079])&gt;1)*(LEN(raw_lb[[bd_cov]:[bd_cov]])&gt;interactive!$C$6))</calculatedColumnFormula>
    </tableColumn>
    <tableColumn id="46" xr3:uid="{604C7D91-3B83-43CB-ADE6-85933CA3DB8C}" name="m_8084" dataDxfId="283">
      <calculatedColumnFormula array="1">SUMPRODUCT((raw_lb[[who_region]:[who_region]]=$A11)*raw[[births]:[births]]*raw_lb[m_8084]*(LEN(raw_lb[m_8084])&gt;1)*(LEN(raw_lb[[bd_cov]:[bd_cov]])&gt;interactive!$C$6))/SUMPRODUCT((raw_lb[[who_region]:[who_region]]=$A11)*raw[[births]:[births]]*(LEN(raw_lb[m_8084])&gt;1)*(LEN(raw_lb[[bd_cov]:[bd_cov]])&gt;interactive!$C$6))</calculatedColumnFormula>
    </tableColumn>
    <tableColumn id="47" xr3:uid="{B1330624-C420-4E07-A264-3993003917F6}" name="m_8589" dataDxfId="282">
      <calculatedColumnFormula array="1">SUMPRODUCT((raw_lb[[who_region]:[who_region]]=$A11)*raw[[births]:[births]]*raw_lb[m_8589]*(LEN(raw_lb[m_8589])&gt;1)*(LEN(raw_lb[[bd_cov]:[bd_cov]])&gt;interactive!$C$6))/SUMPRODUCT((raw_lb[[who_region]:[who_region]]=$A11)*raw[[births]:[births]]*(LEN(raw_lb[m_8589])&gt;1)*(LEN(raw_lb[[bd_cov]:[bd_cov]])&gt;interactive!$C$6))</calculatedColumnFormula>
    </tableColumn>
    <tableColumn id="48" xr3:uid="{37F68C31-E1F7-448D-82A6-6D6FA8B1CD9D}" name="m_9094" dataDxfId="281">
      <calculatedColumnFormula array="1">SUMPRODUCT((raw_lb[[who_region]:[who_region]]=$A11)*raw[[births]:[births]]*raw_lb[m_9094]*(LEN(raw_lb[m_9094])&gt;1)*(LEN(raw_lb[[bd_cov]:[bd_cov]])&gt;interactive!$C$6))/SUMPRODUCT((raw_lb[[who_region]:[who_region]]=$A11)*raw[[births]:[births]]*(LEN(raw_lb[m_9094])&gt;1)*(LEN(raw_lb[[bd_cov]:[bd_cov]])&gt;interactive!$C$6))</calculatedColumnFormula>
    </tableColumn>
    <tableColumn id="49" xr3:uid="{0A3CD2E2-3E64-4DC6-8FEF-B0E4681F8155}" name="m_95+" dataDxfId="280">
      <calculatedColumnFormula array="1">SUMPRODUCT((raw_lb[[who_region]:[who_region]]=$A11)*raw[[births]:[births]]*raw_lb[m_95+]*(LEN(raw_lb[m_95+])&gt;1)*(LEN(raw_lb[[bd_cov]:[bd_cov]])&gt;interactive!$C$6))/SUMPRODUCT((raw_lb[[who_region]:[who_region]]=$A11)*raw[[births]:[births]]*(LEN(raw_lb[m_95+])&gt;1)*(LEN(raw_lb[[bd_cov]:[bd_cov]])&gt;interactive!$C$6))</calculatedColumnFormula>
    </tableColumn>
    <tableColumn id="50" xr3:uid="{F73EE439-8B7E-4280-A712-00FF1D48BE2A}" name="av_life" dataDxfId="279">
      <calculatedColumnFormula array="1">SUMPRODUCT((raw_lb[[who_region]:[who_region]]=$A11)*raw[[births]:[births]]*raw_lb[av_life]*(LEN(raw_lb[av_life])&gt;1)*(LEN(raw_lb[[bd_cov]:[bd_cov]])&gt;interactive!$C$6))/SUMPRODUCT((raw_lb[[who_region]:[who_region]]=$A11)*raw[[births]:[births]]*(LEN(raw_lb[av_life])&gt;1)*(LEN(raw_lb[[bd_cov]:[bd_cov]])&gt;interactive!$C$6))</calculatedColumnFormula>
    </tableColumn>
    <tableColumn id="51" xr3:uid="{55893BCD-84DB-4AE9-9D60-45CEBF6B88AD}" name="cov_impu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EC3D2F-C9D5-4F75-A753-4EC59EEDFA0C}" name="regions_ub" displayName="regions_ub" ref="A19:AY26" totalsRowShown="0" headerRowDxfId="278" tableBorderDxfId="277">
  <autoFilter ref="A19:AY26" xr:uid="{D4EC3D2F-C9D5-4F75-A753-4EC59EEDFA0C}"/>
  <tableColumns count="51">
    <tableColumn id="1" xr3:uid="{A71B2A7B-436D-4415-997F-1F86241FC4A3}" name="setting" dataDxfId="276"/>
    <tableColumn id="2" xr3:uid="{EDDCA712-EDBD-4860-B7A3-E335DF6ACC59}" name="iso3"/>
    <tableColumn id="3" xr3:uid="{4B6A7DDC-E5B6-4783-9CA4-3D9845882537}" name="num"/>
    <tableColumn id="4" xr3:uid="{F1366BC9-523D-4501-9D1E-3B65608DF645}" name="who_region"/>
    <tableColumn id="5" xr3:uid="{41D7057E-AB54-4B5C-8F22-7779BC07938C}" name="gbd_region"/>
    <tableColumn id="6" xr3:uid="{6FC36DF7-99E2-40A7-A7EF-B405E25FCDD1}" name="gbd_super"/>
    <tableColumn id="7" xr3:uid="{5AC77DA5-B9B4-4A43-8990-1BE272C896E0}" name="wb_class"/>
    <tableColumn id="8" xr3:uid="{5CDDB5EB-2722-4096-A31F-0FD3BD38A3A2}" name="pop"/>
    <tableColumn id="9" xr3:uid="{F0F5494D-7527-4B85-A1E1-5379AC83C94B}" name="births"/>
    <tableColumn id="10" xr3:uid="{0F46E422-A4F2-45A1-BE1F-048BF20A70FB}" name="fac_birth" dataDxfId="275" dataCellStyle="Percent">
      <calculatedColumnFormula array="1">SUMPRODUCT((raw_ub[[who_region]:[who_region]]=$A20)*raw[[births]:[births]]*raw_ub[fac_birth]*(LEN(raw_ub[fac_birth])&gt;1)*(LEN(raw_ub[[bd_cov]:[bd_cov]])&gt;interactive!$C$6))/SUMPRODUCT((raw_ub[[who_region]:[who_region]]=$A20)*raw[[births]:[births]]*(LEN(raw_ub[fac_birth])&gt;1)*(LEN(raw_ub[[bd_cov]:[bd_cov]])&gt;interactive!$C$6))</calculatedColumnFormula>
    </tableColumn>
    <tableColumn id="11" xr3:uid="{CD11DC5B-AD3F-4509-9017-C1FFFE4AA36F}" name="bd_cov" dataDxfId="274" dataCellStyle="Percent">
      <calculatedColumnFormula array="1">SUMPRODUCT((raw_ub[[who_region]:[who_region]]=$A20)*raw[[births]:[births]]*raw_ub[bd_cov]*(LEN(raw_ub[bd_cov])&gt;1)*(LEN(raw_ub[[bd_cov]:[bd_cov]])&gt;interactive!$C$6))/SUMPRODUCT((raw_ub[[who_region]:[who_region]]=$A20)*raw[[births]:[births]]*(LEN(raw_ub[bd_cov])&gt;1)*(LEN(raw_ub[[bd_cov]:[bd_cov]])&gt;interactive!$C$6))</calculatedColumnFormula>
    </tableColumn>
    <tableColumn id="12" xr3:uid="{A6AFF38E-4728-41FD-A665-C569E56DD774}" name="hbv3_cov" dataDxfId="273" dataCellStyle="Percent">
      <calculatedColumnFormula array="1">SUMPRODUCT((raw_ub[[who_region]:[who_region]]=$A20)*raw[[births]:[births]]*raw_ub[hbv3_cov]*(LEN(raw_ub[hbv3_cov])&gt;1)*(LEN(raw_ub[[bd_cov]:[bd_cov]])&gt;interactive!$C$6))/SUMPRODUCT((raw_ub[[who_region]:[who_region]]=$A20)*raw[[births]:[births]]*(LEN(raw_ub[hbv3_cov])&gt;1)*(LEN(raw_ub[[bd_cov]:[bd_cov]])&gt;interactive!$C$6))</calculatedColumnFormula>
    </tableColumn>
    <tableColumn id="13" xr3:uid="{709F7287-0152-42FA-A767-474B78AD0CDE}" name="hbv_prev" dataDxfId="272" dataCellStyle="Percent">
      <calculatedColumnFormula array="1">SUMPRODUCT((raw_ub[[who_region]:[who_region]]=$A20)*raw[[births]:[births]]*raw_ub[hbv_prev]*(LEN(raw_ub[hbv_prev])&gt;1)*(LEN(raw_ub[[bd_cov]:[bd_cov]])&gt;interactive!$C$6))/SUMPRODUCT((raw_ub[[who_region]:[who_region]]=$A20)*raw[[births]:[births]]*(LEN(raw_ub[hbv_prev])&gt;1)*(LEN(raw_ub[[bd_cov]:[bd_cov]])&gt;interactive!$C$6))</calculatedColumnFormula>
    </tableColumn>
    <tableColumn id="14" xr3:uid="{AA9A64A9-BF9B-4EA1-89F0-2CCF8F91ABB5}" name="hbe_prev">
      <calculatedColumnFormula array="1">SUMPRODUCT((raw_ub[[who_region]:[who_region]]=$A20)*raw[[births]:[births]]*raw_ub[hbe_prev]*(LEN(raw_ub[hbe_prev])&gt;1)*(LEN(raw_ub[[bd_cov]:[bd_cov]])&gt;interactive!$C$6))/SUMPRODUCT((raw_ub[[who_region]:[who_region]]=$A20)*raw[[births]:[births]]*(LEN(raw_ub[hbe_prev])&gt;1)*(LEN(raw_ub[[bd_cov]:[bd_cov]])&gt;interactive!$C$6))</calculatedColumnFormula>
    </tableColumn>
    <tableColumn id="15" xr3:uid="{3F49375E-45A3-4437-97C5-C3AD5ED2344E}" name="epos" dataDxfId="271" dataCellStyle="Percent">
      <calculatedColumnFormula array="1">SUMPRODUCT((raw_ub[[who_region]:[who_region]]=$A20)*raw[[births]:[births]]*raw_ub[epos]*(LEN(raw_ub[epos])&gt;1)*(LEN(raw_ub[[bd_cov]:[bd_cov]])&gt;interactive!$C$6))/SUMPRODUCT((raw_ub[[who_region]:[who_region]]=$A20)*raw[[births]:[births]]*(LEN(raw_ub[epos])&gt;1)*(LEN(raw_ub[[bd_cov]:[bd_cov]])&gt;interactive!$C$6))</calculatedColumnFormula>
    </tableColumn>
    <tableColumn id="16" xr3:uid="{8CA358BE-9389-454A-A922-E029BC9C25BE}" name="eneg" dataDxfId="270" dataCellStyle="Percent">
      <calculatedColumnFormula array="1">SUMPRODUCT((raw_ub[[who_region]:[who_region]]=$A20)*raw[[births]:[births]]*raw_ub[eneg]*(LEN(raw_ub[eneg])&gt;1)*(LEN(raw_ub[[bd_cov]:[bd_cov]])&gt;interactive!$C$6))/SUMPRODUCT((raw_ub[[who_region]:[who_region]]=$A20)*raw[[births]:[births]]*(LEN(raw_ub[eneg])&gt;1)*(LEN(raw_ub[[bd_cov]:[bd_cov]])&gt;interactive!$C$6))</calculatedColumnFormula>
    </tableColumn>
    <tableColumn id="17" xr3:uid="{7ABF6C36-760D-4995-8A66-4B33D3A2AF96}" name="c_diag" dataDxfId="269">
      <calculatedColumnFormula array="1">SUMPRODUCT((raw_ub[[who_region]:[who_region]]=$A20)*raw[[births]:[births]]*raw_ub[c_diag]*(LEN(raw_ub[c_diag])&gt;1)*(LEN(raw_ub[[bd_cov]:[bd_cov]])&gt;interactive!$C$6))/SUMPRODUCT((raw_ub[[who_region]:[who_region]]=$A20)*raw[[births]:[births]]*(LEN(raw_ub[c_diag])&gt;1)*(LEN(raw_ub[[bd_cov]:[bd_cov]])&gt;interactive!$C$6))</calculatedColumnFormula>
    </tableColumn>
    <tableColumn id="18" xr3:uid="{79387967-1CAB-4EA9-BAFE-9F651F2DD71C}" name="c_C" dataDxfId="268">
      <calculatedColumnFormula array="1">SUMPRODUCT((raw_ub[[who_region]:[who_region]]=$A20)*raw[[births]:[births]]*raw_ub[c_C]*(LEN(raw_ub[c_C])&gt;1)*(LEN(raw_ub[[bd_cov]:[bd_cov]])&gt;interactive!$C$6))/SUMPRODUCT((raw_ub[[who_region]:[who_region]]=$A20)*raw[[births]:[births]]*(LEN(raw_ub[c_C])&gt;1)*(LEN(raw_ub[[bd_cov]:[bd_cov]])&gt;interactive!$C$6))</calculatedColumnFormula>
    </tableColumn>
    <tableColumn id="19" xr3:uid="{C0230044-C386-42B7-AED3-9B4C1FAAB80B}" name="c_CC" dataDxfId="267">
      <calculatedColumnFormula array="1">SUMPRODUCT((raw_ub[[who_region]:[who_region]]=$A20)*raw[[births]:[births]]*raw_ub[c_CC]*(LEN(raw_ub[c_CC])&gt;1)*(LEN(raw_ub[[bd_cov]:[bd_cov]])&gt;interactive!$C$6))/SUMPRODUCT((raw_ub[[who_region]:[who_region]]=$A20)*raw[[births]:[births]]*(LEN(raw_ub[c_CC])&gt;1)*(LEN(raw_ub[[bd_cov]:[bd_cov]])&gt;interactive!$C$6))</calculatedColumnFormula>
    </tableColumn>
    <tableColumn id="20" xr3:uid="{F555526D-D0BA-45B6-91D1-F6A8A6D2EB46}" name="c_DC" dataDxfId="266">
      <calculatedColumnFormula array="1">SUMPRODUCT((raw_ub[[who_region]:[who_region]]=$A20)*raw[[births]:[births]]*raw_ub[c_DC]*(LEN(raw_ub[c_DC])&gt;1)*(LEN(raw_ub[[bd_cov]:[bd_cov]])&gt;interactive!$C$6))/SUMPRODUCT((raw_ub[[who_region]:[who_region]]=$A20)*raw[[births]:[births]]*(LEN(raw_ub[c_DC])&gt;1)*(LEN(raw_ub[[bd_cov]:[bd_cov]])&gt;interactive!$C$6))</calculatedColumnFormula>
    </tableColumn>
    <tableColumn id="21" xr3:uid="{062A1BF3-9491-4B95-8ABE-7CFB023A6A4D}" name="c_HCC" dataDxfId="265">
      <calculatedColumnFormula array="1">SUMPRODUCT((raw_ub[[who_region]:[who_region]]=$A20)*raw[[births]:[births]]*raw_ub[c_HCC]*(LEN(raw_ub[c_HCC])&gt;1)*(LEN(raw_ub[[bd_cov]:[bd_cov]])&gt;interactive!$C$6))/SUMPRODUCT((raw_ub[[who_region]:[who_region]]=$A20)*raw[[births]:[births]]*(LEN(raw_ub[c_HCC])&gt;1)*(LEN(raw_ub[[bd_cov]:[bd_cov]])&gt;interactive!$C$6))</calculatedColumnFormula>
    </tableColumn>
    <tableColumn id="22" xr3:uid="{93BE9900-C7AE-4A77-8087-4524FB189880}" name="bl1_f" dataDxfId="264">
      <calculatedColumnFormula array="1">SUMPRODUCT((raw_ub[[who_region]:[who_region]]=$A20)*raw[[births]:[births]]*raw_ub[bl1_f]*(LEN(raw_ub[bl1_f])&gt;1)*(LEN(raw_ub[[bd_cov]:[bd_cov]])&gt;interactive!$C$6))/SUMPRODUCT((raw_ub[[who_region]:[who_region]]=$A20)*raw[[births]:[births]]*(LEN(raw_ub[bl1_f])&gt;1)*(LEN(raw_ub[[bd_cov]:[bd_cov]])&gt;interactive!$C$6))</calculatedColumnFormula>
    </tableColumn>
    <tableColumn id="23" xr3:uid="{7047B907-D667-4889-9F21-0DD0B7876E98}" name="bl1_c" dataDxfId="263">
      <calculatedColumnFormula array="1">SUMPRODUCT((raw_ub[[who_region]:[who_region]]=$A20)*raw[[births]:[births]]*raw_ub[bl1_c]*(LEN(raw_ub[bl1_c])&gt;1)*(LEN(raw_ub[[bd_cov]:[bd_cov]])&gt;interactive!$C$6))/SUMPRODUCT((raw_ub[[who_region]:[who_region]]=$A20)*raw[[births]:[births]]*(LEN(raw_ub[bl1_c])&gt;1)*(LEN(raw_ub[[bd_cov]:[bd_cov]])&gt;interactive!$C$6))</calculatedColumnFormula>
    </tableColumn>
    <tableColumn id="24" xr3:uid="{427050AD-21CB-4D39-8E74-961EC6C3C1DF}" name="map_f" dataDxfId="262">
      <calculatedColumnFormula array="1">SUMPRODUCT((raw_ub[[who_region]:[who_region]]=$A20)*raw[[births]:[births]]*raw_ub[map_f]*(LEN(raw_ub[map_f])&gt;1)*(LEN(raw_ub[[bd_cov]:[bd_cov]])&gt;interactive!$C$6))/SUMPRODUCT((raw_ub[[who_region]:[who_region]]=$A20)*raw[[births]:[births]]*(LEN(raw_ub[map_f])&gt;1)*(LEN(raw_ub[[bd_cov]:[bd_cov]])&gt;interactive!$C$6))</calculatedColumnFormula>
    </tableColumn>
    <tableColumn id="25" xr3:uid="{1E69D683-FE70-421F-8E89-B60FFD9AEBAD}" name="map_cq" dataDxfId="261">
      <calculatedColumnFormula array="1">SUMPRODUCT((raw_ub[[who_region]:[who_region]]=$A20)*raw[[births]:[births]]*raw_ub[map_cq]*(LEN(raw_ub[map_cq])&gt;1)*(LEN(raw_ub[[bd_cov]:[bd_cov]])&gt;interactive!$C$6))/SUMPRODUCT((raw_ub[[who_region]:[who_region]]=$A20)*raw[[births]:[births]]*(LEN(raw_ub[map_cq])&gt;1)*(LEN(raw_ub[[bd_cov]:[bd_cov]])&gt;interactive!$C$6))</calculatedColumnFormula>
    </tableColumn>
    <tableColumn id="26" xr3:uid="{4BAB342A-D990-4358-A7C1-DE31E4772BDC}" name="map_cl" dataDxfId="260">
      <calculatedColumnFormula array="1">SUMPRODUCT((raw_ub[[who_region]:[who_region]]=$A20)*raw[[births]:[births]]*raw_ub[map_cl]*(LEN(raw_ub[map_cl])&gt;1)*(LEN(raw_ub[[bd_cov]:[bd_cov]])&gt;interactive!$C$6))/SUMPRODUCT((raw_ub[[who_region]:[who_region]]=$A20)*raw[[births]:[births]]*(LEN(raw_ub[map_cl])&gt;1)*(LEN(raw_ub[[bd_cov]:[bd_cov]])&gt;interactive!$C$6))</calculatedColumnFormula>
    </tableColumn>
    <tableColumn id="27" xr3:uid="{EF0B26D7-7DE5-4E93-8077-99320536DC54}" name="ctc_f" dataDxfId="259">
      <calculatedColumnFormula array="1">SUMPRODUCT((raw_ub[[who_region]:[who_region]]=$A20)*raw[[births]:[births]]*raw_ub[ctc_f]*(LEN(raw_ub[ctc_f])&gt;1)*(LEN(raw_ub[[bd_cov]:[bd_cov]])&gt;interactive!$C$6))/SUMPRODUCT((raw_ub[[who_region]:[who_region]]=$A20)*raw[[births]:[births]]*(LEN(raw_ub[ctc_f])&gt;1)*(LEN(raw_ub[[bd_cov]:[bd_cov]])&gt;interactive!$C$6))</calculatedColumnFormula>
    </tableColumn>
    <tableColumn id="28" xr3:uid="{4B369295-8C0C-4837-A931-1F6E8E61CE50}" name="ctc_c" dataDxfId="258">
      <calculatedColumnFormula array="1">SUMPRODUCT((raw_ub[[who_region]:[who_region]]=$A20)*raw[[births]:[births]]*raw_ub[ctc_c]*(LEN(raw_ub[ctc_c])&gt;1)*(LEN(raw_ub[[bd_cov]:[bd_cov]])&gt;interactive!$C$6))/SUMPRODUCT((raw_ub[[who_region]:[who_region]]=$A20)*raw[[births]:[births]]*(LEN(raw_ub[ctc_c])&gt;1)*(LEN(raw_ub[[bd_cov]:[bd_cov]])&gt;interactive!$C$6))</calculatedColumnFormula>
    </tableColumn>
    <tableColumn id="29" xr3:uid="{7B24A773-84B7-453D-8ADC-7CEBCDC41957}" name="m_01" dataDxfId="257">
      <calculatedColumnFormula array="1">SUMPRODUCT((raw_ub[[who_region]:[who_region]]=$A20)*raw[[births]:[births]]*raw_ub[m_01]*(LEN(raw_ub[m_01])&gt;1)*(LEN(raw_ub[[bd_cov]:[bd_cov]])&gt;interactive!$C$6))/SUMPRODUCT((raw_ub[[who_region]:[who_region]]=$A20)*raw[[births]:[births]]*(LEN(raw_ub[m_01])&gt;1)*(LEN(raw_ub[[bd_cov]:[bd_cov]])&gt;interactive!$C$6))</calculatedColumnFormula>
    </tableColumn>
    <tableColumn id="30" xr3:uid="{9F3D0D72-821E-49E3-B099-24C70B89C012}" name="m_14" dataDxfId="256">
      <calculatedColumnFormula array="1">SUMPRODUCT((raw_ub[[who_region]:[who_region]]=$A20)*raw[[births]:[births]]*raw_ub[m_14]*(LEN(raw_ub[m_14])&gt;1)*(LEN(raw_ub[[bd_cov]:[bd_cov]])&gt;interactive!$C$6))/SUMPRODUCT((raw_ub[[who_region]:[who_region]]=$A20)*raw[[births]:[births]]*(LEN(raw_ub[m_14])&gt;1)*(LEN(raw_ub[[bd_cov]:[bd_cov]])&gt;interactive!$C$6))</calculatedColumnFormula>
    </tableColumn>
    <tableColumn id="31" xr3:uid="{7FAE097D-1F03-4459-8FD0-E3B44A76AD94}" name="m_59" dataDxfId="255">
      <calculatedColumnFormula array="1">SUMPRODUCT((raw_ub[[who_region]:[who_region]]=$A20)*raw[[births]:[births]]*raw_ub[m_59]*(LEN(raw_ub[m_59])&gt;1)*(LEN(raw_ub[[bd_cov]:[bd_cov]])&gt;interactive!$C$6))/SUMPRODUCT((raw_ub[[who_region]:[who_region]]=$A20)*raw[[births]:[births]]*(LEN(raw_ub[m_59])&gt;1)*(LEN(raw_ub[[bd_cov]:[bd_cov]])&gt;interactive!$C$6))</calculatedColumnFormula>
    </tableColumn>
    <tableColumn id="32" xr3:uid="{5C595BA8-7BF9-49F7-8EDF-569A20B6E148}" name="m_1014" dataDxfId="254">
      <calculatedColumnFormula array="1">SUMPRODUCT((raw_ub[[who_region]:[who_region]]=$A20)*raw[[births]:[births]]*raw_ub[m_1014]*(LEN(raw_ub[m_1014])&gt;1)*(LEN(raw_ub[[bd_cov]:[bd_cov]])&gt;interactive!$C$6))/SUMPRODUCT((raw_ub[[who_region]:[who_region]]=$A20)*raw[[births]:[births]]*(LEN(raw_ub[m_1014])&gt;1)*(LEN(raw_ub[[bd_cov]:[bd_cov]])&gt;interactive!$C$6))</calculatedColumnFormula>
    </tableColumn>
    <tableColumn id="33" xr3:uid="{B5691085-1D02-4434-8E59-F9E75421313A}" name="m_1519" dataDxfId="253">
      <calculatedColumnFormula array="1">SUMPRODUCT((raw_ub[[who_region]:[who_region]]=$A20)*raw[[births]:[births]]*raw_ub[m_1519]*(LEN(raw_ub[m_1519])&gt;1)*(LEN(raw_ub[[bd_cov]:[bd_cov]])&gt;interactive!$C$6))/SUMPRODUCT((raw_ub[[who_region]:[who_region]]=$A20)*raw[[births]:[births]]*(LEN(raw_ub[m_1519])&gt;1)*(LEN(raw_ub[[bd_cov]:[bd_cov]])&gt;interactive!$C$6))</calculatedColumnFormula>
    </tableColumn>
    <tableColumn id="34" xr3:uid="{3D0217BE-0F10-4D7C-AED4-B0E09AD5C5B1}" name="m_2024" dataDxfId="252">
      <calculatedColumnFormula array="1">SUMPRODUCT((raw_ub[[who_region]:[who_region]]=$A20)*raw[[births]:[births]]*raw_ub[m_2024]*(LEN(raw_ub[m_2024])&gt;1)*(LEN(raw_ub[[bd_cov]:[bd_cov]])&gt;interactive!$C$6))/SUMPRODUCT((raw_ub[[who_region]:[who_region]]=$A20)*raw[[births]:[births]]*(LEN(raw_ub[m_2024])&gt;1)*(LEN(raw_ub[[bd_cov]:[bd_cov]])&gt;interactive!$C$6))</calculatedColumnFormula>
    </tableColumn>
    <tableColumn id="35" xr3:uid="{EEFC2379-7B4D-4AAC-A333-F0588C35A2E2}" name="m_2529" dataDxfId="251">
      <calculatedColumnFormula array="1">SUMPRODUCT((raw_ub[[who_region]:[who_region]]=$A20)*raw[[births]:[births]]*raw_ub[m_2529]*(LEN(raw_ub[m_2529])&gt;1)*(LEN(raw_ub[[bd_cov]:[bd_cov]])&gt;interactive!$C$6))/SUMPRODUCT((raw_ub[[who_region]:[who_region]]=$A20)*raw[[births]:[births]]*(LEN(raw_ub[m_2529])&gt;1)*(LEN(raw_ub[[bd_cov]:[bd_cov]])&gt;interactive!$C$6))</calculatedColumnFormula>
    </tableColumn>
    <tableColumn id="36" xr3:uid="{6DBF53DD-79F3-4BF2-9DBB-16BBB5D66148}" name="m_3034" dataDxfId="250">
      <calculatedColumnFormula array="1">SUMPRODUCT((raw_ub[[who_region]:[who_region]]=$A20)*raw[[births]:[births]]*raw_ub[m_3034]*(LEN(raw_ub[m_3034])&gt;1)*(LEN(raw_ub[[bd_cov]:[bd_cov]])&gt;interactive!$C$6))/SUMPRODUCT((raw_ub[[who_region]:[who_region]]=$A20)*raw[[births]:[births]]*(LEN(raw_ub[m_3034])&gt;1)*(LEN(raw_ub[[bd_cov]:[bd_cov]])&gt;interactive!$C$6))</calculatedColumnFormula>
    </tableColumn>
    <tableColumn id="37" xr3:uid="{6432ABFC-1F69-4919-AC52-E319E9C846D5}" name="m_3539" dataDxfId="249">
      <calculatedColumnFormula array="1">SUMPRODUCT((raw_ub[[who_region]:[who_region]]=$A20)*raw[[births]:[births]]*raw_ub[m_3539]*(LEN(raw_ub[m_3539])&gt;1)*(LEN(raw_ub[[bd_cov]:[bd_cov]])&gt;interactive!$C$6))/SUMPRODUCT((raw_ub[[who_region]:[who_region]]=$A20)*raw[[births]:[births]]*(LEN(raw_ub[m_3539])&gt;1)*(LEN(raw_ub[[bd_cov]:[bd_cov]])&gt;interactive!$C$6))</calculatedColumnFormula>
    </tableColumn>
    <tableColumn id="38" xr3:uid="{CB0C298C-9A7B-41F6-9471-C31F80529AE3}" name="m_4044" dataDxfId="248">
      <calculatedColumnFormula array="1">SUMPRODUCT((raw_ub[[who_region]:[who_region]]=$A20)*raw[[births]:[births]]*raw_ub[m_4044]*(LEN(raw_ub[m_4044])&gt;1)*(LEN(raw_ub[[bd_cov]:[bd_cov]])&gt;interactive!$C$6))/SUMPRODUCT((raw_ub[[who_region]:[who_region]]=$A20)*raw[[births]:[births]]*(LEN(raw_ub[m_4044])&gt;1)*(LEN(raw_ub[[bd_cov]:[bd_cov]])&gt;interactive!$C$6))</calculatedColumnFormula>
    </tableColumn>
    <tableColumn id="39" xr3:uid="{F202A6B0-29BE-4CF9-BB11-BCF4C2834F35}" name="m_4549" dataDxfId="247">
      <calculatedColumnFormula array="1">SUMPRODUCT((raw_ub[[who_region]:[who_region]]=$A20)*raw[[births]:[births]]*raw_ub[m_4549]*(LEN(raw_ub[m_4549])&gt;1)*(LEN(raw_ub[[bd_cov]:[bd_cov]])&gt;interactive!$C$6))/SUMPRODUCT((raw_ub[[who_region]:[who_region]]=$A20)*raw[[births]:[births]]*(LEN(raw_ub[m_4549])&gt;1)*(LEN(raw_ub[[bd_cov]:[bd_cov]])&gt;interactive!$C$6))</calculatedColumnFormula>
    </tableColumn>
    <tableColumn id="40" xr3:uid="{C9AD778F-1B99-479A-BF91-AE52A243987B}" name="m_5054" dataDxfId="246">
      <calculatedColumnFormula array="1">SUMPRODUCT((raw_ub[[who_region]:[who_region]]=$A20)*raw[[births]:[births]]*raw_ub[m_5054]*(LEN(raw_ub[m_5054])&gt;1)*(LEN(raw_ub[[bd_cov]:[bd_cov]])&gt;interactive!$C$6))/SUMPRODUCT((raw_ub[[who_region]:[who_region]]=$A20)*raw[[births]:[births]]*(LEN(raw_ub[m_5054])&gt;1)*(LEN(raw_ub[[bd_cov]:[bd_cov]])&gt;interactive!$C$6))</calculatedColumnFormula>
    </tableColumn>
    <tableColumn id="41" xr3:uid="{5C588122-70A1-4A33-84BA-F6EE49575ACF}" name="m_5559" dataDxfId="245">
      <calculatedColumnFormula array="1">SUMPRODUCT((raw_ub[[who_region]:[who_region]]=$A20)*raw[[births]:[births]]*raw_ub[m_5559]*(LEN(raw_ub[m_5559])&gt;1)*(LEN(raw_ub[[bd_cov]:[bd_cov]])&gt;interactive!$C$6))/SUMPRODUCT((raw_ub[[who_region]:[who_region]]=$A20)*raw[[births]:[births]]*(LEN(raw_ub[m_5559])&gt;1)*(LEN(raw_ub[[bd_cov]:[bd_cov]])&gt;interactive!$C$6))</calculatedColumnFormula>
    </tableColumn>
    <tableColumn id="42" xr3:uid="{CEC3E932-69C1-4152-8A8A-410D2FE99213}" name="m_6064" dataDxfId="244">
      <calculatedColumnFormula array="1">SUMPRODUCT((raw_ub[[who_region]:[who_region]]=$A20)*raw[[births]:[births]]*raw_ub[m_6064]*(LEN(raw_ub[m_6064])&gt;1)*(LEN(raw_ub[[bd_cov]:[bd_cov]])&gt;interactive!$C$6))/SUMPRODUCT((raw_ub[[who_region]:[who_region]]=$A20)*raw[[births]:[births]]*(LEN(raw_ub[m_6064])&gt;1)*(LEN(raw_ub[[bd_cov]:[bd_cov]])&gt;interactive!$C$6))</calculatedColumnFormula>
    </tableColumn>
    <tableColumn id="43" xr3:uid="{91E8A58E-2DA0-4454-BDB0-F5F571CC0376}" name="m_6569" dataDxfId="243">
      <calculatedColumnFormula array="1">SUMPRODUCT((raw_ub[[who_region]:[who_region]]=$A20)*raw[[births]:[births]]*raw_ub[m_6569]*(LEN(raw_ub[m_6569])&gt;1)*(LEN(raw_ub[[bd_cov]:[bd_cov]])&gt;interactive!$C$6))/SUMPRODUCT((raw_ub[[who_region]:[who_region]]=$A20)*raw[[births]:[births]]*(LEN(raw_ub[m_6569])&gt;1)*(LEN(raw_ub[[bd_cov]:[bd_cov]])&gt;interactive!$C$6))</calculatedColumnFormula>
    </tableColumn>
    <tableColumn id="44" xr3:uid="{9FBB95D8-A733-4A03-839B-0A6003A9FC24}" name="m_7074" dataDxfId="242">
      <calculatedColumnFormula array="1">SUMPRODUCT((raw_ub[[who_region]:[who_region]]=$A20)*raw[[births]:[births]]*raw_ub[m_7074]*(LEN(raw_ub[m_7074])&gt;1)*(LEN(raw_ub[[bd_cov]:[bd_cov]])&gt;interactive!$C$6))/SUMPRODUCT((raw_ub[[who_region]:[who_region]]=$A20)*raw[[births]:[births]]*(LEN(raw_ub[m_7074])&gt;1)*(LEN(raw_ub[[bd_cov]:[bd_cov]])&gt;interactive!$C$6))</calculatedColumnFormula>
    </tableColumn>
    <tableColumn id="45" xr3:uid="{B5EF5116-99BB-4FB6-913C-6F1EF1E1A130}" name="m_7079" dataDxfId="241">
      <calculatedColumnFormula array="1">SUMPRODUCT((raw_ub[[who_region]:[who_region]]=$A20)*raw[[births]:[births]]*raw_ub[m_7079]*(LEN(raw_ub[m_7079])&gt;1)*(LEN(raw_ub[[bd_cov]:[bd_cov]])&gt;interactive!$C$6))/SUMPRODUCT((raw_ub[[who_region]:[who_region]]=$A20)*raw[[births]:[births]]*(LEN(raw_ub[m_7079])&gt;1)*(LEN(raw_ub[[bd_cov]:[bd_cov]])&gt;interactive!$C$6))</calculatedColumnFormula>
    </tableColumn>
    <tableColumn id="46" xr3:uid="{5255ECDE-50CB-42B8-87B1-F5A696AF7778}" name="m_8084" dataDxfId="240">
      <calculatedColumnFormula array="1">SUMPRODUCT((raw_ub[[who_region]:[who_region]]=$A20)*raw[[births]:[births]]*raw_ub[m_8084]*(LEN(raw_ub[m_8084])&gt;1)*(LEN(raw_ub[[bd_cov]:[bd_cov]])&gt;interactive!$C$6))/SUMPRODUCT((raw_ub[[who_region]:[who_region]]=$A20)*raw[[births]:[births]]*(LEN(raw_ub[m_8084])&gt;1)*(LEN(raw_ub[[bd_cov]:[bd_cov]])&gt;interactive!$C$6))</calculatedColumnFormula>
    </tableColumn>
    <tableColumn id="47" xr3:uid="{0A56B7E2-DAC4-44D0-B7D1-FB9CA9B2CFB7}" name="m_8589" dataDxfId="239">
      <calculatedColumnFormula array="1">SUMPRODUCT((raw_ub[[who_region]:[who_region]]=$A20)*raw[[births]:[births]]*raw_ub[m_8589]*(LEN(raw_ub[m_8589])&gt;1)*(LEN(raw_ub[[bd_cov]:[bd_cov]])&gt;interactive!$C$6))/SUMPRODUCT((raw_ub[[who_region]:[who_region]]=$A20)*raw[[births]:[births]]*(LEN(raw_ub[m_8589])&gt;1)*(LEN(raw_ub[[bd_cov]:[bd_cov]])&gt;interactive!$C$6))</calculatedColumnFormula>
    </tableColumn>
    <tableColumn id="48" xr3:uid="{854C64AA-6184-4170-BD17-8F0EC6C558F5}" name="m_9094" dataDxfId="238">
      <calculatedColumnFormula array="1">SUMPRODUCT((raw_ub[[who_region]:[who_region]]=$A20)*raw[[births]:[births]]*raw_ub[m_9094]*(LEN(raw_ub[m_9094])&gt;1)*(LEN(raw_ub[[bd_cov]:[bd_cov]])&gt;interactive!$C$6))/SUMPRODUCT((raw_ub[[who_region]:[who_region]]=$A20)*raw[[births]:[births]]*(LEN(raw_ub[m_9094])&gt;1)*(LEN(raw_ub[[bd_cov]:[bd_cov]])&gt;interactive!$C$6))</calculatedColumnFormula>
    </tableColumn>
    <tableColumn id="49" xr3:uid="{5BE846DD-F21F-42AD-AF6C-36A65ACAA663}" name="m_95+" dataDxfId="237">
      <calculatedColumnFormula array="1">SUMPRODUCT((raw_ub[[who_region]:[who_region]]=$A20)*raw[[births]:[births]]*raw_ub[m_95+]*(LEN(raw_ub[m_95+])&gt;1)*(LEN(raw_ub[[bd_cov]:[bd_cov]])&gt;interactive!$C$6))/SUMPRODUCT((raw_ub[[who_region]:[who_region]]=$A20)*raw[[births]:[births]]*(LEN(raw_ub[m_95+])&gt;1)*(LEN(raw_ub[[bd_cov]:[bd_cov]])&gt;interactive!$C$6))</calculatedColumnFormula>
    </tableColumn>
    <tableColumn id="50" xr3:uid="{5CEA525C-A589-40D1-909C-5AD6E0DB4A6B}" name="av_life" dataDxfId="236">
      <calculatedColumnFormula array="1">SUMPRODUCT((raw_ub[[who_region]:[who_region]]=$A20)*raw[[births]:[births]]*raw_ub[av_life]*(LEN(raw_ub[av_life])&gt;1)*(LEN(raw_ub[[bd_cov]:[bd_cov]])&gt;interactive!$C$6))/SUMPRODUCT((raw_ub[[who_region]:[who_region]]=$A20)*raw[[births]:[births]]*(LEN(raw_ub[av_life])&gt;1)*(LEN(raw_ub[[bd_cov]:[bd_cov]])&gt;interactive!$C$6))</calculatedColumnFormula>
    </tableColumn>
    <tableColumn id="51" xr3:uid="{A7A67011-A4D9-4FBE-977B-282EE0CA8511}" name="cov_impu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2960BB-0777-4F65-B11F-6A7484D2D8F9}" name="Table14" displayName="Table14" ref="A1:AJ137" totalsRowShown="0" headerRowDxfId="235">
  <autoFilter ref="A1:AJ137" xr:uid="{932960BB-0777-4F65-B11F-6A7484D2D8F9}"/>
  <tableColumns count="36">
    <tableColumn id="1" xr3:uid="{8FA3F0FC-5097-4C47-B669-C1E79AB44915}" name="setting" dataDxfId="234"/>
    <tableColumn id="2" xr3:uid="{48CE3D30-BC60-4D0F-A831-CE1E7A974AE8}" name="iso3"/>
    <tableColumn id="3" xr3:uid="{95A067EF-663E-4869-82FB-E74FE304FAEB}" name="num"/>
    <tableColumn id="4" xr3:uid="{797660C1-2DD6-4BCD-8563-31AE0A4637F9}" name="who_region"/>
    <tableColumn id="5" xr3:uid="{60585F17-6B90-47FF-863C-27B57F186AD0}" name="gbd_region"/>
    <tableColumn id="6" xr3:uid="{6447A2C0-AF32-41E3-9E1C-4730720ECCEF}" name="gbd_super"/>
    <tableColumn id="7" xr3:uid="{7E81A328-B43A-44E5-978F-ADF522E94B25}" name="wb_class"/>
    <tableColumn id="8" xr3:uid="{A37C15D5-E381-43CA-B486-84AA62C7088A}" name="bd_cov" dataDxfId="10">
      <calculatedColumnFormula>VLOOKUP($A2,raw[],11,FALSE)</calculatedColumnFormula>
    </tableColumn>
    <tableColumn id="9" xr3:uid="{B8404C53-4A58-404D-A181-00465468DAD5}" name="supp_chain" dataDxfId="9"/>
    <tableColumn id="10" xr3:uid="{F55A84EF-39B7-450D-A382-0C5971B9032E}" name="cold_com_lb"/>
    <tableColumn id="11" xr3:uid="{BBD3BFAE-41D5-4E88-BFDD-3CDFFF27721D}" name="cold_com_pe"/>
    <tableColumn id="12" xr3:uid="{14445215-4788-4390-8FBF-A9303E211622}" name="cold_com_ub"/>
    <tableColumn id="13" xr3:uid="{4886BF94-C6E9-4DED-8815-ACB849B39E1A}" name="ctc_com_lb"/>
    <tableColumn id="14" xr3:uid="{704865D3-AB7F-431F-BC55-FC54BFF1BA9F}" name="ctc_com_pe"/>
    <tableColumn id="15" xr3:uid="{68BB12A7-0ED8-4BC6-AE13-DC52B805AFB9}" name="ctc_com_ub"/>
    <tableColumn id="16" xr3:uid="{55397685-2BF7-4020-A051-4E2D5CBBCE42}" name="qhw_map_lb" dataDxfId="5"/>
    <tableColumn id="17" xr3:uid="{158EF553-0B4F-4653-BC38-3007E70A0146}" name="qhw_map_pe" dataDxfId="4"/>
    <tableColumn id="18" xr3:uid="{3ABBCE9D-77CA-4989-9E2E-5DD58ECD6B5A}" name="qhw_map_ub" dataDxfId="3"/>
    <tableColumn id="19" xr3:uid="{81073FE6-EAA5-47D5-9393-3CBB73E8F46E}" name="lhw_map_lb" dataDxfId="2"/>
    <tableColumn id="20" xr3:uid="{FB842473-8A0F-49D7-8A70-CA9DFE3A187B}" name="lhw_map_pe" dataDxfId="1"/>
    <tableColumn id="21" xr3:uid="{678EDA02-EBB4-4A4B-8DA2-EC13A2E52968}" name="lhw_map_ub" dataDxfId="0"/>
    <tableColumn id="22" xr3:uid="{BC1018E7-3B2C-4EB1-821F-64F67F06F3C0}" name="outreach" dataDxfId="11"/>
    <tableColumn id="23" xr3:uid="{BDA473C6-BED1-4675-82E4-D1B394CC2CA5}" name="c_C_lb" dataDxfId="12"/>
    <tableColumn id="24" xr3:uid="{3B6422FE-1A48-4A2B-9AEA-4B43A23CDA21}" name="c_CC_lb" dataDxfId="233"/>
    <tableColumn id="25" xr3:uid="{0B9F523A-EC2D-4335-B3A0-37BB88FBCF5D}" name="c_DC_lb" dataDxfId="232"/>
    <tableColumn id="26" xr3:uid="{3BC42EE8-1BDF-46F1-8DD7-5532066E9BC5}" name="c_HCC_lb" dataDxfId="231"/>
    <tableColumn id="27" xr3:uid="{3D9781DA-0582-40AD-AFC6-80C179044BE9}" name="c_C_ub" dataDxfId="230"/>
    <tableColumn id="28" xr3:uid="{10BEBF6A-2CF7-41AB-97BC-37724F9B6AB1}" name="c_CC_ub" dataDxfId="229"/>
    <tableColumn id="29" xr3:uid="{49E28AB8-5E21-4651-9EBB-58357377789C}" name="c_DC_ub" dataDxfId="228"/>
    <tableColumn id="30" xr3:uid="{55C2EBFF-7391-4E26-B3DE-D80062009D2D}" name="c_HCC_ub" dataDxfId="227"/>
    <tableColumn id="31" xr3:uid="{A7651D05-6D16-4956-BC9F-9FF82E6AFBC6}" name="diag_lb"/>
    <tableColumn id="32" xr3:uid="{B2A14D51-610E-4DCD-B9EA-94F45CBF2F64}" name="wtp_thresh" dataDxfId="226">
      <calculatedColumnFormula>IFERROR(VLOOKUP($A2,[1]!Table16[#Data],5,FALSE),0)</calculatedColumnFormula>
    </tableColumn>
    <tableColumn id="33" xr3:uid="{0D6F99B3-EBFF-4301-B08E-C71A21F054C2}" name="0.5_gdp" dataDxfId="225">
      <calculatedColumnFormula>IFERROR(VLOOKUP($A2,[1]!Table16[#Data],2,FALSE),0)</calculatedColumnFormula>
    </tableColumn>
    <tableColumn id="34" xr3:uid="{0A83AA4D-BC9E-4925-B079-26AEE757BBFA}" name="1_gdp" dataDxfId="224">
      <calculatedColumnFormula>IFERROR(VLOOKUP($A2,[1]!Table16[#Data],3,FALSE),0)</calculatedColumnFormula>
    </tableColumn>
    <tableColumn id="35" xr3:uid="{EC061028-C4A4-4EDF-A434-777927C89FCF}" name="3_gdp" dataDxfId="223">
      <calculatedColumnFormula>IFERROR(VLOOKUP($A2,[1]!Table16[#Data],4,FALSE),0)</calculatedColumnFormula>
    </tableColumn>
    <tableColumn id="36" xr3:uid="{F4226449-4B62-420D-B06C-5BCF168F6849}" name="cov_impute" dataDxfId="222">
      <calculatedColumnFormula>IF($H2=0, "Yes", "No")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561804-3AD0-4ACD-A96A-DB1FEC99EB5D}" name="Table7" displayName="Table7" ref="A1:AJ8" totalsRowShown="0" headerRowDxfId="18">
  <autoFilter ref="A1:AJ8" xr:uid="{89561804-3AD0-4ACD-A96A-DB1FEC99EB5D}"/>
  <tableColumns count="36">
    <tableColumn id="1" xr3:uid="{5FB5D9A6-5BE7-404D-B5E4-C2DD605E5E9C}" name="setting"/>
    <tableColumn id="2" xr3:uid="{AA945059-DFEF-4507-8EFA-1375AE2F2D1A}" name="iso3"/>
    <tableColumn id="3" xr3:uid="{CE6447D3-80B4-4AFD-AC14-DC53122A8C6D}" name="num"/>
    <tableColumn id="4" xr3:uid="{D26ABBE4-E519-4558-9B55-006EC723073D}" name="who_region"/>
    <tableColumn id="5" xr3:uid="{A5B7CDB8-A38F-401B-A7E5-2DB708587EC7}" name="gbd_region"/>
    <tableColumn id="6" xr3:uid="{BADADEC3-0BCE-4295-A6B8-8D9A0C5F90D2}" name="gbd_super"/>
    <tableColumn id="7" xr3:uid="{E4E65D7E-B6E9-40E9-9AF6-BC6442C9ED06}" name="wb_class"/>
    <tableColumn id="8" xr3:uid="{1B10C4F9-0921-4EE5-9465-7F3A5255625E}" name="bd_cov"/>
    <tableColumn id="9" xr3:uid="{06280F21-218B-4730-B4ED-237945F26A3D}" name="supp_chain"/>
    <tableColumn id="10" xr3:uid="{897121A3-9CCB-4691-8E2C-B7E7BC3609D4}" name="cold_com_lb"/>
    <tableColumn id="11" xr3:uid="{418754FB-48A3-457F-87D8-3FA6224FE419}" name="cold_com_pe"/>
    <tableColumn id="12" xr3:uid="{0C5C1634-24CC-4832-96DC-7847E983ED00}" name="cold_com_ub"/>
    <tableColumn id="13" xr3:uid="{1A0CF102-B266-4661-9BD9-463D17EAC3EC}" name="ctc_com_lb"/>
    <tableColumn id="14" xr3:uid="{58779C86-E195-4276-AA75-70DC4A9CA250}" name="ctc_com_pe"/>
    <tableColumn id="15" xr3:uid="{1F724316-E835-47D3-85FC-F74D46E84ADA}" name="ctc_com_ub"/>
    <tableColumn id="16" xr3:uid="{F8521E15-87A0-474E-A976-1268B8C1023E}" name="qhw_map_lb"/>
    <tableColumn id="17" xr3:uid="{F89D0FB2-A5E9-4798-A11B-9B836A6E573D}" name="qhw_map_pe"/>
    <tableColumn id="18" xr3:uid="{82146554-3E4B-409B-A85B-C856799BA961}" name="qhw_map_ub"/>
    <tableColumn id="19" xr3:uid="{955D55BF-BEBB-46F3-A98E-2E0103B4CDE1}" name="lhw_map_lb"/>
    <tableColumn id="20" xr3:uid="{5EF97676-004A-4094-95A7-3F3085D0A38A}" name="lhw_map_pe"/>
    <tableColumn id="21" xr3:uid="{692C775C-7129-4090-B7A9-4A03D13EEDB9}" name="lhw_map_ub"/>
    <tableColumn id="22" xr3:uid="{E982A5F8-38CA-44AF-9E96-70D66694ED91}" name="outreach"/>
    <tableColumn id="23" xr3:uid="{EB46B71F-881B-4D5B-AC9C-FD3885582669}" name="c_C_lb" dataDxfId="17"/>
    <tableColumn id="24" xr3:uid="{E43ABBFD-4352-4B02-A021-13C6FE373F30}" name="c_CC_lb"/>
    <tableColumn id="25" xr3:uid="{A1ED71A6-65DF-4DC0-AA06-E04202E9D1B1}" name="c_DC_lb"/>
    <tableColumn id="26" xr3:uid="{EF2916C8-9D24-42E8-AD8A-1223D664FF19}" name="c_HCC_lb"/>
    <tableColumn id="27" xr3:uid="{C55FB48B-2E8E-4C0B-B197-90832CB1E89B}" name="c_C_ub" dataDxfId="13"/>
    <tableColumn id="28" xr3:uid="{575F35FB-6A60-4C2F-A594-3CA212382C1E}" name="c_CC_ub" dataDxfId="16"/>
    <tableColumn id="29" xr3:uid="{D9ABF6AD-65B3-4309-A2A5-AEF55CAC1A74}" name="c_DC_ub" dataDxfId="15"/>
    <tableColumn id="30" xr3:uid="{1B39C5A3-6A21-44ED-9739-4CB03715AC8C}" name="c_HCC_ub" dataDxfId="14"/>
    <tableColumn id="31" xr3:uid="{771F026D-311C-4023-ABD3-61C3D55B3994}" name="diag_lb"/>
    <tableColumn id="32" xr3:uid="{6E36BE8D-C93D-49B6-A092-737294A48556}" name="wtp_thresh"/>
    <tableColumn id="33" xr3:uid="{6BB8EBC1-C66D-4A2F-9984-1ACD6ABF1A9D}" name="0.5_gdp"/>
    <tableColumn id="34" xr3:uid="{3DA7B9D3-8E1C-40C4-BBB9-7E996288A415}" name="1_gdp"/>
    <tableColumn id="35" xr3:uid="{EE9D3F60-CC7C-4223-926D-8856192A44F5}" name="3_gdp"/>
    <tableColumn id="36" xr3:uid="{804FA212-D998-48DF-A32E-E8485F391E5C}" name="cov_impu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87A12-0C0B-4B5D-A5B9-FFD19628962E}" name="raw" displayName="raw" ref="A1:AX138" totalsRowCount="1" headerRowDxfId="221">
  <autoFilter ref="A1:AX137" xr:uid="{05887A12-0C0B-4B5D-A5B9-FFD19628962E}"/>
  <tableColumns count="50">
    <tableColumn id="1" xr3:uid="{5CA399DC-B2BC-495E-8CDF-0257B0F1F64A}" name="setting"/>
    <tableColumn id="2" xr3:uid="{D6A6C2B2-71DE-40CC-86CE-7F0F22B250E4}" name="iso3"/>
    <tableColumn id="3" xr3:uid="{5A09F52D-DD1C-4A1D-AACB-40BC893B1E0F}" name="num"/>
    <tableColumn id="4" xr3:uid="{28DC1EC7-46A8-4EFC-9304-DD995D732086}" name="who_region"/>
    <tableColumn id="5" xr3:uid="{E06CD387-3694-4417-83AB-E6C7F46EFAB0}" name="gbd_region"/>
    <tableColumn id="6" xr3:uid="{0730039D-07AC-4BC5-B394-AD7805D4E600}" name="gbd_super"/>
    <tableColumn id="7" xr3:uid="{2782A114-A126-4F7C-B223-644D8067BD8A}" name="wb_class"/>
    <tableColumn id="8" xr3:uid="{65BFC8FE-BE4F-4DA1-A451-0A377AB3994B}" name="pop" dataDxfId="220" totalsRowDxfId="219" dataCellStyle="Comma"/>
    <tableColumn id="9" xr3:uid="{5DCBBE3E-CD0B-442F-AF5D-CE77B6A0FED7}" name="births" dataDxfId="218" totalsRowDxfId="217" dataCellStyle="Comma"/>
    <tableColumn id="10" xr3:uid="{8885A3CB-8C9A-49FE-BA92-0E04CDA2FD0B}" name="fac_birth"/>
    <tableColumn id="11" xr3:uid="{A142C047-0809-498B-A57E-5B294CC77512}" name="bd_cov" dataDxfId="216" totalsRowDxfId="215"/>
    <tableColumn id="12" xr3:uid="{33516A07-E4A6-4041-9BD2-D8515BEE48BF}" name="hbv3_cov" dataDxfId="214" totalsRowDxfId="213"/>
    <tableColumn id="13" xr3:uid="{A1472E4D-D016-4E9C-B849-7E1E7369BACB}" name="hbv_prev" dataDxfId="212"/>
    <tableColumn id="14" xr3:uid="{2E7EA1B4-75C8-49EB-978C-A3C9A4CD6B3F}" name="hbe_prev"/>
    <tableColumn id="15" xr3:uid="{1CA10DB1-9885-4F39-99CD-40D8B01AFDF6}" name="epos"/>
    <tableColumn id="16" xr3:uid="{90803E9A-DECA-401F-B8D3-3C2635E07669}" name="eneg" dataDxfId="211" totalsRowDxfId="210">
      <calculatedColumnFormula>VLOOKUP($F2,[2]!hbe_risk[#All],5,FALSE)</calculatedColumnFormula>
    </tableColumn>
    <tableColumn id="17" xr3:uid="{A31FB18E-4DBC-47AB-AA5A-CDCFDE606746}" name="c_diag" dataDxfId="209" totalsRowDxfId="208"/>
    <tableColumn id="18" xr3:uid="{ECAF15B9-5939-4A73-B3A1-6CAABDC14024}" name="c_C" dataDxfId="207" totalsRowDxfId="206"/>
    <tableColumn id="19" xr3:uid="{3350C171-C174-4EE3-A46F-6973482582F0}" name="c_CC" dataDxfId="205" totalsRowDxfId="204"/>
    <tableColumn id="20" xr3:uid="{690A630D-D20D-4E0B-AE8F-9F2B4C409F1E}" name="c_DC" dataDxfId="203" totalsRowDxfId="202"/>
    <tableColumn id="21" xr3:uid="{3F3353BA-4C19-4A66-A027-FD98F172771F}" name="c_HCC" dataDxfId="201" totalsRowDxfId="200"/>
    <tableColumn id="22" xr3:uid="{54A39A50-3546-4B24-BF77-50CEE5DB89A0}" name="bl1_f" dataDxfId="199"/>
    <tableColumn id="23" xr3:uid="{6AF9BAD8-B4F3-4250-9DE6-C3FD721F9557}" name="bl1_c" dataDxfId="198"/>
    <tableColumn id="24" xr3:uid="{A041FEC2-18D8-4075-97E5-7F7F334BDE96}" name="map_f" dataDxfId="197"/>
    <tableColumn id="25" xr3:uid="{8F3F82CC-4634-4C7E-9D5D-AAB1D94535C5}" name="map_cq" dataDxfId="196"/>
    <tableColumn id="26" xr3:uid="{F09FD7A0-5008-4496-94E2-5CA399CE8865}" name="map_cl" dataDxfId="195"/>
    <tableColumn id="27" xr3:uid="{2177ED85-C6E2-4816-9B1F-3D90B0E4FA0D}" name="ctc_f" dataDxfId="194"/>
    <tableColumn id="28" xr3:uid="{5EE09C40-FCA2-49DE-96CF-A2DD30E8678D}" name="ctc_c" dataDxfId="193"/>
    <tableColumn id="29" xr3:uid="{3DDB45FA-ADD7-48FF-A1F7-2CAFF59FC7A1}" name="m_01" dataDxfId="192" totalsRowDxfId="191"/>
    <tableColumn id="30" xr3:uid="{2DD9DBF8-61BF-4AE1-8D23-57546E2E925C}" name="m_14" dataDxfId="190" totalsRowDxfId="189"/>
    <tableColumn id="31" xr3:uid="{F987E37B-9E9A-4205-985C-BED281FB9244}" name="m_59" dataDxfId="188" totalsRowDxfId="187"/>
    <tableColumn id="32" xr3:uid="{791D5B13-C574-417C-AD90-0FC3796D73AF}" name="m_1014" dataDxfId="186" totalsRowDxfId="185"/>
    <tableColumn id="33" xr3:uid="{ED9C13ED-A5A4-4739-92E4-B2B685EADBBB}" name="m_1519" dataDxfId="184" totalsRowDxfId="183"/>
    <tableColumn id="34" xr3:uid="{A05253F0-15E3-48A4-B886-97E78E8A0506}" name="m_2024" dataDxfId="182" totalsRowDxfId="181"/>
    <tableColumn id="35" xr3:uid="{EC60F8EA-BF6F-4387-ACA6-39408E0C08D9}" name="m_2529" dataDxfId="180" totalsRowDxfId="179"/>
    <tableColumn id="36" xr3:uid="{5410E6E2-B87D-46C6-8EC5-9C743C29C8C4}" name="m_3034" dataDxfId="178" totalsRowDxfId="177"/>
    <tableColumn id="37" xr3:uid="{59FCAFAC-CA9F-4BE8-AB2C-95029BDBA741}" name="m_3539" dataDxfId="176" totalsRowDxfId="175"/>
    <tableColumn id="38" xr3:uid="{6E1AC5E2-9B90-4B71-9193-69A148690561}" name="m_4044" dataDxfId="174" totalsRowDxfId="173"/>
    <tableColumn id="39" xr3:uid="{39B00BAB-D06B-4172-AAF2-BC8956C637DA}" name="m_4549" dataDxfId="172" totalsRowDxfId="171"/>
    <tableColumn id="40" xr3:uid="{08D25645-633B-46E9-9C14-53ACD7308AB3}" name="m_5054" dataDxfId="170" totalsRowDxfId="169"/>
    <tableColumn id="41" xr3:uid="{DD845E8A-0714-4DC4-BD0A-DC37D1BB8777}" name="m_5559" dataDxfId="168" totalsRowDxfId="167"/>
    <tableColumn id="42" xr3:uid="{9CDE5340-FCFB-419F-9E3D-322578EB91ED}" name="m_6064" dataDxfId="166" totalsRowDxfId="165"/>
    <tableColumn id="43" xr3:uid="{F0028382-2E9F-4E71-848B-EAF566DF338E}" name="m_6569" dataDxfId="164" totalsRowDxfId="163"/>
    <tableColumn id="44" xr3:uid="{EC0D4875-B92C-472B-82D5-C5C34675DB7A}" name="m_7074" dataDxfId="162" totalsRowDxfId="161"/>
    <tableColumn id="45" xr3:uid="{E0181A99-9EF6-48E9-B24D-1BA52CE84C1C}" name="m_7079" dataDxfId="160" totalsRowDxfId="159"/>
    <tableColumn id="46" xr3:uid="{B50E8582-B294-42AC-8E8B-387957B264BB}" name="m_8084" dataDxfId="158" totalsRowDxfId="157"/>
    <tableColumn id="47" xr3:uid="{9263DA39-DAD7-4775-8B63-807CFA247A66}" name="m_8589" dataDxfId="156" totalsRowDxfId="155"/>
    <tableColumn id="48" xr3:uid="{1728579C-43D9-49FD-99C4-CE44D44F6549}" name="m_9094" dataDxfId="154" totalsRowDxfId="153"/>
    <tableColumn id="49" xr3:uid="{A3E46A16-CCE9-47E3-8395-59D19A3AF0B4}" name="m_95+" dataDxfId="152" totalsRowDxfId="151"/>
    <tableColumn id="50" xr3:uid="{529991B1-65FC-4AF0-95EF-461F7B6BE053}" name="av_life" dataDxfId="150" totalsRowDxfId="1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98907-6A3D-44DC-82E2-CDF50AF3F6FC}" name="raw_lb" displayName="raw_lb" ref="A139:AX275" totalsRowShown="0" headerRowDxfId="148">
  <autoFilter ref="A139:AX275" xr:uid="{EE198907-6A3D-44DC-82E2-CDF50AF3F6FC}"/>
  <tableColumns count="50">
    <tableColumn id="1" xr3:uid="{B31DF6A5-8D75-408B-9D8B-6F6A4A5F67CD}" name="setting"/>
    <tableColumn id="2" xr3:uid="{EACF80D2-E416-411E-8867-85F87AB6C9D1}" name="iso3"/>
    <tableColumn id="3" xr3:uid="{7807783E-4248-4948-9E22-12F7C69D802A}" name="num"/>
    <tableColumn id="4" xr3:uid="{4924202D-30B9-462D-A0C0-38B4AEAA5B9C}" name="who_region"/>
    <tableColumn id="5" xr3:uid="{8EFA0F37-56F7-4130-B6FF-E91C5C811382}" name="gbd_region"/>
    <tableColumn id="6" xr3:uid="{30B22FB2-9B1F-4E71-B08A-59412F33B341}" name="gbd_super"/>
    <tableColumn id="7" xr3:uid="{F7CBA8D7-32C9-4520-833A-C4BD164E36CD}" name="wb_class"/>
    <tableColumn id="8" xr3:uid="{153040F9-162A-4F63-82C6-02AD3BF38AFA}" name="pop"/>
    <tableColumn id="9" xr3:uid="{94EC15E2-4E23-4FCB-A5D5-730624E6C190}" name="births"/>
    <tableColumn id="10" xr3:uid="{2062E7A7-97E3-4CCE-834B-D654FCD7629C}" name="fac_birth" dataDxfId="147">
      <calculatedColumnFormula>VLOOKUP(raw_lb[[#This Row],[setting]],raw[],10,FALSE)*(1-interactive!$C$7)</calculatedColumnFormula>
    </tableColumn>
    <tableColumn id="11" xr3:uid="{55C4867D-960A-476E-91A4-F998C6D687FA}" name="bd_cov" dataDxfId="146">
      <calculatedColumnFormula>VLOOKUP(raw_lb[[#This Row],[setting]],raw[],11,FALSE)*(1-interactive!$C$7)</calculatedColumnFormula>
    </tableColumn>
    <tableColumn id="12" xr3:uid="{3135024B-9807-4DDE-B78F-40A8E7A15B58}" name="hbv3_cov" dataDxfId="145">
      <calculatedColumnFormula>VLOOKUP(raw_lb[[#This Row],[setting]],raw[],12,FALSE)*(1-interactive!$C$7)</calculatedColumnFormula>
    </tableColumn>
    <tableColumn id="13" xr3:uid="{182CAD57-0A41-427B-88E9-62E5FA1D5CB3}" name="hbv_prev" dataDxfId="144"/>
    <tableColumn id="14" xr3:uid="{F6664AE9-E3B6-4574-B578-D7A02B1C9CD6}" name="hbe_prev" dataDxfId="143"/>
    <tableColumn id="15" xr3:uid="{C04C79AF-95D3-4559-BFDB-ED30B4281022}" name="epos" dataDxfId="142"/>
    <tableColumn id="16" xr3:uid="{F71F658D-5619-4562-B946-74F3E88ED1BA}" name="eneg" dataDxfId="141"/>
    <tableColumn id="17" xr3:uid="{B0BEF55B-22F6-478C-9B5B-897DF0FAA61A}" name="c_diag" dataDxfId="140"/>
    <tableColumn id="18" xr3:uid="{B73D25BB-FBFC-44D1-88DE-5E2E72FC1408}" name="c_C" dataDxfId="139"/>
    <tableColumn id="19" xr3:uid="{7E52FB14-E358-4822-A3AB-1A10272FA8FA}" name="c_CC" dataDxfId="138"/>
    <tableColumn id="20" xr3:uid="{928626CE-93DE-4F0E-86FA-0417E6B8F9D5}" name="c_DC" dataDxfId="137"/>
    <tableColumn id="21" xr3:uid="{C6772D12-4868-4988-9CA8-6123B97C0510}" name="c_HCC" dataDxfId="136"/>
    <tableColumn id="22" xr3:uid="{7B4B33C3-6E61-41EA-8F02-7BD07589E09D}" name="bl1_f" dataDxfId="135"/>
    <tableColumn id="23" xr3:uid="{F6304470-76C1-49AB-B55D-B5EAF60BD0DA}" name="bl1_c" dataDxfId="134"/>
    <tableColumn id="24" xr3:uid="{09047A88-C508-4AED-BFA1-BC01910D98F7}" name="map_f" dataDxfId="133"/>
    <tableColumn id="25" xr3:uid="{A5E5D8CF-8B1A-486E-8557-1DCFD00E5A2B}" name="map_cq" dataDxfId="132"/>
    <tableColumn id="26" xr3:uid="{8F0C3C2D-760C-47EF-8E5B-317C2FD9215E}" name="map_cl" dataDxfId="131"/>
    <tableColumn id="27" xr3:uid="{5518409D-27A2-4F56-9B80-781ECB46A88C}" name="ctc_f" dataDxfId="130"/>
    <tableColumn id="28" xr3:uid="{D9B894C1-EAAF-4E51-8A40-6A3D7DC918CE}" name="ctc_c" dataDxfId="129"/>
    <tableColumn id="29" xr3:uid="{609E9806-24FB-444D-875D-F0B9ACA4C9EF}" name="m_01" dataDxfId="128">
      <calculatedColumnFormula>VLOOKUP($A140,raw[],29,FALSE)*(1-interactive!$C$7)</calculatedColumnFormula>
    </tableColumn>
    <tableColumn id="30" xr3:uid="{07DF3DEE-F2E8-43E4-9E81-0E2899EB58EC}" name="m_14" dataDxfId="127">
      <calculatedColumnFormula>VLOOKUP($A140,raw[],30,FALSE)*(1-interactive!$C$7)</calculatedColumnFormula>
    </tableColumn>
    <tableColumn id="31" xr3:uid="{66D3A124-0D2A-4DCA-8D9C-5A6F6BEBE6FD}" name="m_59" dataDxfId="126">
      <calculatedColumnFormula>VLOOKUP($A140,raw[],31,FALSE)*(1-interactive!$C$7)</calculatedColumnFormula>
    </tableColumn>
    <tableColumn id="32" xr3:uid="{94D7DA9D-66E9-4096-98BF-A97AFC0291A3}" name="m_1014" dataDxfId="125">
      <calculatedColumnFormula>VLOOKUP($A140,raw[],32,FALSE)*(1-interactive!$C$7)</calculatedColumnFormula>
    </tableColumn>
    <tableColumn id="33" xr3:uid="{A9372AB5-10FF-4E67-A5A9-C2B04DA85612}" name="m_1519" dataDxfId="124">
      <calculatedColumnFormula>VLOOKUP($A140,raw[],33,FALSE)*(1-interactive!$C$7)</calculatedColumnFormula>
    </tableColumn>
    <tableColumn id="34" xr3:uid="{65B3CC42-FED8-4AC1-B8E6-515DF105E205}" name="m_2024" dataDxfId="123">
      <calculatedColumnFormula>VLOOKUP($A140,raw[],34,FALSE)*(1-interactive!$C$7)</calculatedColumnFormula>
    </tableColumn>
    <tableColumn id="35" xr3:uid="{8D1B44E9-9B31-43C6-A638-CC8A1492B08A}" name="m_2529" dataDxfId="122">
      <calculatedColumnFormula>VLOOKUP($A140,raw[],35,FALSE)*(1-interactive!$C$7)</calculatedColumnFormula>
    </tableColumn>
    <tableColumn id="36" xr3:uid="{1CAC8CB0-89DA-4873-B56E-750053BE7B17}" name="m_3034" dataDxfId="121">
      <calculatedColumnFormula>VLOOKUP($A140,raw[],36,FALSE)*(1-interactive!$C$7)</calculatedColumnFormula>
    </tableColumn>
    <tableColumn id="37" xr3:uid="{8CF11243-03E2-49B5-8B6E-731537792842}" name="m_3539" dataDxfId="120">
      <calculatedColumnFormula>VLOOKUP($A140,raw[],37,FALSE)*(1-interactive!$C$7)</calculatedColumnFormula>
    </tableColumn>
    <tableColumn id="38" xr3:uid="{5F3CB6A9-A621-4BE9-B0B9-E3468655F786}" name="m_4044" dataDxfId="119">
      <calculatedColumnFormula>VLOOKUP($A140,raw[],38,FALSE)*(1-interactive!$C$7)</calculatedColumnFormula>
    </tableColumn>
    <tableColumn id="39" xr3:uid="{124F4FF0-0D58-4BA6-9D13-ABACD82B18FE}" name="m_4549" dataDxfId="118">
      <calculatedColumnFormula>VLOOKUP($A140,raw[],39,FALSE)*(1-interactive!$C$7)</calculatedColumnFormula>
    </tableColumn>
    <tableColumn id="40" xr3:uid="{7A3B8C00-AA80-4119-A916-22A8B0628674}" name="m_5054" dataDxfId="117">
      <calculatedColumnFormula>VLOOKUP($A140,raw[],40,FALSE)*(1-interactive!$C$7)</calculatedColumnFormula>
    </tableColumn>
    <tableColumn id="41" xr3:uid="{762528B4-B621-460C-B7C0-4132ABE8ED6E}" name="m_5559" dataDxfId="116">
      <calculatedColumnFormula>VLOOKUP($A140,raw[],41,FALSE)*(1-interactive!$C$7)</calculatedColumnFormula>
    </tableColumn>
    <tableColumn id="42" xr3:uid="{347847AB-11ED-4476-BE58-E4FF66B07774}" name="m_6064" dataDxfId="115">
      <calculatedColumnFormula>VLOOKUP($A140,raw[],42,FALSE)*(1-interactive!$C$7)</calculatedColumnFormula>
    </tableColumn>
    <tableColumn id="43" xr3:uid="{15E32EE0-2177-46D1-B81C-878B54FF7789}" name="m_6569" dataDxfId="114">
      <calculatedColumnFormula>VLOOKUP($A140,raw[],43,FALSE)*(1-interactive!$C$7)</calculatedColumnFormula>
    </tableColumn>
    <tableColumn id="44" xr3:uid="{5FECB68D-8C77-482A-B449-68862408B5DB}" name="m_7074" dataDxfId="113">
      <calculatedColumnFormula>VLOOKUP($A140,raw[],44,FALSE)*(1-interactive!$C$7)</calculatedColumnFormula>
    </tableColumn>
    <tableColumn id="45" xr3:uid="{FD464B22-F5A0-4B5C-ADEA-FA904D5B83EC}" name="m_7079" dataDxfId="112">
      <calculatedColumnFormula>VLOOKUP($A140,raw[],45,FALSE)*(1-interactive!$C$7)</calculatedColumnFormula>
    </tableColumn>
    <tableColumn id="46" xr3:uid="{AF98BD61-34D6-41AE-9C83-C4489DBC42DC}" name="m_8084" dataDxfId="111">
      <calculatedColumnFormula>VLOOKUP($A140,raw[],46,FALSE)*(1-interactive!$C$7)</calculatedColumnFormula>
    </tableColumn>
    <tableColumn id="47" xr3:uid="{E811C164-F5AD-4D17-8968-D68CF9D7582A}" name="m_8589" dataDxfId="110">
      <calculatedColumnFormula>VLOOKUP($A140,raw[],47,FALSE)*(1-interactive!$C$7)</calculatedColumnFormula>
    </tableColumn>
    <tableColumn id="48" xr3:uid="{7BF512FC-68E6-429A-90F4-78E14F564478}" name="m_9094" dataDxfId="109">
      <calculatedColumnFormula>VLOOKUP($A140,raw[],48,FALSE)*(1-interactive!$C$7)</calculatedColumnFormula>
    </tableColumn>
    <tableColumn id="49" xr3:uid="{F03BE3BF-BEB8-4EF9-96E0-AD5A87052730}" name="m_95+" dataDxfId="108">
      <calculatedColumnFormula>VLOOKUP($A140,raw[],49,FALSE)*(1-interactive!$C$7)</calculatedColumnFormula>
    </tableColumn>
    <tableColumn id="50" xr3:uid="{E622D68B-F46D-4171-AB12-EC92BC547AFB}" name="av_life" dataDxfId="107">
      <calculatedColumnFormula>VLOOKUP($A140,raw[],50,FALSE)*(1-interactive!$C$7)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45EF59-9F55-4436-8122-FCAF08EBAFEA}" name="raw_ub" displayName="raw_ub" ref="A277:AX413" totalsRowShown="0" headerRowDxfId="106">
  <autoFilter ref="A277:AX413" xr:uid="{4745EF59-9F55-4436-8122-FCAF08EBAFEA}"/>
  <tableColumns count="50">
    <tableColumn id="1" xr3:uid="{C8679B32-503B-4A9A-AF20-CFCF00F16D40}" name="setting" dataDxfId="105"/>
    <tableColumn id="2" xr3:uid="{AF8675D4-7687-400B-AF6E-2E4DF1C702E0}" name="iso3" dataDxfId="104"/>
    <tableColumn id="3" xr3:uid="{F3502938-3F8D-453C-91CB-3DAED8B2EA7C}" name="num" dataDxfId="103"/>
    <tableColumn id="4" xr3:uid="{06DBFAE7-743D-411E-96B9-0B819DF83956}" name="who_region" dataDxfId="102"/>
    <tableColumn id="5" xr3:uid="{6E61FC85-F801-4D5A-9C8E-915E43D70292}" name="gbd_region" dataDxfId="101"/>
    <tableColumn id="6" xr3:uid="{BAB30195-8911-479D-8B7A-B324657AEFEB}" name="gbd_super" dataDxfId="100"/>
    <tableColumn id="7" xr3:uid="{AA9811DC-7E4E-432F-8372-A39E1C2F239C}" name="wb_class" dataDxfId="99"/>
    <tableColumn id="8" xr3:uid="{BA0A6133-184D-40D9-96B7-5AAAE74B2471}" name="pop"/>
    <tableColumn id="9" xr3:uid="{3960ACED-1342-44B1-BE8E-771A5CF9C844}" name="births"/>
    <tableColumn id="10" xr3:uid="{3A0E7790-9A9F-48B7-B842-10FA3CF6D612}" name="fac_birth" dataDxfId="98">
      <calculatedColumnFormula>MIN(VLOOKUP($A278,raw[],10,FALSE)*(1+interactive!$C$7),0.999)</calculatedColumnFormula>
    </tableColumn>
    <tableColumn id="11" xr3:uid="{38802240-A423-47AF-AD37-C68D6D8C023E}" name="bd_cov" dataDxfId="97">
      <calculatedColumnFormula>MIN(VLOOKUP($A278,raw[],11,FALSE)*(1+interactive!$C$7),0.999)</calculatedColumnFormula>
    </tableColumn>
    <tableColumn id="12" xr3:uid="{5CE0AC7E-29B8-4442-92E2-AA72D023D83D}" name="hbv3_cov" dataDxfId="96">
      <calculatedColumnFormula>MIN(VLOOKUP($A278,raw[],12,FALSE)*(1+interactive!$C$7),0.999)</calculatedColumnFormula>
    </tableColumn>
    <tableColumn id="13" xr3:uid="{72F4A177-9184-4DEC-BD7F-7A65A213EA85}" name="hbv_prev" dataDxfId="95"/>
    <tableColumn id="14" xr3:uid="{3221EAAA-9B3E-4D8C-A68A-763904A2CFA9}" name="hbe_prev" dataDxfId="94">
      <calculatedColumnFormula>IFERROR(VLOOKUP($A278,[2]!hbe_prev[#Data],5,FALSE),0)</calculatedColumnFormula>
    </tableColumn>
    <tableColumn id="15" xr3:uid="{B7E6622F-1687-4095-9776-D5A9B88ECC54}" name="epos" dataDxfId="93">
      <calculatedColumnFormula>VLOOKUP($F278,[2]!hbe_risk[#All],4,FALSE)</calculatedColumnFormula>
    </tableColumn>
    <tableColumn id="16" xr3:uid="{4395FE4C-36BE-4E8E-8A86-FD70F99E7BB3}" name="eneg" dataDxfId="92">
      <calculatedColumnFormula>VLOOKUP($F278,[2]!hbe_risk[#All],7,FALSE)</calculatedColumnFormula>
    </tableColumn>
    <tableColumn id="17" xr3:uid="{27C8BF73-D428-4900-97F0-05EC12226799}" name="c_diag" dataDxfId="91"/>
    <tableColumn id="18" xr3:uid="{A66E36CA-0203-4BE6-A983-660A23FD41DE}" name="c_C" dataDxfId="90"/>
    <tableColumn id="19" xr3:uid="{89642907-910F-4ED8-B2DD-5211C6C209CD}" name="c_CC" dataDxfId="89"/>
    <tableColumn id="20" xr3:uid="{D4BFB449-1554-4ACC-8024-11EF829E49B2}" name="c_DC" dataDxfId="88"/>
    <tableColumn id="21" xr3:uid="{39DABE6C-D649-4FAE-82AC-E6589080D37D}" name="c_HCC" dataDxfId="87"/>
    <tableColumn id="22" xr3:uid="{8266124E-4BF9-426D-A434-9E783C009158}" name="bl1_f" dataDxfId="86"/>
    <tableColumn id="23" xr3:uid="{64A92CE7-D351-45F7-AB49-C8F2EE746896}" name="bl1_c" dataDxfId="85"/>
    <tableColumn id="24" xr3:uid="{8D26C6D6-5FD2-44DB-9C00-8EECCD0A45D7}" name="map_f" dataDxfId="84"/>
    <tableColumn id="25" xr3:uid="{EB5878A5-C892-4FA8-A0F1-6CFC2A9F117F}" name="map_cq" dataDxfId="83"/>
    <tableColumn id="26" xr3:uid="{4A3DF264-F939-471E-BCAD-293B9F32F751}" name="map_cl" dataDxfId="82"/>
    <tableColumn id="27" xr3:uid="{3494A364-0074-4DA9-BFF0-09846DB79ACC}" name="ctc_f" dataDxfId="81"/>
    <tableColumn id="28" xr3:uid="{D789C6E5-1EC6-4488-92C5-E1903F5E86E7}" name="ctc_c" dataDxfId="80"/>
    <tableColumn id="29" xr3:uid="{4DA987AD-7C3D-4EC9-8E65-A27A9EE6FB65}" name="m_01" dataDxfId="79">
      <calculatedColumnFormula>VLOOKUP($A278,raw[],29,FALSE)*(1+interactive!$C$7)</calculatedColumnFormula>
    </tableColumn>
    <tableColumn id="30" xr3:uid="{E12C9A0E-1152-4FC5-A333-023FF178BCF7}" name="m_14" dataDxfId="78">
      <calculatedColumnFormula>VLOOKUP($A278,raw[],30,FALSE)*(1+interactive!$C$7)</calculatedColumnFormula>
    </tableColumn>
    <tableColumn id="31" xr3:uid="{1EFE51A3-F460-4D62-B72E-F74E5F48A0B9}" name="m_59" dataDxfId="77">
      <calculatedColumnFormula>VLOOKUP($A278,raw[],31,FALSE)*(1+interactive!$C$7)</calculatedColumnFormula>
    </tableColumn>
    <tableColumn id="32" xr3:uid="{C71E6A67-8B27-4D8B-AFC1-B025D96B94C7}" name="m_1014" dataDxfId="76">
      <calculatedColumnFormula>VLOOKUP($A278,raw[],32,FALSE)*(1+interactive!$C$7)</calculatedColumnFormula>
    </tableColumn>
    <tableColumn id="33" xr3:uid="{7E2E73A7-02B1-4AE0-AE56-75405711FA5E}" name="m_1519" dataDxfId="75">
      <calculatedColumnFormula>VLOOKUP($A278,raw[],33,FALSE)*(1+interactive!$C$7)</calculatedColumnFormula>
    </tableColumn>
    <tableColumn id="34" xr3:uid="{F92A743A-0C86-44C2-A55A-A7FB92845B3E}" name="m_2024" dataDxfId="74">
      <calculatedColumnFormula>VLOOKUP($A278,raw[],34,FALSE)*(1+interactive!$C$7)</calculatedColumnFormula>
    </tableColumn>
    <tableColumn id="35" xr3:uid="{0D1F25E0-0410-4C3F-ADB8-E07D51FA50F4}" name="m_2529" dataDxfId="73">
      <calculatedColumnFormula>VLOOKUP($A278,raw[],35,FALSE)*(1+interactive!$C$7)</calculatedColumnFormula>
    </tableColumn>
    <tableColumn id="36" xr3:uid="{CE2271A9-6226-4130-8436-E10C0E16A4F6}" name="m_3034" dataDxfId="72">
      <calculatedColumnFormula>VLOOKUP($A278,raw[],36,FALSE)*(1+interactive!$C$7)</calculatedColumnFormula>
    </tableColumn>
    <tableColumn id="37" xr3:uid="{232E8DB3-4729-4679-A00C-BBF470AC761B}" name="m_3539" dataDxfId="71">
      <calculatedColumnFormula>VLOOKUP($A278,raw[],37,FALSE)*(1+interactive!$C$7)</calculatedColumnFormula>
    </tableColumn>
    <tableColumn id="38" xr3:uid="{089DCAC2-4867-47D7-AA64-8F12CB7BBA29}" name="m_4044" dataDxfId="70">
      <calculatedColumnFormula>VLOOKUP($A278,raw[],38,FALSE)*(1+interactive!$C$7)</calculatedColumnFormula>
    </tableColumn>
    <tableColumn id="39" xr3:uid="{DA864A58-3EDA-44ED-BD9B-FC0F673D2ECA}" name="m_4549" dataDxfId="69">
      <calculatedColumnFormula>VLOOKUP($A278,raw[],39,FALSE)*(1+interactive!$C$7)</calculatedColumnFormula>
    </tableColumn>
    <tableColumn id="40" xr3:uid="{F9F01F2D-6462-41F6-939C-0B9C896BB1E8}" name="m_5054" dataDxfId="68">
      <calculatedColumnFormula>VLOOKUP($A278,raw[],40,FALSE)*(1+interactive!$C$7)</calculatedColumnFormula>
    </tableColumn>
    <tableColumn id="41" xr3:uid="{BFF476BB-DF97-4052-AA9F-AF7309D25022}" name="m_5559" dataDxfId="67">
      <calculatedColumnFormula>VLOOKUP($A278,raw[],41,FALSE)*(1+interactive!$C$7)</calculatedColumnFormula>
    </tableColumn>
    <tableColumn id="42" xr3:uid="{15B96EEC-72F6-45C2-AD28-DBE0685ABF06}" name="m_6064" dataDxfId="66">
      <calculatedColumnFormula>VLOOKUP($A278,raw[],42,FALSE)*(1+interactive!$C$7)</calculatedColumnFormula>
    </tableColumn>
    <tableColumn id="43" xr3:uid="{CB1A0B64-324C-4A1D-8852-B3CDFB5D1386}" name="m_6569" dataDxfId="65">
      <calculatedColumnFormula>VLOOKUP($A278,raw[],43,FALSE)*(1+interactive!$C$7)</calculatedColumnFormula>
    </tableColumn>
    <tableColumn id="44" xr3:uid="{8B6F7C92-B8F5-4C42-B24F-CE059BC591DD}" name="m_7074" dataDxfId="64">
      <calculatedColumnFormula>VLOOKUP($A278,raw[],44,FALSE)*(1+interactive!$C$7)</calculatedColumnFormula>
    </tableColumn>
    <tableColumn id="45" xr3:uid="{9F58BDB5-B96D-4BD4-A59B-F13FB13750BB}" name="m_7079" dataDxfId="63">
      <calculatedColumnFormula>VLOOKUP($A278,raw[],45,FALSE)*(1+interactive!$C$7)</calculatedColumnFormula>
    </tableColumn>
    <tableColumn id="46" xr3:uid="{7B86AA32-1421-4071-8CF6-74025C85C13E}" name="m_8084" dataDxfId="62">
      <calculatedColumnFormula>VLOOKUP($A278,raw[],46,FALSE)*(1+interactive!$C$7)</calculatedColumnFormula>
    </tableColumn>
    <tableColumn id="47" xr3:uid="{9E41611E-E373-4AA3-A890-93DC081304BD}" name="m_8589" dataDxfId="61">
      <calculatedColumnFormula>VLOOKUP($A278,raw[],47,FALSE)*(1+interactive!$C$7)</calculatedColumnFormula>
    </tableColumn>
    <tableColumn id="48" xr3:uid="{9BB25FC4-1F5A-4326-BB24-9A7AC3E313DC}" name="m_9094" dataDxfId="60">
      <calculatedColumnFormula>VLOOKUP($A278,raw[],48,FALSE)*(1+interactive!$C$7)</calculatedColumnFormula>
    </tableColumn>
    <tableColumn id="49" xr3:uid="{2E3D23D8-2E35-48C8-BDAF-4BBD80D33862}" name="m_95+" dataDxfId="59">
      <calculatedColumnFormula>VLOOKUP($A278,raw[],49,FALSE)*(1+interactive!$C$7)</calculatedColumnFormula>
    </tableColumn>
    <tableColumn id="50" xr3:uid="{6F050DF0-A788-4AA9-87C4-8AE3C136C99F}" name="av_life" dataDxfId="58">
      <calculatedColumnFormula>VLOOKUP($A278,raw[],50,FALSE)*(1+interactive!$C$7)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munizationdata.who.int/" TargetMode="External"/><Relationship Id="rId2" Type="http://schemas.openxmlformats.org/officeDocument/2006/relationships/hyperlink" Target="https://data.unicef.org/topic/maternal-health/delivery-care/" TargetMode="External"/><Relationship Id="rId1" Type="http://schemas.openxmlformats.org/officeDocument/2006/relationships/hyperlink" Target="http://situatedlaboratories.net/who-hepB-dashboard/sr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munizationdata.who.int/" TargetMode="External"/><Relationship Id="rId4" Type="http://schemas.openxmlformats.org/officeDocument/2006/relationships/hyperlink" Target="https://www.theglobalfund.org/media/5813/ppm_arvreferencepricing_table_en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AD52-442F-45DB-A6FB-3B793E76794D}">
  <dimension ref="A2:V44"/>
  <sheetViews>
    <sheetView workbookViewId="0">
      <selection activeCell="C17" sqref="C17"/>
    </sheetView>
  </sheetViews>
  <sheetFormatPr defaultRowHeight="15" x14ac:dyDescent="0.25"/>
  <cols>
    <col min="1" max="1" width="24.28515625" customWidth="1"/>
    <col min="2" max="2" width="27.42578125" customWidth="1"/>
    <col min="3" max="3" width="9.28515625" customWidth="1"/>
    <col min="4" max="4" width="11.42578125" customWidth="1"/>
    <col min="5" max="5" width="31.5703125" customWidth="1"/>
    <col min="8" max="8" width="33.7109375" customWidth="1"/>
    <col min="9" max="9" width="13.7109375" customWidth="1"/>
    <col min="11" max="11" width="12.28515625" customWidth="1"/>
    <col min="12" max="12" width="14.7109375" customWidth="1"/>
  </cols>
  <sheetData>
    <row r="2" spans="1:22" x14ac:dyDescent="0.25">
      <c r="A2" s="1" t="s">
        <v>0</v>
      </c>
      <c r="E2" s="1" t="s">
        <v>1</v>
      </c>
      <c r="H2" s="1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V2" t="s">
        <v>8</v>
      </c>
    </row>
    <row r="3" spans="1:22" x14ac:dyDescent="0.25">
      <c r="A3" s="2" t="s">
        <v>9</v>
      </c>
      <c r="B3" s="3">
        <v>1</v>
      </c>
      <c r="E3" s="2" t="s">
        <v>10</v>
      </c>
      <c r="F3" s="4">
        <v>1</v>
      </c>
      <c r="H3" s="2" t="s">
        <v>11</v>
      </c>
      <c r="I3" s="4">
        <v>0.8</v>
      </c>
      <c r="J3" s="5">
        <f>(1-$I$3)/3</f>
        <v>6.6666666666666652E-2</v>
      </c>
      <c r="K3" s="5">
        <f t="shared" ref="K3:L3" si="0">(1-$I$3)/3</f>
        <v>6.6666666666666652E-2</v>
      </c>
      <c r="L3" s="5">
        <f t="shared" si="0"/>
        <v>6.6666666666666652E-2</v>
      </c>
      <c r="M3" s="4">
        <v>0</v>
      </c>
      <c r="V3" t="s">
        <v>12</v>
      </c>
    </row>
    <row r="4" spans="1:22" x14ac:dyDescent="0.25">
      <c r="A4" s="2" t="s">
        <v>13</v>
      </c>
      <c r="B4" s="6" t="s">
        <v>12</v>
      </c>
      <c r="E4" s="2" t="s">
        <v>14</v>
      </c>
      <c r="F4" s="4">
        <v>1</v>
      </c>
      <c r="H4" s="2" t="s">
        <v>15</v>
      </c>
      <c r="I4" s="4">
        <v>0.3</v>
      </c>
      <c r="J4" s="4">
        <v>0.4</v>
      </c>
      <c r="K4" s="4">
        <v>0.15</v>
      </c>
      <c r="L4" s="4">
        <v>0.15</v>
      </c>
      <c r="M4" s="4">
        <v>0</v>
      </c>
    </row>
    <row r="6" spans="1:22" ht="45" x14ac:dyDescent="0.25">
      <c r="A6" s="7" t="s">
        <v>16</v>
      </c>
      <c r="B6" s="8" t="s">
        <v>17</v>
      </c>
      <c r="C6" s="9">
        <v>1</v>
      </c>
      <c r="H6" s="10" t="s">
        <v>18</v>
      </c>
      <c r="I6" s="11">
        <v>0.05</v>
      </c>
      <c r="J6" s="10"/>
      <c r="K6" s="10"/>
      <c r="L6" s="10"/>
      <c r="M6" s="10"/>
    </row>
    <row r="7" spans="1:22" ht="30" x14ac:dyDescent="0.25">
      <c r="A7" s="12" t="s">
        <v>19</v>
      </c>
      <c r="B7" s="13" t="s">
        <v>20</v>
      </c>
      <c r="C7" s="14">
        <v>0.05</v>
      </c>
      <c r="H7" s="10" t="s">
        <v>21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</row>
    <row r="8" spans="1:22" x14ac:dyDescent="0.25">
      <c r="H8" s="10"/>
      <c r="I8" s="10"/>
      <c r="J8" s="10"/>
      <c r="K8" s="10"/>
      <c r="L8" s="10"/>
      <c r="M8" s="10"/>
    </row>
    <row r="9" spans="1:22" x14ac:dyDescent="0.25">
      <c r="H9" s="10" t="s">
        <v>22</v>
      </c>
      <c r="I9" s="15" t="s">
        <v>23</v>
      </c>
      <c r="J9" s="15" t="s">
        <v>24</v>
      </c>
      <c r="K9" s="15" t="s">
        <v>25</v>
      </c>
      <c r="L9" s="15" t="s">
        <v>26</v>
      </c>
      <c r="M9" s="10"/>
    </row>
    <row r="10" spans="1:22" x14ac:dyDescent="0.25">
      <c r="H10" s="16" t="s">
        <v>27</v>
      </c>
      <c r="I10" s="10">
        <v>0</v>
      </c>
      <c r="J10" s="10">
        <v>0</v>
      </c>
      <c r="K10" s="10">
        <v>0</v>
      </c>
      <c r="L10" s="10">
        <v>0</v>
      </c>
      <c r="M10" s="10"/>
    </row>
    <row r="11" spans="1:22" x14ac:dyDescent="0.25">
      <c r="H11" s="16" t="s">
        <v>28</v>
      </c>
      <c r="I11" s="11">
        <v>0.05</v>
      </c>
      <c r="J11" s="10">
        <v>0</v>
      </c>
      <c r="K11" s="10">
        <v>0</v>
      </c>
      <c r="L11" s="10">
        <v>0</v>
      </c>
      <c r="M11" s="10"/>
    </row>
    <row r="12" spans="1:22" x14ac:dyDescent="0.25">
      <c r="H12" s="16" t="s">
        <v>29</v>
      </c>
      <c r="I12" s="10">
        <v>0</v>
      </c>
      <c r="J12" s="11">
        <v>0.05</v>
      </c>
      <c r="K12" s="10">
        <v>0</v>
      </c>
      <c r="L12" s="10">
        <v>0</v>
      </c>
      <c r="M12" s="10"/>
    </row>
    <row r="13" spans="1:22" x14ac:dyDescent="0.25">
      <c r="H13" s="16" t="s">
        <v>30</v>
      </c>
      <c r="I13" s="10">
        <v>0</v>
      </c>
      <c r="J13" s="10">
        <v>0</v>
      </c>
      <c r="K13" s="11">
        <v>0.05</v>
      </c>
      <c r="L13" s="10">
        <v>0</v>
      </c>
      <c r="M13" s="10"/>
    </row>
    <row r="15" spans="1:22" x14ac:dyDescent="0.25">
      <c r="H15" s="17" t="s">
        <v>31</v>
      </c>
      <c r="I15" s="18">
        <v>0.1</v>
      </c>
      <c r="J15" s="17"/>
      <c r="K15" s="17"/>
      <c r="L15" s="17"/>
      <c r="M15" s="17"/>
    </row>
    <row r="16" spans="1:22" x14ac:dyDescent="0.25">
      <c r="C16" s="57"/>
      <c r="H16" s="17" t="s">
        <v>21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</row>
    <row r="17" spans="8:13" x14ac:dyDescent="0.25">
      <c r="H17" s="17"/>
      <c r="I17" s="17"/>
      <c r="J17" s="17"/>
      <c r="K17" s="17"/>
      <c r="L17" s="17"/>
      <c r="M17" s="17"/>
    </row>
    <row r="18" spans="8:13" x14ac:dyDescent="0.25">
      <c r="H18" s="17" t="s">
        <v>32</v>
      </c>
      <c r="I18" s="19" t="s">
        <v>23</v>
      </c>
      <c r="J18" s="19" t="s">
        <v>24</v>
      </c>
      <c r="K18" s="19" t="s">
        <v>25</v>
      </c>
      <c r="L18" s="19" t="s">
        <v>26</v>
      </c>
      <c r="M18" s="17"/>
    </row>
    <row r="19" spans="8:13" x14ac:dyDescent="0.25">
      <c r="H19" s="20" t="s">
        <v>27</v>
      </c>
      <c r="I19" s="17">
        <v>0</v>
      </c>
      <c r="J19" s="17">
        <v>0</v>
      </c>
      <c r="K19" s="17">
        <v>0</v>
      </c>
      <c r="L19" s="17">
        <v>0</v>
      </c>
      <c r="M19" s="17"/>
    </row>
    <row r="20" spans="8:13" x14ac:dyDescent="0.25">
      <c r="H20" s="20" t="s">
        <v>28</v>
      </c>
      <c r="I20" s="18">
        <v>0.1</v>
      </c>
      <c r="J20" s="17">
        <v>0</v>
      </c>
      <c r="K20" s="17">
        <v>0</v>
      </c>
      <c r="L20" s="17">
        <v>0</v>
      </c>
      <c r="M20" s="17"/>
    </row>
    <row r="21" spans="8:13" x14ac:dyDescent="0.25">
      <c r="H21" s="20" t="s">
        <v>29</v>
      </c>
      <c r="I21" s="17">
        <v>0</v>
      </c>
      <c r="J21" s="18">
        <v>0.1</v>
      </c>
      <c r="K21" s="17">
        <v>0</v>
      </c>
      <c r="L21" s="17">
        <v>0</v>
      </c>
      <c r="M21" s="17"/>
    </row>
    <row r="22" spans="8:13" x14ac:dyDescent="0.25">
      <c r="H22" s="20" t="s">
        <v>30</v>
      </c>
      <c r="I22" s="17">
        <v>0</v>
      </c>
      <c r="J22" s="17">
        <v>0</v>
      </c>
      <c r="K22" s="18">
        <v>0.1</v>
      </c>
      <c r="L22" s="17">
        <v>0</v>
      </c>
      <c r="M22" s="17"/>
    </row>
    <row r="24" spans="8:13" x14ac:dyDescent="0.25">
      <c r="H24" s="21" t="s">
        <v>33</v>
      </c>
      <c r="I24" s="22">
        <v>0.01</v>
      </c>
      <c r="J24" s="21"/>
      <c r="K24" s="21"/>
      <c r="L24" s="21"/>
      <c r="M24" s="21"/>
    </row>
    <row r="25" spans="8:13" x14ac:dyDescent="0.25">
      <c r="H25" s="21" t="s">
        <v>34</v>
      </c>
      <c r="I25" s="22">
        <v>1</v>
      </c>
      <c r="J25" s="22">
        <v>0</v>
      </c>
      <c r="K25" s="22">
        <v>0</v>
      </c>
      <c r="L25" s="22">
        <v>0</v>
      </c>
      <c r="M25" s="22">
        <v>0</v>
      </c>
    </row>
    <row r="26" spans="8:13" x14ac:dyDescent="0.25">
      <c r="H26" s="21"/>
      <c r="I26" s="21"/>
      <c r="J26" s="21"/>
      <c r="K26" s="21"/>
      <c r="L26" s="21"/>
      <c r="M26" s="21"/>
    </row>
    <row r="27" spans="8:13" x14ac:dyDescent="0.25">
      <c r="H27" s="21" t="s">
        <v>35</v>
      </c>
      <c r="I27" s="23" t="s">
        <v>23</v>
      </c>
      <c r="J27" s="23" t="s">
        <v>24</v>
      </c>
      <c r="K27" s="23" t="s">
        <v>25</v>
      </c>
      <c r="L27" s="23" t="s">
        <v>26</v>
      </c>
      <c r="M27" s="21"/>
    </row>
    <row r="28" spans="8:13" x14ac:dyDescent="0.25">
      <c r="H28" s="24" t="s">
        <v>27</v>
      </c>
      <c r="I28" s="21">
        <v>0</v>
      </c>
      <c r="J28" s="21">
        <v>0</v>
      </c>
      <c r="K28" s="21">
        <v>0</v>
      </c>
      <c r="L28" s="21">
        <v>0</v>
      </c>
      <c r="M28" s="21"/>
    </row>
    <row r="29" spans="8:13" x14ac:dyDescent="0.25">
      <c r="H29" s="24" t="s">
        <v>28</v>
      </c>
      <c r="I29" s="22">
        <v>0.01</v>
      </c>
      <c r="J29" s="21">
        <v>0</v>
      </c>
      <c r="K29" s="21">
        <v>0</v>
      </c>
      <c r="L29" s="21">
        <v>0</v>
      </c>
      <c r="M29" s="21"/>
    </row>
    <row r="30" spans="8:13" x14ac:dyDescent="0.25">
      <c r="H30" s="24" t="s">
        <v>29</v>
      </c>
      <c r="I30" s="21">
        <v>0</v>
      </c>
      <c r="J30" s="22">
        <v>0.01</v>
      </c>
      <c r="K30" s="21">
        <v>0</v>
      </c>
      <c r="L30" s="21">
        <v>0</v>
      </c>
      <c r="M30" s="21"/>
    </row>
    <row r="31" spans="8:13" x14ac:dyDescent="0.25">
      <c r="H31" s="24" t="s">
        <v>30</v>
      </c>
      <c r="I31" s="21">
        <v>0</v>
      </c>
      <c r="J31" s="21">
        <v>0</v>
      </c>
      <c r="K31" s="22">
        <v>0.01</v>
      </c>
      <c r="L31" s="21">
        <v>0</v>
      </c>
      <c r="M31" s="21"/>
    </row>
    <row r="33" spans="8:13" x14ac:dyDescent="0.25">
      <c r="H33" s="21" t="s">
        <v>36</v>
      </c>
      <c r="I33" s="22">
        <v>0.01</v>
      </c>
      <c r="J33" s="21"/>
      <c r="K33" s="21"/>
      <c r="L33" s="21"/>
      <c r="M33" s="21"/>
    </row>
    <row r="34" spans="8:13" x14ac:dyDescent="0.25">
      <c r="H34" s="21" t="s">
        <v>34</v>
      </c>
      <c r="I34" s="22">
        <v>1</v>
      </c>
      <c r="J34" s="22">
        <v>0</v>
      </c>
      <c r="K34" s="22">
        <v>0</v>
      </c>
      <c r="L34" s="22">
        <v>0</v>
      </c>
      <c r="M34" s="22">
        <v>0</v>
      </c>
    </row>
    <row r="35" spans="8:13" x14ac:dyDescent="0.25">
      <c r="H35" s="21"/>
      <c r="I35" s="21"/>
      <c r="J35" s="21"/>
      <c r="K35" s="21"/>
      <c r="L35" s="21"/>
      <c r="M35" s="21"/>
    </row>
    <row r="36" spans="8:13" x14ac:dyDescent="0.25">
      <c r="H36" s="21" t="s">
        <v>37</v>
      </c>
      <c r="I36" s="23" t="s">
        <v>23</v>
      </c>
      <c r="J36" s="23" t="s">
        <v>24</v>
      </c>
      <c r="K36" s="23" t="s">
        <v>25</v>
      </c>
      <c r="L36" s="23" t="s">
        <v>26</v>
      </c>
      <c r="M36" s="21"/>
    </row>
    <row r="37" spans="8:13" x14ac:dyDescent="0.25">
      <c r="H37" s="24" t="s">
        <v>27</v>
      </c>
      <c r="I37" s="21">
        <v>0</v>
      </c>
      <c r="J37" s="21">
        <v>0</v>
      </c>
      <c r="K37" s="21">
        <v>0</v>
      </c>
      <c r="L37" s="21">
        <v>0</v>
      </c>
      <c r="M37" s="21"/>
    </row>
    <row r="38" spans="8:13" x14ac:dyDescent="0.25">
      <c r="H38" s="24" t="s">
        <v>28</v>
      </c>
      <c r="I38" s="22">
        <v>0.01</v>
      </c>
      <c r="J38" s="21">
        <v>0</v>
      </c>
      <c r="K38" s="21">
        <v>0</v>
      </c>
      <c r="L38" s="21">
        <v>0</v>
      </c>
      <c r="M38" s="21"/>
    </row>
    <row r="39" spans="8:13" x14ac:dyDescent="0.25">
      <c r="H39" s="24" t="s">
        <v>29</v>
      </c>
      <c r="I39" s="21">
        <v>0</v>
      </c>
      <c r="J39" s="22">
        <v>0.01</v>
      </c>
      <c r="K39" s="21">
        <v>0</v>
      </c>
      <c r="L39" s="21">
        <v>0</v>
      </c>
      <c r="M39" s="21"/>
    </row>
    <row r="40" spans="8:13" x14ac:dyDescent="0.25">
      <c r="H40" s="24" t="s">
        <v>30</v>
      </c>
      <c r="I40" s="21">
        <v>0</v>
      </c>
      <c r="J40" s="21">
        <v>0</v>
      </c>
      <c r="K40" s="22">
        <v>0.01</v>
      </c>
      <c r="L40" s="21">
        <v>0</v>
      </c>
      <c r="M40" s="21"/>
    </row>
    <row r="42" spans="8:13" x14ac:dyDescent="0.25">
      <c r="H42" s="25" t="s">
        <v>38</v>
      </c>
      <c r="I42" t="s">
        <v>39</v>
      </c>
    </row>
    <row r="43" spans="8:13" x14ac:dyDescent="0.25">
      <c r="H43" s="25" t="s">
        <v>40</v>
      </c>
      <c r="I43" t="s">
        <v>39</v>
      </c>
    </row>
    <row r="44" spans="8:13" ht="60" x14ac:dyDescent="0.25">
      <c r="H44" s="26" t="s">
        <v>41</v>
      </c>
    </row>
  </sheetData>
  <dataValidations count="1">
    <dataValidation type="list" allowBlank="1" showInputMessage="1" showErrorMessage="1" sqref="B4" xr:uid="{A5A40B8D-AA95-49D5-9A06-5A28671BF1D8}">
      <formula1>$V$2:$V$3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190F-73AF-4683-AE41-31DFDC9F85B5}">
  <dimension ref="A1:C43"/>
  <sheetViews>
    <sheetView topLeftCell="A21" workbookViewId="0">
      <selection activeCell="C39" sqref="C39"/>
    </sheetView>
  </sheetViews>
  <sheetFormatPr defaultRowHeight="15" x14ac:dyDescent="0.25"/>
  <cols>
    <col min="1" max="1" width="61.5703125" style="42" customWidth="1"/>
    <col min="2" max="2" width="102.140625" customWidth="1"/>
    <col min="3" max="3" width="85.28515625" customWidth="1"/>
  </cols>
  <sheetData>
    <row r="1" spans="1:3" x14ac:dyDescent="0.25">
      <c r="A1" s="35"/>
      <c r="B1" s="28" t="s">
        <v>121</v>
      </c>
      <c r="C1" s="28" t="s">
        <v>122</v>
      </c>
    </row>
    <row r="2" spans="1:3" x14ac:dyDescent="0.25">
      <c r="A2" s="36" t="s">
        <v>42</v>
      </c>
      <c r="B2" s="31"/>
      <c r="C2" s="31"/>
    </row>
    <row r="3" spans="1:3" x14ac:dyDescent="0.25">
      <c r="A3" s="39" t="s">
        <v>498</v>
      </c>
      <c r="B3" s="83" t="s">
        <v>70</v>
      </c>
      <c r="C3" s="27"/>
    </row>
    <row r="4" spans="1:3" x14ac:dyDescent="0.25">
      <c r="A4" s="39" t="s">
        <v>503</v>
      </c>
      <c r="B4" s="83"/>
      <c r="C4" s="30" t="s">
        <v>499</v>
      </c>
    </row>
    <row r="5" spans="1:3" x14ac:dyDescent="0.25">
      <c r="A5" s="39" t="s">
        <v>43</v>
      </c>
      <c r="B5" s="83"/>
      <c r="C5" s="30" t="s">
        <v>73</v>
      </c>
    </row>
    <row r="6" spans="1:3" x14ac:dyDescent="0.25">
      <c r="A6" s="39" t="s">
        <v>44</v>
      </c>
      <c r="B6" s="83"/>
      <c r="C6" s="30" t="s">
        <v>73</v>
      </c>
    </row>
    <row r="7" spans="1:3" x14ac:dyDescent="0.25">
      <c r="A7" s="37"/>
      <c r="B7" s="29"/>
      <c r="C7" s="29"/>
    </row>
    <row r="8" spans="1:3" x14ac:dyDescent="0.25">
      <c r="A8" s="36" t="s">
        <v>45</v>
      </c>
      <c r="B8" s="31"/>
      <c r="C8" s="31"/>
    </row>
    <row r="9" spans="1:3" ht="45" x14ac:dyDescent="0.25">
      <c r="A9" s="38" t="s">
        <v>46</v>
      </c>
      <c r="B9" s="33" t="s">
        <v>74</v>
      </c>
      <c r="C9" s="32" t="s">
        <v>75</v>
      </c>
    </row>
    <row r="10" spans="1:3" ht="60" x14ac:dyDescent="0.25">
      <c r="A10" s="38" t="s">
        <v>47</v>
      </c>
      <c r="B10" s="34" t="s">
        <v>76</v>
      </c>
      <c r="C10" s="32" t="s">
        <v>77</v>
      </c>
    </row>
    <row r="11" spans="1:3" ht="90" x14ac:dyDescent="0.25">
      <c r="A11" s="38" t="s">
        <v>496</v>
      </c>
      <c r="B11" s="34" t="s">
        <v>497</v>
      </c>
      <c r="C11" s="32"/>
    </row>
    <row r="12" spans="1:3" ht="30" x14ac:dyDescent="0.25">
      <c r="A12" s="38" t="s">
        <v>50</v>
      </c>
      <c r="B12" s="33" t="s">
        <v>78</v>
      </c>
      <c r="C12" s="32" t="s">
        <v>79</v>
      </c>
    </row>
    <row r="13" spans="1:3" ht="90" x14ac:dyDescent="0.25">
      <c r="A13" s="48" t="s">
        <v>141</v>
      </c>
      <c r="B13" s="34" t="s">
        <v>142</v>
      </c>
      <c r="C13" s="32" t="s">
        <v>143</v>
      </c>
    </row>
    <row r="14" spans="1:3" ht="30" x14ac:dyDescent="0.25">
      <c r="A14" s="38" t="s">
        <v>48</v>
      </c>
      <c r="B14" s="43" t="s">
        <v>500</v>
      </c>
      <c r="C14" s="30" t="s">
        <v>501</v>
      </c>
    </row>
    <row r="15" spans="1:3" x14ac:dyDescent="0.25">
      <c r="A15" s="38" t="s">
        <v>49</v>
      </c>
      <c r="B15" s="43" t="s">
        <v>500</v>
      </c>
      <c r="C15" s="30" t="s">
        <v>502</v>
      </c>
    </row>
    <row r="16" spans="1:3" x14ac:dyDescent="0.25">
      <c r="A16" s="37"/>
      <c r="B16" s="29"/>
      <c r="C16" s="29"/>
    </row>
    <row r="17" spans="1:3" x14ac:dyDescent="0.25">
      <c r="A17" s="36" t="s">
        <v>51</v>
      </c>
      <c r="B17" s="31"/>
      <c r="C17" s="31"/>
    </row>
    <row r="18" spans="1:3" ht="45" x14ac:dyDescent="0.25">
      <c r="A18" s="38" t="s">
        <v>52</v>
      </c>
      <c r="B18" s="34" t="s">
        <v>115</v>
      </c>
      <c r="C18" s="44" t="s">
        <v>116</v>
      </c>
    </row>
    <row r="19" spans="1:3" ht="120" x14ac:dyDescent="0.25">
      <c r="A19" s="38" t="s">
        <v>53</v>
      </c>
      <c r="B19" s="34" t="s">
        <v>126</v>
      </c>
      <c r="C19" s="44" t="s">
        <v>125</v>
      </c>
    </row>
    <row r="20" spans="1:3" ht="120" x14ac:dyDescent="0.25">
      <c r="A20" s="38" t="s">
        <v>54</v>
      </c>
      <c r="B20" s="34" t="s">
        <v>128</v>
      </c>
      <c r="C20" s="44" t="s">
        <v>127</v>
      </c>
    </row>
    <row r="21" spans="1:3" ht="30" x14ac:dyDescent="0.25">
      <c r="A21" s="38" t="s">
        <v>55</v>
      </c>
      <c r="B21" s="34" t="s">
        <v>113</v>
      </c>
      <c r="C21" s="44" t="s">
        <v>117</v>
      </c>
    </row>
    <row r="22" spans="1:3" x14ac:dyDescent="0.25">
      <c r="A22" s="37"/>
      <c r="B22" s="29"/>
      <c r="C22" s="29"/>
    </row>
    <row r="23" spans="1:3" x14ac:dyDescent="0.25">
      <c r="A23" s="36" t="s">
        <v>56</v>
      </c>
      <c r="B23" s="31"/>
      <c r="C23" s="31"/>
    </row>
    <row r="24" spans="1:3" ht="45" x14ac:dyDescent="0.25">
      <c r="A24" s="38" t="s">
        <v>57</v>
      </c>
      <c r="B24" s="34" t="s">
        <v>118</v>
      </c>
      <c r="C24" s="44" t="s">
        <v>119</v>
      </c>
    </row>
    <row r="25" spans="1:3" ht="135" x14ac:dyDescent="0.25">
      <c r="A25" s="38" t="s">
        <v>58</v>
      </c>
      <c r="B25" s="34" t="s">
        <v>120</v>
      </c>
      <c r="C25" s="44" t="s">
        <v>136</v>
      </c>
    </row>
    <row r="26" spans="1:3" ht="30" x14ac:dyDescent="0.25">
      <c r="A26" s="38" t="s">
        <v>59</v>
      </c>
      <c r="B26" s="33" t="s">
        <v>123</v>
      </c>
      <c r="C26" s="44" t="s">
        <v>124</v>
      </c>
    </row>
    <row r="27" spans="1:3" x14ac:dyDescent="0.25">
      <c r="A27" s="37"/>
      <c r="B27" s="29"/>
      <c r="C27" s="29"/>
    </row>
    <row r="28" spans="1:3" x14ac:dyDescent="0.25">
      <c r="A28" s="36" t="s">
        <v>60</v>
      </c>
      <c r="B28" s="31"/>
      <c r="C28" s="31"/>
    </row>
    <row r="29" spans="1:3" ht="30" x14ac:dyDescent="0.25">
      <c r="A29" s="38" t="s">
        <v>61</v>
      </c>
      <c r="B29" s="34" t="s">
        <v>131</v>
      </c>
      <c r="C29" s="27"/>
    </row>
    <row r="30" spans="1:3" ht="30" x14ac:dyDescent="0.25">
      <c r="A30" s="38" t="s">
        <v>62</v>
      </c>
      <c r="B30" s="34" t="s">
        <v>129</v>
      </c>
      <c r="C30" s="27"/>
    </row>
    <row r="31" spans="1:3" ht="30" x14ac:dyDescent="0.25">
      <c r="A31" s="38" t="s">
        <v>63</v>
      </c>
      <c r="B31" s="34" t="s">
        <v>130</v>
      </c>
      <c r="C31" s="27"/>
    </row>
    <row r="32" spans="1:3" x14ac:dyDescent="0.25">
      <c r="A32" s="37"/>
      <c r="B32" s="29"/>
      <c r="C32" s="29"/>
    </row>
    <row r="33" spans="1:3" x14ac:dyDescent="0.25">
      <c r="A33" s="36" t="s">
        <v>64</v>
      </c>
      <c r="B33" s="31"/>
      <c r="C33" s="31"/>
    </row>
    <row r="34" spans="1:3" ht="45" x14ac:dyDescent="0.25">
      <c r="A34" s="39" t="s">
        <v>71</v>
      </c>
      <c r="B34" s="34" t="s">
        <v>134</v>
      </c>
      <c r="C34" s="44" t="s">
        <v>132</v>
      </c>
    </row>
    <row r="35" spans="1:3" ht="30" x14ac:dyDescent="0.25">
      <c r="A35" s="40" t="s">
        <v>72</v>
      </c>
      <c r="B35" s="34" t="s">
        <v>130</v>
      </c>
      <c r="C35" s="27"/>
    </row>
    <row r="36" spans="1:3" x14ac:dyDescent="0.25">
      <c r="A36" s="37"/>
      <c r="B36" s="29"/>
      <c r="C36" s="29"/>
    </row>
    <row r="37" spans="1:3" x14ac:dyDescent="0.25">
      <c r="A37" s="41" t="s">
        <v>65</v>
      </c>
      <c r="B37" s="31"/>
      <c r="C37" s="31"/>
    </row>
    <row r="38" spans="1:3" x14ac:dyDescent="0.25">
      <c r="A38" s="38" t="s">
        <v>66</v>
      </c>
      <c r="B38" s="84" t="s">
        <v>114</v>
      </c>
      <c r="C38" s="27" t="s">
        <v>137</v>
      </c>
    </row>
    <row r="39" spans="1:3" x14ac:dyDescent="0.25">
      <c r="A39" s="38" t="s">
        <v>67</v>
      </c>
      <c r="B39" s="85"/>
      <c r="C39" s="27" t="s">
        <v>139</v>
      </c>
    </row>
    <row r="40" spans="1:3" x14ac:dyDescent="0.25">
      <c r="A40" s="38" t="s">
        <v>68</v>
      </c>
      <c r="B40" s="85"/>
      <c r="C40" s="27" t="s">
        <v>138</v>
      </c>
    </row>
    <row r="41" spans="1:3" x14ac:dyDescent="0.25">
      <c r="A41" s="38" t="s">
        <v>69</v>
      </c>
      <c r="B41" s="86"/>
      <c r="C41" s="27" t="s">
        <v>140</v>
      </c>
    </row>
    <row r="42" spans="1:3" x14ac:dyDescent="0.25">
      <c r="A42" s="37"/>
      <c r="B42" s="29"/>
      <c r="C42" s="29"/>
    </row>
    <row r="43" spans="1:3" ht="90" x14ac:dyDescent="0.25">
      <c r="A43" s="45" t="s">
        <v>133</v>
      </c>
      <c r="B43" s="47" t="s">
        <v>135</v>
      </c>
      <c r="C43" s="46"/>
    </row>
  </sheetData>
  <mergeCells count="2">
    <mergeCell ref="B3:B6"/>
    <mergeCell ref="B38:B41"/>
  </mergeCells>
  <phoneticPr fontId="7" type="noConversion"/>
  <hyperlinks>
    <hyperlink ref="B9" r:id="rId1" location="global-strategies" xr:uid="{0BC257C2-EC11-4EDD-8A18-BA8D890A6429}"/>
    <hyperlink ref="B12" r:id="rId2" xr:uid="{59A00CD2-6CA3-43C2-852A-8B1700F022AB}"/>
    <hyperlink ref="B14" r:id="rId3" xr:uid="{3DE6B9EC-6286-4246-B0C7-E34943285472}"/>
    <hyperlink ref="B26" r:id="rId4" xr:uid="{9E4D74F6-7E6B-4878-B7DA-E24D1C797E3C}"/>
    <hyperlink ref="B15" r:id="rId5" xr:uid="{5EB64DEE-734E-4CCF-AE11-FC5A6D4FA8C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BD06-5219-430A-BFD9-E7DF65CF5C12}">
  <dimension ref="A1:D30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83</v>
      </c>
    </row>
    <row r="2" spans="1:4" x14ac:dyDescent="0.25">
      <c r="A2" t="s">
        <v>84</v>
      </c>
      <c r="B2">
        <v>1000</v>
      </c>
      <c r="C2">
        <v>1000</v>
      </c>
      <c r="D2">
        <v>1000</v>
      </c>
    </row>
    <row r="3" spans="1:4" x14ac:dyDescent="0.25">
      <c r="A3" t="s">
        <v>85</v>
      </c>
      <c r="B3">
        <v>100</v>
      </c>
      <c r="C3">
        <v>100</v>
      </c>
      <c r="D3">
        <v>100</v>
      </c>
    </row>
    <row r="4" spans="1:4" x14ac:dyDescent="0.25">
      <c r="A4" t="s">
        <v>86</v>
      </c>
      <c r="B4">
        <v>2</v>
      </c>
      <c r="C4">
        <v>2</v>
      </c>
      <c r="D4">
        <v>2</v>
      </c>
    </row>
    <row r="5" spans="1:4" x14ac:dyDescent="0.25">
      <c r="A5" t="s">
        <v>87</v>
      </c>
      <c r="B5">
        <v>0.03</v>
      </c>
      <c r="C5">
        <v>0.03</v>
      </c>
      <c r="D5">
        <v>0.03</v>
      </c>
    </row>
    <row r="6" spans="1:4" x14ac:dyDescent="0.25">
      <c r="A6" t="s">
        <v>88</v>
      </c>
      <c r="B6">
        <v>24</v>
      </c>
      <c r="C6">
        <v>24</v>
      </c>
      <c r="D6">
        <v>24</v>
      </c>
    </row>
    <row r="7" spans="1:4" x14ac:dyDescent="0.25">
      <c r="A7" t="s">
        <v>89</v>
      </c>
      <c r="B7">
        <v>4</v>
      </c>
      <c r="C7">
        <v>4</v>
      </c>
      <c r="D7">
        <v>4</v>
      </c>
    </row>
    <row r="8" spans="1:4" x14ac:dyDescent="0.25">
      <c r="A8" t="s">
        <v>90</v>
      </c>
      <c r="B8">
        <v>0.88500000000000001</v>
      </c>
      <c r="C8">
        <v>0.84</v>
      </c>
      <c r="D8">
        <v>0.93</v>
      </c>
    </row>
    <row r="9" spans="1:4" x14ac:dyDescent="0.25">
      <c r="A9" t="s">
        <v>91</v>
      </c>
      <c r="B9">
        <v>4</v>
      </c>
      <c r="C9">
        <v>4</v>
      </c>
      <c r="D9">
        <v>4</v>
      </c>
    </row>
    <row r="10" spans="1:4" x14ac:dyDescent="0.25">
      <c r="A10" t="s">
        <v>92</v>
      </c>
      <c r="B10">
        <f>-LOG(1-0.011)</f>
        <v>4.8037084028205992E-3</v>
      </c>
      <c r="C10">
        <f>-LOG(1-0.001)</f>
        <v>4.3451177401769168E-4</v>
      </c>
      <c r="D10">
        <f>-LOG(1-0.022)</f>
        <v>9.6611452123985687E-3</v>
      </c>
    </row>
    <row r="11" spans="1:4" x14ac:dyDescent="0.25">
      <c r="A11" t="s">
        <v>93</v>
      </c>
      <c r="B11">
        <f>-LOG(1-0.019)</f>
        <v>8.3309926200514969E-3</v>
      </c>
      <c r="C11">
        <f>-LOG(1-0.01)</f>
        <v>4.3648054024500883E-3</v>
      </c>
      <c r="D11">
        <f>-LOG(1-0.024)</f>
        <v>1.0550182333308195E-2</v>
      </c>
    </row>
    <row r="12" spans="1:4" x14ac:dyDescent="0.25">
      <c r="A12" t="s">
        <v>94</v>
      </c>
      <c r="B12">
        <f>-LOG(1-0.006)</f>
        <v>2.6136156026866902E-3</v>
      </c>
      <c r="C12">
        <f>-LOG(1-0.003)</f>
        <v>1.3048416883442813E-3</v>
      </c>
      <c r="D12">
        <f>-LOG(1-0.01)</f>
        <v>4.3648054024500883E-3</v>
      </c>
    </row>
    <row r="13" spans="1:4" x14ac:dyDescent="0.25">
      <c r="A13" t="s">
        <v>95</v>
      </c>
      <c r="B13">
        <f>-LOG(1-0.039)</f>
        <v>1.7276612331454656E-2</v>
      </c>
      <c r="C13">
        <f>-LOG(1-0.032)</f>
        <v>1.4124642691606345E-2</v>
      </c>
      <c r="D13">
        <f>-LOG(1-0.046)</f>
        <v>2.0451625295904902E-2</v>
      </c>
    </row>
    <row r="14" spans="1:4" x14ac:dyDescent="0.25">
      <c r="A14" t="s">
        <v>96</v>
      </c>
      <c r="B14">
        <f>-LOG(1-0.048)</f>
        <v>2.1363051615525673E-2</v>
      </c>
      <c r="C14">
        <f>-LOG(1-0.03)</f>
        <v>1.322826573375516E-2</v>
      </c>
      <c r="D14">
        <f>-LOG(1-0.066)</f>
        <v>2.965312376990667E-2</v>
      </c>
    </row>
    <row r="15" spans="1:4" x14ac:dyDescent="0.25">
      <c r="A15" t="s">
        <v>97</v>
      </c>
      <c r="B15">
        <f>-LOG(1-0.071)</f>
        <v>3.1984286006358213E-2</v>
      </c>
      <c r="C15">
        <f>-LOG(1-0.048)</f>
        <v>2.1363051615525673E-2</v>
      </c>
      <c r="D15">
        <f>-LOG(1-0.1)</f>
        <v>4.5757490560675115E-2</v>
      </c>
    </row>
    <row r="16" spans="1:4" x14ac:dyDescent="0.25">
      <c r="A16" t="s">
        <v>98</v>
      </c>
      <c r="B16">
        <f>-LOG(1-0.0007)</f>
        <v>3.041125891607762E-4</v>
      </c>
      <c r="C16">
        <f>-LOG(1-(0.0007*0.95))</f>
        <v>2.8890190099793429E-4</v>
      </c>
      <c r="D16">
        <f>-LOG(1-(0.0007*1.05))</f>
        <v>3.1932381007995661E-4</v>
      </c>
    </row>
    <row r="17" spans="1:4" x14ac:dyDescent="0.25">
      <c r="A17" t="s">
        <v>99</v>
      </c>
      <c r="B17">
        <v>0</v>
      </c>
      <c r="C17">
        <v>0</v>
      </c>
      <c r="D17">
        <v>0</v>
      </c>
    </row>
    <row r="18" spans="1:4" x14ac:dyDescent="0.25">
      <c r="A18" t="s">
        <v>100</v>
      </c>
      <c r="B18">
        <v>0</v>
      </c>
      <c r="C18">
        <v>0</v>
      </c>
      <c r="D18">
        <v>0</v>
      </c>
    </row>
    <row r="19" spans="1:4" x14ac:dyDescent="0.25">
      <c r="A19" t="s">
        <v>101</v>
      </c>
      <c r="B19">
        <f>-LOG(1-0.162)</f>
        <v>7.6755981369723517E-2</v>
      </c>
      <c r="C19">
        <f>-LOG(1-0.099)</f>
        <v>4.5275209020937013E-2</v>
      </c>
      <c r="D19">
        <f>-LOG(1-0.2)</f>
        <v>9.6910013008056392E-2</v>
      </c>
    </row>
    <row r="20" spans="1:4" x14ac:dyDescent="0.25">
      <c r="A20" t="s">
        <v>102</v>
      </c>
      <c r="B20">
        <f>-LOG(1-0.545)</f>
        <v>0.34198860334288761</v>
      </c>
      <c r="C20">
        <f>-LOG(1-0.081)</f>
        <v>3.6684488613888719E-2</v>
      </c>
      <c r="D20">
        <f>-LOG(1-0.605)</f>
        <v>0.40340290437353976</v>
      </c>
    </row>
    <row r="21" spans="1:4" x14ac:dyDescent="0.25">
      <c r="A21" t="s">
        <v>103</v>
      </c>
      <c r="B21">
        <v>0</v>
      </c>
      <c r="C21">
        <v>0</v>
      </c>
      <c r="D21">
        <v>0</v>
      </c>
    </row>
    <row r="22" spans="1:4" x14ac:dyDescent="0.25">
      <c r="A22" t="s">
        <v>104</v>
      </c>
      <c r="B22">
        <v>1.0999999999999999E-2</v>
      </c>
      <c r="C22">
        <v>5.0000000000000001E-3</v>
      </c>
      <c r="D22">
        <v>2.1000000000000001E-2</v>
      </c>
    </row>
    <row r="23" spans="1:4" x14ac:dyDescent="0.25">
      <c r="A23" t="s">
        <v>105</v>
      </c>
      <c r="B23">
        <v>0.123</v>
      </c>
      <c r="C23">
        <v>7.0000000000000007E-2</v>
      </c>
      <c r="D23">
        <v>0.17599999999999999</v>
      </c>
    </row>
    <row r="24" spans="1:4" x14ac:dyDescent="0.25">
      <c r="A24" t="s">
        <v>106</v>
      </c>
      <c r="B24">
        <v>0.17799999999999999</v>
      </c>
      <c r="C24">
        <v>0.123</v>
      </c>
      <c r="D24">
        <v>0.25</v>
      </c>
    </row>
    <row r="25" spans="1:4" x14ac:dyDescent="0.25">
      <c r="A25" t="s">
        <v>107</v>
      </c>
      <c r="B25">
        <v>0.28799999999999998</v>
      </c>
      <c r="C25">
        <v>0.193</v>
      </c>
      <c r="D25">
        <v>0.39900000000000002</v>
      </c>
    </row>
    <row r="26" spans="1:4" x14ac:dyDescent="0.25">
      <c r="A26" t="s">
        <v>108</v>
      </c>
      <c r="B26">
        <v>0.95299999999999996</v>
      </c>
      <c r="C26">
        <v>0.93500000000000005</v>
      </c>
      <c r="D26">
        <v>0.96699999999999997</v>
      </c>
    </row>
    <row r="27" spans="1:4" x14ac:dyDescent="0.25">
      <c r="A27" t="s">
        <v>109</v>
      </c>
      <c r="B27">
        <v>0.88900000000000001</v>
      </c>
      <c r="C27">
        <v>0.83</v>
      </c>
      <c r="D27">
        <v>0.92800000000000005</v>
      </c>
    </row>
    <row r="28" spans="1:4" x14ac:dyDescent="0.25">
      <c r="A28" t="s">
        <v>110</v>
      </c>
      <c r="B28">
        <v>0.82499999999999996</v>
      </c>
      <c r="C28">
        <v>0.70699999999999996</v>
      </c>
      <c r="D28">
        <v>0.90200000000000002</v>
      </c>
    </row>
    <row r="29" spans="1:4" x14ac:dyDescent="0.25">
      <c r="A29" t="s">
        <v>111</v>
      </c>
      <c r="B29">
        <v>0.52300000000000002</v>
      </c>
      <c r="C29">
        <v>0.223</v>
      </c>
      <c r="D29">
        <v>0.80700000000000005</v>
      </c>
    </row>
    <row r="30" spans="1:4" x14ac:dyDescent="0.25">
      <c r="A30" t="s">
        <v>112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9254-3F01-425B-85CA-90ABBBEC54C0}">
  <dimension ref="A1:AY413"/>
  <sheetViews>
    <sheetView topLeftCell="N379" workbookViewId="0">
      <selection activeCell="AY279" sqref="AY279"/>
    </sheetView>
  </sheetViews>
  <sheetFormatPr defaultRowHeight="15" x14ac:dyDescent="0.25"/>
  <cols>
    <col min="1" max="1" width="9.28515625" customWidth="1"/>
    <col min="4" max="4" width="13.7109375" customWidth="1"/>
    <col min="5" max="5" width="28.28515625" customWidth="1"/>
    <col min="6" max="6" width="39" customWidth="1"/>
    <col min="7" max="7" width="27.140625" customWidth="1"/>
    <col min="8" max="8" width="23" customWidth="1"/>
    <col min="9" max="9" width="22.42578125" customWidth="1"/>
    <col min="10" max="10" width="11" style="67" customWidth="1"/>
    <col min="11" max="11" width="9.42578125" customWidth="1"/>
    <col min="12" max="13" width="11.42578125" customWidth="1"/>
    <col min="14" max="14" width="11.5703125" style="68" customWidth="1"/>
    <col min="18" max="18" width="9.140625" style="70"/>
    <col min="21" max="21" width="9.140625" style="70"/>
    <col min="25" max="25" width="10" customWidth="1"/>
    <col min="26" max="26" width="9.42578125" customWidth="1"/>
    <col min="32" max="48" width="9.85546875" customWidth="1"/>
    <col min="51" max="51" width="13.5703125" customWidth="1"/>
  </cols>
  <sheetData>
    <row r="1" spans="1:51" x14ac:dyDescent="0.25">
      <c r="A1" s="49" t="s">
        <v>144</v>
      </c>
      <c r="B1" s="49" t="s">
        <v>145</v>
      </c>
      <c r="C1" s="49" t="s">
        <v>146</v>
      </c>
      <c r="D1" s="49" t="s">
        <v>147</v>
      </c>
      <c r="E1" s="49" t="s">
        <v>148</v>
      </c>
      <c r="F1" s="49" t="s">
        <v>149</v>
      </c>
      <c r="G1" s="49" t="s">
        <v>150</v>
      </c>
      <c r="H1" s="50" t="s">
        <v>151</v>
      </c>
      <c r="I1" s="50" t="s">
        <v>152</v>
      </c>
      <c r="J1" s="75" t="s">
        <v>153</v>
      </c>
      <c r="K1" s="50" t="s">
        <v>154</v>
      </c>
      <c r="L1" s="50" t="s">
        <v>155</v>
      </c>
      <c r="M1" s="50" t="s">
        <v>156</v>
      </c>
      <c r="N1" s="78" t="s">
        <v>157</v>
      </c>
      <c r="O1" s="50" t="s">
        <v>158</v>
      </c>
      <c r="P1" s="50" t="s">
        <v>159</v>
      </c>
      <c r="Q1" s="50" t="s">
        <v>160</v>
      </c>
      <c r="R1" s="81" t="s">
        <v>161</v>
      </c>
      <c r="S1" s="50" t="s">
        <v>162</v>
      </c>
      <c r="T1" s="50" t="s">
        <v>163</v>
      </c>
      <c r="U1" s="81" t="s">
        <v>164</v>
      </c>
      <c r="V1" s="50" t="s">
        <v>165</v>
      </c>
      <c r="W1" s="50" t="s">
        <v>166</v>
      </c>
      <c r="X1" s="50" t="s">
        <v>167</v>
      </c>
      <c r="Y1" s="50" t="s">
        <v>168</v>
      </c>
      <c r="Z1" s="50" t="s">
        <v>169</v>
      </c>
      <c r="AA1" s="50" t="s">
        <v>170</v>
      </c>
      <c r="AB1" s="50" t="s">
        <v>171</v>
      </c>
      <c r="AC1" s="49" t="s">
        <v>172</v>
      </c>
      <c r="AD1" s="49" t="s">
        <v>173</v>
      </c>
      <c r="AE1" s="49" t="s">
        <v>174</v>
      </c>
      <c r="AF1" s="49" t="s">
        <v>175</v>
      </c>
      <c r="AG1" s="49" t="s">
        <v>176</v>
      </c>
      <c r="AH1" s="49" t="s">
        <v>177</v>
      </c>
      <c r="AI1" s="49" t="s">
        <v>178</v>
      </c>
      <c r="AJ1" s="49" t="s">
        <v>179</v>
      </c>
      <c r="AK1" s="49" t="s">
        <v>180</v>
      </c>
      <c r="AL1" s="49" t="s">
        <v>181</v>
      </c>
      <c r="AM1" s="49" t="s">
        <v>182</v>
      </c>
      <c r="AN1" s="49" t="s">
        <v>183</v>
      </c>
      <c r="AO1" s="49" t="s">
        <v>184</v>
      </c>
      <c r="AP1" s="49" t="s">
        <v>185</v>
      </c>
      <c r="AQ1" s="49" t="s">
        <v>186</v>
      </c>
      <c r="AR1" s="49" t="s">
        <v>187</v>
      </c>
      <c r="AS1" s="49" t="s">
        <v>188</v>
      </c>
      <c r="AT1" s="49" t="s">
        <v>189</v>
      </c>
      <c r="AU1" s="49" t="s">
        <v>190</v>
      </c>
      <c r="AV1" s="49" t="s">
        <v>191</v>
      </c>
      <c r="AW1" s="49" t="s">
        <v>192</v>
      </c>
      <c r="AX1" s="51" t="s">
        <v>193</v>
      </c>
      <c r="AY1" s="50" t="s">
        <v>504</v>
      </c>
    </row>
    <row r="2" spans="1:51" x14ac:dyDescent="0.25">
      <c r="A2" s="53" t="s">
        <v>194</v>
      </c>
      <c r="B2" s="54" t="s">
        <v>195</v>
      </c>
      <c r="C2" s="54">
        <v>4</v>
      </c>
      <c r="D2" s="54" t="s">
        <v>196</v>
      </c>
      <c r="E2" s="54" t="s">
        <v>197</v>
      </c>
      <c r="F2" s="54" t="s">
        <v>197</v>
      </c>
      <c r="G2" s="54" t="s">
        <v>198</v>
      </c>
      <c r="H2" s="73">
        <f>VLOOKUP(lmics[[#This Row],[setting]],raw[],8,FALSE)</f>
        <v>38928341</v>
      </c>
      <c r="I2" s="73">
        <f>VLOOKUP(lmics[[#This Row],[setting]],raw[],9,FALSE)</f>
        <v>1279029.5718960001</v>
      </c>
      <c r="J2" s="76">
        <f>IF(VLOOKUP($A2,raw[],COLUMN(J$1),FALSE)=0, VLOOKUP($D2, regions[], COLUMN(J$1), FALSE), VLOOKUP($A2,raw[],COLUMN(J$1),FALSE))</f>
        <v>0.56299999999999994</v>
      </c>
      <c r="K2" s="76">
        <f>VLOOKUP($A2, raw[], 11, FALSE)</f>
        <v>0.38</v>
      </c>
      <c r="L2" s="76">
        <f>VLOOKUP($A2, raw[], 12, FALSE)</f>
        <v>0.7</v>
      </c>
      <c r="M2" s="76">
        <f>IF(VLOOKUP($A2,raw[],COLUMN(M$1),FALSE)=0, VLOOKUP($D2, regions[], COLUMN(M$1), FALSE), VLOOKUP($A2,raw[],COLUMN(M$1),FALSE))</f>
        <v>1.4999999999999999E-2</v>
      </c>
      <c r="N2" s="76">
        <f>IF(VLOOKUP($A2,raw[],COLUMN(N$1),FALSE)=0, VLOOKUP($D2, regions[], COLUMN(N$1), FALSE), VLOOKUP($A2,raw[],COLUMN(N$1),FALSE))</f>
        <v>0.26918419033691254</v>
      </c>
      <c r="O2" s="76">
        <f>IF(VLOOKUP($A2,raw[],COLUMN(O$1),FALSE)=0, VLOOKUP($D2, regions[], COLUMN(O$1), FALSE), VLOOKUP($A2,raw[],COLUMN(O$1),FALSE))</f>
        <v>0.8</v>
      </c>
      <c r="P2" s="76">
        <f>IF(VLOOKUP($A2,raw[],COLUMN(P$1),FALSE)=0, VLOOKUP($D2, regions[], COLUMN(P$1), FALSE), VLOOKUP($A2,raw[],COLUMN(P$1),FALSE))</f>
        <v>0.17499999999999999</v>
      </c>
      <c r="Q2" s="80">
        <f>IF(VLOOKUP($A2,raw[],COLUMN(Q$1),FALSE)=0, VLOOKUP($D2, regions[], COLUMN(Q$1), FALSE), VLOOKUP($A2,raw[],COLUMN(Q$1),FALSE))</f>
        <v>2.4239947368421051</v>
      </c>
      <c r="R2" s="80">
        <f>IF(VLOOKUP($A2,raw[],COLUMN(R$1),FALSE)=0, VLOOKUP($D2, regions[], COLUMN(R$1), FALSE), VLOOKUP($A2,raw[],COLUMN(R$1),FALSE))</f>
        <v>24.749374736842107</v>
      </c>
      <c r="S2" s="80">
        <f>IF(VLOOKUP($A2,raw[],COLUMN(S$1),FALSE)=0, VLOOKUP($D2, regions[], COLUMN(S$1), FALSE), VLOOKUP($A2,raw[],COLUMN(S$1),FALSE))</f>
        <v>54.494676354578331</v>
      </c>
      <c r="T2" s="80">
        <f>IF(VLOOKUP($A2,raw[],COLUMN(T$1),FALSE)=0, VLOOKUP($D2, regions[], COLUMN(T$1), FALSE), VLOOKUP($A2,raw[],COLUMN(T$1),FALSE))</f>
        <v>54.768077486715725</v>
      </c>
      <c r="U2" s="80">
        <f>IF(VLOOKUP($A2,raw[],COLUMN(U$1),FALSE)=0, VLOOKUP($D2, regions[], COLUMN(U$1), FALSE), VLOOKUP($A2,raw[],COLUMN(U$1),FALSE))</f>
        <v>54.642537465801951</v>
      </c>
      <c r="V2" s="80">
        <f>IF(VLOOKUP($A2,raw[],COLUMN(V$1),FALSE)=0, VLOOKUP($D2, regions[], COLUMN(V$1), FALSE), VLOOKUP($A2,raw[],COLUMN(V$1),FALSE))</f>
        <v>1.1833275212225594</v>
      </c>
      <c r="W2" s="80">
        <f>IF(VLOOKUP($A2,raw[],COLUMN(W$1),FALSE)=0, VLOOKUP($D2, regions[], COLUMN(W$1), FALSE), VLOOKUP($A2,raw[],COLUMN(W$1),FALSE))</f>
        <v>1.6633275212225593</v>
      </c>
      <c r="X2" s="80">
        <f>IF(VLOOKUP($A2,raw[],COLUMN(X$1),FALSE)=0, VLOOKUP($D2, regions[], COLUMN(X$1), FALSE), VLOOKUP($A2,raw[],COLUMN(X$1),FALSE))</f>
        <v>0.77734835710148453</v>
      </c>
      <c r="Y2" s="80">
        <f>IF(VLOOKUP($A2,raw[],COLUMN(Y$1),FALSE)=0, VLOOKUP($D2, regions[], COLUMN(Y$1), FALSE), VLOOKUP($A2,raw[],COLUMN(Y$1),FALSE))</f>
        <v>1.2573483571014845</v>
      </c>
      <c r="Z2" s="80">
        <f>IF(VLOOKUP($A2,raw[],COLUMN(Z$1),FALSE)=0, VLOOKUP($D2, regions[], COLUMN(Z$1), FALSE), VLOOKUP($A2,raw[],COLUMN(Z$1),FALSE))</f>
        <v>1.2551924305751712</v>
      </c>
      <c r="AA2" s="80">
        <f>IF(VLOOKUP($A2,raw[],COLUMN(AA$1),FALSE)=0, VLOOKUP($D2, regions[], COLUMN(AA$1), FALSE), VLOOKUP($A2,raw[],COLUMN(AA$1),FALSE))</f>
        <v>1.3868278454463139</v>
      </c>
      <c r="AB2" s="80">
        <f>IF(VLOOKUP($A2,raw[],COLUMN(AB$1),FALSE)=0, VLOOKUP($D2, regions[], COLUMN(AB$1), FALSE), VLOOKUP($A2,raw[],COLUMN(AB$1),FALSE))</f>
        <v>1.8668278454463139</v>
      </c>
      <c r="AC2" s="82">
        <f>IF(VLOOKUP($A2,raw[],COLUMN(AC$1),FALSE)=0, VLOOKUP($D2, regions[], COLUMN(AC$1), FALSE), VLOOKUP($A2,raw[],COLUMN(AC$1),FALSE))</f>
        <v>5.1705920000000044E-2</v>
      </c>
      <c r="AD2" s="82">
        <f>IF(VLOOKUP($A2,raw[],COLUMN(AD$1),FALSE)=0, VLOOKUP($D2, regions[], COLUMN(AD$1), FALSE), VLOOKUP($A2,raw[],COLUMN(AD$1),FALSE))</f>
        <v>4.2606139648156119E-3</v>
      </c>
      <c r="AE2" s="82">
        <f>IF(VLOOKUP($A2,raw[],COLUMN(AE$1),FALSE)=0, VLOOKUP($D2, regions[], COLUMN(AE$1), FALSE), VLOOKUP($A2,raw[],COLUMN(AE$1),FALSE))</f>
        <v>1.3223737793075733E-3</v>
      </c>
      <c r="AF2" s="82">
        <f>IF(VLOOKUP($A2,raw[],COLUMN(AF$1),FALSE)=0, VLOOKUP($D2, regions[], COLUMN(AF$1), FALSE), VLOOKUP($A2,raw[],COLUMN(AF$1),FALSE))</f>
        <v>1.0403429192195591E-3</v>
      </c>
      <c r="AG2" s="82">
        <f>IF(VLOOKUP($A2,raw[],COLUMN(AG$1),FALSE)=0, VLOOKUP($D2, regions[], COLUMN(AG$1), FALSE), VLOOKUP($A2,raw[],COLUMN(AG$1),FALSE))</f>
        <v>1.6776300094756157E-3</v>
      </c>
      <c r="AH2" s="82">
        <f>IF(VLOOKUP($A2,raw[],COLUMN(AH$1),FALSE)=0, VLOOKUP($D2, regions[], COLUMN(AH$1), FALSE), VLOOKUP($A2,raw[],COLUMN(AH$1),FALSE))</f>
        <v>2.3376621044886147E-3</v>
      </c>
      <c r="AI2" s="82">
        <f>IF(VLOOKUP($A2,raw[],COLUMN(AI$1),FALSE)=0, VLOOKUP($D2, regions[], COLUMN(AI$1), FALSE), VLOOKUP($A2,raw[],COLUMN(AI$1),FALSE))</f>
        <v>2.5459831968737906E-3</v>
      </c>
      <c r="AJ2" s="82">
        <f>IF(VLOOKUP($A2,raw[],COLUMN(AJ$1),FALSE)=0, VLOOKUP($D2, regions[], COLUMN(AJ$1), FALSE), VLOOKUP($A2,raw[],COLUMN(AJ$1),FALSE))</f>
        <v>2.9144424789079464E-3</v>
      </c>
      <c r="AK2" s="82">
        <f>IF(VLOOKUP($A2,raw[],COLUMN(AK$1),FALSE)=0, VLOOKUP($D2, regions[], COLUMN(AK$1), FALSE), VLOOKUP($A2,raw[],COLUMN(AK$1),FALSE))</f>
        <v>3.609036825722695E-3</v>
      </c>
      <c r="AL2" s="82">
        <f>IF(VLOOKUP($A2,raw[],COLUMN(AL$1),FALSE)=0, VLOOKUP($D2, regions[], COLUMN(AL$1), FALSE), VLOOKUP($A2,raw[],COLUMN(AL$1),FALSE))</f>
        <v>4.7646755307516097E-3</v>
      </c>
      <c r="AM2" s="82">
        <f>IF(VLOOKUP($A2,raw[],COLUMN(AM$1),FALSE)=0, VLOOKUP($D2, regions[], COLUMN(AM$1), FALSE), VLOOKUP($A2,raw[],COLUMN(AM$1),FALSE))</f>
        <v>6.6693979477904005E-3</v>
      </c>
      <c r="AN2" s="82">
        <f>IF(VLOOKUP($A2,raw[],COLUMN(AN$1),FALSE)=0, VLOOKUP($D2, regions[], COLUMN(AN$1), FALSE), VLOOKUP($A2,raw[],COLUMN(AN$1),FALSE))</f>
        <v>9.7111120253384389E-3</v>
      </c>
      <c r="AO2" s="82">
        <f>IF(VLOOKUP($A2,raw[],COLUMN(AO$1),FALSE)=0, VLOOKUP($D2, regions[], COLUMN(AO$1), FALSE), VLOOKUP($A2,raw[],COLUMN(AO$1),FALSE))</f>
        <v>1.4319291152050998E-2</v>
      </c>
      <c r="AP2" s="82">
        <f>IF(VLOOKUP($A2,raw[],COLUMN(AP$1),FALSE)=0, VLOOKUP($D2, regions[], COLUMN(AP$1), FALSE), VLOOKUP($A2,raw[],COLUMN(AP$1),FALSE))</f>
        <v>2.1576406530464876E-2</v>
      </c>
      <c r="AQ2" s="82">
        <f>IF(VLOOKUP($A2,raw[],COLUMN(AQ$1),FALSE)=0, VLOOKUP($D2, regions[], COLUMN(AQ$1), FALSE), VLOOKUP($A2,raw[],COLUMN(AQ$1),FALSE))</f>
        <v>3.2497417745205051E-2</v>
      </c>
      <c r="AR2" s="82">
        <f>IF(VLOOKUP($A2,raw[],COLUMN(AR$1),FALSE)=0, VLOOKUP($D2, regions[], COLUMN(AR$1), FALSE), VLOOKUP($A2,raw[],COLUMN(AR$1),FALSE))</f>
        <v>4.9541629377470205E-2</v>
      </c>
      <c r="AS2" s="82">
        <f>IF(VLOOKUP($A2,raw[],COLUMN(AS$1),FALSE)=0, VLOOKUP($D2, regions[], COLUMN(AS$1), FALSE), VLOOKUP($A2,raw[],COLUMN(AS$1),FALSE))</f>
        <v>7.3784124546607335E-2</v>
      </c>
      <c r="AT2" s="82">
        <f>IF(VLOOKUP($A2,raw[],COLUMN(AT$1),FALSE)=0, VLOOKUP($D2, regions[], COLUMN(AT$1), FALSE), VLOOKUP($A2,raw[],COLUMN(AT$1),FALSE))</f>
        <v>0.10484693966590136</v>
      </c>
      <c r="AU2" s="82">
        <f>IF(VLOOKUP($A2,raw[],COLUMN(AU$1),FALSE)=0, VLOOKUP($D2, regions[], COLUMN(AU$1), FALSE), VLOOKUP($A2,raw[],COLUMN(AU$1),FALSE))</f>
        <v>0.13730355211350781</v>
      </c>
      <c r="AV2" s="82">
        <f>IF(VLOOKUP($A2,raw[],COLUMN(AV$1),FALSE)=0, VLOOKUP($D2, regions[], COLUMN(AV$1), FALSE), VLOOKUP($A2,raw[],COLUMN(AV$1),FALSE))</f>
        <v>0.16337379458024129</v>
      </c>
      <c r="AW2" s="82">
        <f>IF(VLOOKUP($A2,raw[],COLUMN(AW$1),FALSE)=0, VLOOKUP($D2, regions[], COLUMN(AW$1), FALSE), VLOOKUP($A2,raw[],COLUMN(AW$1),FALSE))</f>
        <v>0.18004602647935439</v>
      </c>
      <c r="AX2" s="82">
        <f>IF(VLOOKUP($A2,raw[],COLUMN(AX$1),FALSE)=0, VLOOKUP($D2, regions[], COLUMN(AX$1), FALSE), VLOOKUP($A2,raw[],COLUMN(AX$1),FALSE))</f>
        <v>64.278999999999996</v>
      </c>
      <c r="AY2" t="str">
        <f t="shared" ref="AY2:AY33" si="0">IF($K2=0,"Yes", "No")</f>
        <v>No</v>
      </c>
    </row>
    <row r="3" spans="1:51" x14ac:dyDescent="0.25">
      <c r="A3" s="55" t="s">
        <v>199</v>
      </c>
      <c r="B3" s="56" t="s">
        <v>200</v>
      </c>
      <c r="C3" s="56">
        <v>8</v>
      </c>
      <c r="D3" s="56" t="s">
        <v>201</v>
      </c>
      <c r="E3" s="56" t="s">
        <v>202</v>
      </c>
      <c r="F3" s="56" t="s">
        <v>203</v>
      </c>
      <c r="G3" s="56" t="s">
        <v>204</v>
      </c>
      <c r="H3" s="74">
        <f>VLOOKUP(lmics[[#This Row],[setting]],raw[],8,FALSE)</f>
        <v>2877800</v>
      </c>
      <c r="I3" s="74">
        <f>VLOOKUP(lmics[[#This Row],[setting]],raw[],9,FALSE)</f>
        <v>33940.773200000003</v>
      </c>
      <c r="J3" s="67">
        <f>IF(VLOOKUP($A3,raw[],COLUMN(J$1),FALSE)=0, VLOOKUP($D3, regions[], COLUMN(J$1), FALSE), VLOOKUP($A3,raw[],COLUMN(J$1),FALSE))</f>
        <v>0.98599999999999999</v>
      </c>
      <c r="K3" s="77">
        <f>VLOOKUP($A3, raw[], 11, FALSE)</f>
        <v>0.99</v>
      </c>
      <c r="L3" s="77">
        <f>VLOOKUP($A3, raw[], 12, FALSE)</f>
        <v>0.98</v>
      </c>
      <c r="M3" s="77">
        <f>IF(VLOOKUP($A3,raw[],COLUMN(M$1),FALSE)=0, VLOOKUP($D3, regions[], COLUMN(M$1), FALSE), VLOOKUP($A3,raw[],COLUMN(M$1),FALSE))</f>
        <v>7.4900000000000008E-2</v>
      </c>
      <c r="N3" s="68">
        <f>IF(VLOOKUP($A3,raw[],COLUMN(N$1),FALSE)=0, VLOOKUP($D3, regions[], COLUMN(N$1), FALSE), VLOOKUP($A3,raw[],COLUMN(N$1),FALSE))</f>
        <v>0.30532311464421369</v>
      </c>
      <c r="O3" s="67">
        <f>IF(VLOOKUP($A3,raw[],COLUMN(O$1),FALSE)=0, VLOOKUP($D3, regions[], COLUMN(O$1), FALSE), VLOOKUP($A3,raw[],COLUMN(O$1),FALSE))</f>
        <v>0.8</v>
      </c>
      <c r="P3" s="68">
        <f>IF(VLOOKUP($A3,raw[],COLUMN(P$1),FALSE)=0, VLOOKUP($D3, regions[], COLUMN(P$1), FALSE), VLOOKUP($A3,raw[],COLUMN(P$1),FALSE))</f>
        <v>0.17499999999999999</v>
      </c>
      <c r="Q3" s="70">
        <f>IF(VLOOKUP($A3,raw[],COLUMN(Q$1),FALSE)=0, VLOOKUP($D3, regions[], COLUMN(Q$1), FALSE), VLOOKUP($A3,raw[],COLUMN(Q$1),FALSE))</f>
        <v>8.3499379127907005</v>
      </c>
      <c r="R3" s="70">
        <f>IF(VLOOKUP($A3,raw[],COLUMN(R$1),FALSE)=0, VLOOKUP($D3, regions[], COLUMN(R$1), FALSE), VLOOKUP($A3,raw[],COLUMN(R$1),FALSE))</f>
        <v>30.675317912790703</v>
      </c>
      <c r="S3" s="70">
        <f>IF(VLOOKUP($A3,raw[],COLUMN(S$1),FALSE)=0, VLOOKUP($D3, regions[], COLUMN(S$1), FALSE), VLOOKUP($A3,raw[],COLUMN(S$1),FALSE))</f>
        <v>80.265752401341132</v>
      </c>
      <c r="T3" s="70">
        <f>IF(VLOOKUP($A3,raw[],COLUMN(U$1)-COLUMN($A$1),FALSE)=0, VLOOKUP($D3, regions[], COLUMN(U$1)-COLUMN($A$1), FALSE), VLOOKUP($A3,raw[],COLUMN(U$1)-COLUMN($A$1),FALSE))</f>
        <v>90.867851582571802</v>
      </c>
      <c r="U3" s="70">
        <f>IF(VLOOKUP($A3,raw[],COLUMN(V$1)-COLUMN($A$1),FALSE)=0, VLOOKUP($D3, regions[], COLUMN(V$1)-COLUMN($A$1), FALSE), VLOOKUP($A3,raw[],COLUMN(V$1)-COLUMN($A$1),FALSE))</f>
        <v>85.999591738378115</v>
      </c>
      <c r="V3" s="70">
        <f>IF(VLOOKUP($A3,raw[],COLUMN(W$1)-COLUMN($A$1),FALSE)=0, VLOOKUP($D3, regions[], COLUMN(W$1)-COLUMN($A$1), FALSE), VLOOKUP($A3,raw[],COLUMN(W$1)-COLUMN($A$1),FALSE))</f>
        <v>7.0995100654434689</v>
      </c>
      <c r="W3" s="70">
        <f>IF(VLOOKUP($A3,raw[],COLUMN(X$1)-COLUMN($A$1),FALSE)=0, VLOOKUP($D3, regions[], COLUMN(X$1)-COLUMN($A$1), FALSE), VLOOKUP($A3,raw[],COLUMN(X$1)-COLUMN($A$1),FALSE))</f>
        <v>11.169510065443468</v>
      </c>
      <c r="X3" s="70">
        <f>IF(VLOOKUP($A3,raw[],COLUMN(Y$1)-COLUMN($A$1),FALSE)=0, VLOOKUP($D3, regions[], COLUMN(Y$1)-COLUMN($A$1), FALSE), VLOOKUP($A3,raw[],COLUMN(Y$1)-COLUMN($A$1),FALSE))</f>
        <v>6.6822875457658242</v>
      </c>
      <c r="Y3" s="70">
        <f>IF(VLOOKUP($A3,raw[],COLUMN(Z$1)-COLUMN($A$1),FALSE)=0, VLOOKUP($D3, regions[], COLUMN(Z$1)-COLUMN($A$1), FALSE), VLOOKUP($A3,raw[],COLUMN(Z$1)-COLUMN($A$1),FALSE))</f>
        <v>10.752287545765824</v>
      </c>
      <c r="Z3" s="70">
        <f>IF(VLOOKUP($A3,raw[],COLUMN(AA$1)-COLUMN($A$1),FALSE)=0, VLOOKUP($D3, regions[], COLUMN(AA$1)-COLUMN($A$1), FALSE), VLOOKUP($A3,raw[],COLUMN(AA$1)-COLUMN($A$1),FALSE))</f>
        <v>10.74598097654116</v>
      </c>
      <c r="AA3" s="70">
        <f>IF(VLOOKUP($A3,raw[],COLUMN(AB$1)-COLUMN($A$1),FALSE)=0, VLOOKUP($D3, regions[], COLUMN(AB$1)-COLUMN($A$1), FALSE), VLOOKUP($A3,raw[],COLUMN(AB$1)-COLUMN($A$1),FALSE))</f>
        <v>7.3070188903439135</v>
      </c>
      <c r="AB3" s="70">
        <f>IF(VLOOKUP($A3,raw[],COLUMN(AC$1)-COLUMN($A$1),FALSE)=0, VLOOKUP($D3, regions[], COLUMN(AC$1)-COLUMN($A$1), FALSE), VLOOKUP($A3,raw[],COLUMN(AC$1)-COLUMN($A$1),FALSE))</f>
        <v>11.377018890343914</v>
      </c>
      <c r="AC3" s="72">
        <f>IF(VLOOKUP($A3,raw[],COLUMN(AD$1)-COLUMN($A$1),FALSE)=0, VLOOKUP($D3, regions[], COLUMN(AD$1)-COLUMN($A$1), FALSE), VLOOKUP($A3,raw[],COLUMN(AD$1)-COLUMN($A$1),FALSE))</f>
        <v>8.0318399999999377E-3</v>
      </c>
      <c r="AD3" s="72">
        <f>IF(VLOOKUP($A3,raw[],COLUMN(AE$1)-COLUMN($A$1),FALSE)=0, VLOOKUP($D3, regions[], COLUMN(AE$1)-COLUMN($A$1), FALSE), VLOOKUP($A3,raw[],COLUMN(AE$1)-COLUMN($A$1),FALSE))</f>
        <v>8.4250436022062644E-4</v>
      </c>
      <c r="AE3" s="72">
        <f>IF(VLOOKUP($A3,raw[],COLUMN(AF$1)-COLUMN($A$1),FALSE)=0, VLOOKUP($D3, regions[], COLUMN(AF$1)-COLUMN($A$1), FALSE), VLOOKUP($A3,raw[],COLUMN(AF$1)-COLUMN($A$1),FALSE))</f>
        <v>2.2317860981916986E-4</v>
      </c>
      <c r="AF3" s="72">
        <f>IF(VLOOKUP($A3,raw[],COLUMN(AG$1)-COLUMN($A$1),FALSE)=0, VLOOKUP($D3, regions[], COLUMN(AG$1)-COLUMN($A$1), FALSE), VLOOKUP($A3,raw[],COLUMN(AG$1)-COLUMN($A$1),FALSE))</f>
        <v>2.6798997624367677E-4</v>
      </c>
      <c r="AG3" s="72">
        <f>IF(VLOOKUP($A3,raw[],COLUMN(AH$1)-COLUMN($A$1),FALSE)=0, VLOOKUP($D3, regions[], COLUMN(AH$1)-COLUMN($A$1), FALSE), VLOOKUP($A3,raw[],COLUMN(AH$1)-COLUMN($A$1),FALSE))</f>
        <v>3.7176075192468263E-4</v>
      </c>
      <c r="AH3" s="72">
        <f>IF(VLOOKUP($A3,raw[],COLUMN(AI$1)-COLUMN($A$1),FALSE)=0, VLOOKUP($D3, regions[], COLUMN(AI$1)-COLUMN($A$1), FALSE), VLOOKUP($A3,raw[],COLUMN(AI$1)-COLUMN($A$1),FALSE))</f>
        <v>4.2405787776233654E-4</v>
      </c>
      <c r="AI3" s="72">
        <f>IF(VLOOKUP($A3,raw[],COLUMN(AJ$1)-COLUMN($A$1),FALSE)=0, VLOOKUP($D3, regions[], COLUMN(AJ$1)-COLUMN($A$1), FALSE), VLOOKUP($A3,raw[],COLUMN(AJ$1)-COLUMN($A$1),FALSE))</f>
        <v>4.8909551098896039E-4</v>
      </c>
      <c r="AJ3" s="72">
        <f>IF(VLOOKUP($A3,raw[],COLUMN(AK$1)-COLUMN($A$1),FALSE)=0, VLOOKUP($D3, regions[], COLUMN(AK$1)-COLUMN($A$1), FALSE), VLOOKUP($A3,raw[],COLUMN(AK$1)-COLUMN($A$1),FALSE))</f>
        <v>6.2990804911251211E-4</v>
      </c>
      <c r="AK3" s="72">
        <f>IF(VLOOKUP($A3,raw[],COLUMN(AL$1)-COLUMN($A$1),FALSE)=0, VLOOKUP($D3, regions[], COLUMN(AL$1)-COLUMN($A$1), FALSE), VLOOKUP($A3,raw[],COLUMN(AL$1)-COLUMN($A$1),FALSE))</f>
        <v>1.0313924221536234E-3</v>
      </c>
      <c r="AL3" s="72">
        <f>IF(VLOOKUP($A3,raw[],COLUMN(AM$1)-COLUMN($A$1),FALSE)=0, VLOOKUP($D3, regions[], COLUMN(AM$1)-COLUMN($A$1), FALSE), VLOOKUP($A3,raw[],COLUMN(AM$1)-COLUMN($A$1),FALSE))</f>
        <v>1.3959762528935795E-3</v>
      </c>
      <c r="AM3" s="72">
        <f>IF(VLOOKUP($A3,raw[],COLUMN(AN$1)-COLUMN($A$1),FALSE)=0, VLOOKUP($D3, regions[], COLUMN(AN$1)-COLUMN($A$1), FALSE), VLOOKUP($A3,raw[],COLUMN(AN$1)-COLUMN($A$1),FALSE))</f>
        <v>2.1704545902039244E-3</v>
      </c>
      <c r="AN3" s="72">
        <f>IF(VLOOKUP($A3,raw[],COLUMN(AO$1)-COLUMN($A$1),FALSE)=0, VLOOKUP($D3, regions[], COLUMN(AO$1)-COLUMN($A$1), FALSE), VLOOKUP($A3,raw[],COLUMN(AO$1)-COLUMN($A$1),FALSE))</f>
        <v>3.3020118804220071E-3</v>
      </c>
      <c r="AO3" s="72">
        <f>IF(VLOOKUP($A3,raw[],COLUMN(AP$1)-COLUMN($A$1),FALSE)=0, VLOOKUP($D3, regions[], COLUMN(AP$1)-COLUMN($A$1), FALSE), VLOOKUP($A3,raw[],COLUMN(AP$1)-COLUMN($A$1),FALSE))</f>
        <v>5.0602741383161285E-3</v>
      </c>
      <c r="AP3" s="72">
        <f>IF(VLOOKUP($A3,raw[],COLUMN(AQ$1)-COLUMN($A$1),FALSE)=0, VLOOKUP($D3, regions[], COLUMN(AQ$1)-COLUMN($A$1), FALSE), VLOOKUP($A3,raw[],COLUMN(AQ$1)-COLUMN($A$1),FALSE))</f>
        <v>7.866762211831288E-3</v>
      </c>
      <c r="AQ3" s="72">
        <f>IF(VLOOKUP($A3,raw[],COLUMN(AR$1)-COLUMN($A$1),FALSE)=0, VLOOKUP($D3, regions[], COLUMN(AR$1)-COLUMN($A$1), FALSE), VLOOKUP($A3,raw[],COLUMN(AR$1)-COLUMN($A$1),FALSE))</f>
        <v>1.3123521533742875E-2</v>
      </c>
      <c r="AR3" s="72">
        <f>IF(VLOOKUP($A3,raw[],COLUMN(AS$1)-COLUMN($A$1),FALSE)=0, VLOOKUP($D3, regions[], COLUMN(AS$1)-COLUMN($A$1), FALSE), VLOOKUP($A3,raw[],COLUMN(AS$1)-COLUMN($A$1),FALSE))</f>
        <v>2.3054826475283081E-2</v>
      </c>
      <c r="AS3" s="72">
        <f>IF(VLOOKUP($A3,raw[],COLUMN(AT$1)-COLUMN($A$1),FALSE)=0, VLOOKUP($D3, regions[], COLUMN(AT$1)-COLUMN($A$1), FALSE), VLOOKUP($A3,raw[],COLUMN(AT$1)-COLUMN($A$1),FALSE))</f>
        <v>4.1927826476598151E-2</v>
      </c>
      <c r="AT3" s="72">
        <f>IF(VLOOKUP($A3,raw[],COLUMN(AU$1)-COLUMN($A$1),FALSE)=0, VLOOKUP($D3, regions[], COLUMN(AU$1)-COLUMN($A$1), FALSE), VLOOKUP($A3,raw[],COLUMN(AU$1)-COLUMN($A$1),FALSE))</f>
        <v>7.6053886195852127E-2</v>
      </c>
      <c r="AU3" s="72">
        <f>IF(VLOOKUP($A3,raw[],COLUMN(AV$1)-COLUMN($A$1),FALSE)=0, VLOOKUP($D3, regions[], COLUMN(AV$1)-COLUMN($A$1), FALSE), VLOOKUP($A3,raw[],COLUMN(AV$1)-COLUMN($A$1),FALSE))</f>
        <v>0.11294501020573071</v>
      </c>
      <c r="AV3" s="72">
        <f>IF(VLOOKUP($A3,raw[],COLUMN(AW$1)-COLUMN($A$1),FALSE)=0, VLOOKUP($D3, regions[], COLUMN(AW$1)-COLUMN($A$1), FALSE), VLOOKUP($A3,raw[],COLUMN(AW$1)-COLUMN($A$1),FALSE))</f>
        <v>0.15012019915822183</v>
      </c>
      <c r="AW3" s="72">
        <f>IF(VLOOKUP($A3,raw[],COLUMN(AX$1)-COLUMN($A$1),FALSE)=0, VLOOKUP($D3, regions[], COLUMN(AX$1)-COLUMN($A$1), FALSE), VLOOKUP($A3,raw[],COLUMN(AX$1)-COLUMN($A$1),FALSE))</f>
        <v>0.177809734375277</v>
      </c>
      <c r="AX3" s="72">
        <f>IF(VLOOKUP($A3,raw[],COLUMN(AY$1)-COLUMN($A$1),FALSE)=0, VLOOKUP($D3, regions[], COLUMN(AY$1)-COLUMN($A$1), FALSE), VLOOKUP($A3,raw[],COLUMN(AY$1)-COLUMN($A$1),FALSE))</f>
        <v>78.376999999999995</v>
      </c>
      <c r="AY3" t="str">
        <f t="shared" si="0"/>
        <v>No</v>
      </c>
    </row>
    <row r="4" spans="1:51" x14ac:dyDescent="0.25">
      <c r="A4" s="53" t="s">
        <v>205</v>
      </c>
      <c r="B4" s="54" t="s">
        <v>206</v>
      </c>
      <c r="C4" s="54">
        <v>12</v>
      </c>
      <c r="D4" s="54" t="s">
        <v>207</v>
      </c>
      <c r="E4" s="54" t="s">
        <v>197</v>
      </c>
      <c r="F4" s="54" t="s">
        <v>197</v>
      </c>
      <c r="G4" s="54" t="s">
        <v>204</v>
      </c>
      <c r="H4" s="73">
        <f>VLOOKUP(lmics[[#This Row],[setting]],raw[],8,FALSE)</f>
        <v>43851043</v>
      </c>
      <c r="I4" s="73">
        <f>VLOOKUP(lmics[[#This Row],[setting]],raw[],9,FALSE)</f>
        <v>1082682.2516699999</v>
      </c>
      <c r="J4" s="67">
        <f>IF(VLOOKUP($A4,raw[],COLUMN(J$1),FALSE)=0, VLOOKUP($D4, regions[], COLUMN(J$1), FALSE), VLOOKUP($A4,raw[],COLUMN(J$1),FALSE))</f>
        <v>0.96799999999999997</v>
      </c>
      <c r="K4" s="77">
        <f>VLOOKUP($A4, raw[], 11, FALSE)</f>
        <v>0.99</v>
      </c>
      <c r="L4" s="77">
        <f>VLOOKUP($A4, raw[], 12, FALSE)</f>
        <v>0.91</v>
      </c>
      <c r="M4" s="77">
        <f>IF(VLOOKUP($A4,raw[],COLUMN(M$1),FALSE)=0, VLOOKUP($D4, regions[], COLUMN(M$1), FALSE), VLOOKUP($A4,raw[],COLUMN(M$1),FALSE))</f>
        <v>2.2700000000000001E-2</v>
      </c>
      <c r="N4" s="68">
        <f>IF(VLOOKUP($A4,raw[],COLUMN(N$1),FALSE)=0, VLOOKUP($D4, regions[], COLUMN(N$1), FALSE), VLOOKUP($A4,raw[],COLUMN(N$1),FALSE))</f>
        <v>0.23968205779100432</v>
      </c>
      <c r="O4" s="67">
        <f>IF(VLOOKUP($A4,raw[],COLUMN(O$1),FALSE)=0, VLOOKUP($D4, regions[], COLUMN(O$1), FALSE), VLOOKUP($A4,raw[],COLUMN(O$1),FALSE))</f>
        <v>0.8</v>
      </c>
      <c r="P4" s="68">
        <f>IF(VLOOKUP($A4,raw[],COLUMN(P$1),FALSE)=0, VLOOKUP($D4, regions[], COLUMN(P$1), FALSE), VLOOKUP($A4,raw[],COLUMN(P$1),FALSE))</f>
        <v>0.17499999999999999</v>
      </c>
      <c r="Q4" s="70">
        <f>IF(VLOOKUP($A4,raw[],COLUMN(Q$1),FALSE)=0, VLOOKUP($D4, regions[], COLUMN(Q$1), FALSE), VLOOKUP($A4,raw[],COLUMN(Q$1),FALSE))</f>
        <v>6.7915806639624297</v>
      </c>
      <c r="R4" s="70">
        <f>IF(VLOOKUP($A4,raw[],COLUMN(R$1),FALSE)=0, VLOOKUP($D4, regions[], COLUMN(R$1), FALSE), VLOOKUP($A4,raw[],COLUMN(R$1),FALSE))</f>
        <v>29.116960663962431</v>
      </c>
      <c r="S4" s="70">
        <f>IF(VLOOKUP($A4,raw[],COLUMN(S$1),FALSE)=0, VLOOKUP($D4, regions[], COLUMN(S$1), FALSE), VLOOKUP($A4,raw[],COLUMN(S$1),FALSE))</f>
        <v>73.303199413317202</v>
      </c>
      <c r="T4" s="70">
        <f>IF(VLOOKUP($A4,raw[],COLUMN(U$1)-COLUMN($A$1),FALSE)=0, VLOOKUP($D4, regions[], COLUMN(U$1)-COLUMN($A$1), FALSE), VLOOKUP($A4,raw[],COLUMN(U$1)-COLUMN($A$1),FALSE))</f>
        <v>81.092603595138769</v>
      </c>
      <c r="U4" s="70">
        <f>IF(VLOOKUP($A4,raw[],COLUMN(V$1)-COLUMN($A$1),FALSE)=0, VLOOKUP($D4, regions[], COLUMN(V$1)-COLUMN($A$1), FALSE), VLOOKUP($A4,raw[],COLUMN(V$1)-COLUMN($A$1),FALSE))</f>
        <v>77.515873841875475</v>
      </c>
      <c r="V4" s="70">
        <f>IF(VLOOKUP($A4,raw[],COLUMN(W$1)-COLUMN($A$1),FALSE)=0, VLOOKUP($D4, regions[], COLUMN(W$1)-COLUMN($A$1), FALSE), VLOOKUP($A4,raw[],COLUMN(W$1)-COLUMN($A$1),FALSE))</f>
        <v>3.3459761811579432</v>
      </c>
      <c r="W4" s="70">
        <f>IF(VLOOKUP($A4,raw[],COLUMN(X$1)-COLUMN($A$1),FALSE)=0, VLOOKUP($D4, regions[], COLUMN(X$1)-COLUMN($A$1), FALSE), VLOOKUP($A4,raw[],COLUMN(X$1)-COLUMN($A$1),FALSE))</f>
        <v>3.8259761811579431</v>
      </c>
      <c r="X4" s="70">
        <f>IF(VLOOKUP($A4,raw[],COLUMN(Y$1)-COLUMN($A$1),FALSE)=0, VLOOKUP($D4, regions[], COLUMN(Y$1)-COLUMN($A$1), FALSE), VLOOKUP($A4,raw[],COLUMN(Y$1)-COLUMN($A$1),FALSE))</f>
        <v>2.9244179759310018</v>
      </c>
      <c r="Y4" s="70">
        <f>IF(VLOOKUP($A4,raw[],COLUMN(Z$1)-COLUMN($A$1),FALSE)=0, VLOOKUP($D4, regions[], COLUMN(Z$1)-COLUMN($A$1), FALSE), VLOOKUP($A4,raw[],COLUMN(Z$1)-COLUMN($A$1),FALSE))</f>
        <v>3.4044179759310018</v>
      </c>
      <c r="Z4" s="70">
        <f>IF(VLOOKUP($A4,raw[],COLUMN(AA$1)-COLUMN($A$1),FALSE)=0, VLOOKUP($D4, regions[], COLUMN(AA$1)-COLUMN($A$1), FALSE), VLOOKUP($A4,raw[],COLUMN(AA$1)-COLUMN($A$1),FALSE))</f>
        <v>3.3956001934754427</v>
      </c>
      <c r="AA4" s="70">
        <f>IF(VLOOKUP($A4,raw[],COLUMN(AB$1)-COLUMN($A$1),FALSE)=0, VLOOKUP($D4, regions[], COLUMN(AB$1)-COLUMN($A$1), FALSE), VLOOKUP($A4,raw[],COLUMN(AB$1)-COLUMN($A$1),FALSE))</f>
        <v>3.5550307722107459</v>
      </c>
      <c r="AB4" s="70">
        <f>IF(VLOOKUP($A4,raw[],COLUMN(AC$1)-COLUMN($A$1),FALSE)=0, VLOOKUP($D4, regions[], COLUMN(AC$1)-COLUMN($A$1), FALSE), VLOOKUP($A4,raw[],COLUMN(AC$1)-COLUMN($A$1),FALSE))</f>
        <v>4.0350307722107459</v>
      </c>
      <c r="AC4" s="72">
        <f>IF(VLOOKUP($A4,raw[],COLUMN(AD$1)-COLUMN($A$1),FALSE)=0, VLOOKUP($D4, regions[], COLUMN(AD$1)-COLUMN($A$1), FALSE), VLOOKUP($A4,raw[],COLUMN(AD$1)-COLUMN($A$1),FALSE))</f>
        <v>2.1249119999999965E-2</v>
      </c>
      <c r="AD4" s="72">
        <f>IF(VLOOKUP($A4,raw[],COLUMN(AE$1)-COLUMN($A$1),FALSE)=0, VLOOKUP($D4, regions[], COLUMN(AE$1)-COLUMN($A$1), FALSE), VLOOKUP($A4,raw[],COLUMN(AE$1)-COLUMN($A$1),FALSE))</f>
        <v>8.7360585565963197E-4</v>
      </c>
      <c r="AE4" s="72">
        <f>IF(VLOOKUP($A4,raw[],COLUMN(AF$1)-COLUMN($A$1),FALSE)=0, VLOOKUP($D4, regions[], COLUMN(AF$1)-COLUMN($A$1), FALSE), VLOOKUP($A4,raw[],COLUMN(AF$1)-COLUMN($A$1),FALSE))</f>
        <v>4.4564371401777575E-4</v>
      </c>
      <c r="AF4" s="72">
        <f>IF(VLOOKUP($A4,raw[],COLUMN(AG$1)-COLUMN($A$1),FALSE)=0, VLOOKUP($D4, regions[], COLUMN(AG$1)-COLUMN($A$1), FALSE), VLOOKUP($A4,raw[],COLUMN(AG$1)-COLUMN($A$1),FALSE))</f>
        <v>3.9593798109506111E-4</v>
      </c>
      <c r="AG4" s="72">
        <f>IF(VLOOKUP($A4,raw[],COLUMN(AH$1)-COLUMN($A$1),FALSE)=0, VLOOKUP($D4, regions[], COLUMN(AH$1)-COLUMN($A$1), FALSE), VLOOKUP($A4,raw[],COLUMN(AH$1)-COLUMN($A$1),FALSE))</f>
        <v>5.6704949804367783E-4</v>
      </c>
      <c r="AH4" s="72">
        <f>IF(VLOOKUP($A4,raw[],COLUMN(AI$1)-COLUMN($A$1),FALSE)=0, VLOOKUP($D4, regions[], COLUMN(AI$1)-COLUMN($A$1), FALSE), VLOOKUP($A4,raw[],COLUMN(AI$1)-COLUMN($A$1),FALSE))</f>
        <v>7.3783872027635298E-4</v>
      </c>
      <c r="AI4" s="72">
        <f>IF(VLOOKUP($A4,raw[],COLUMN(AJ$1)-COLUMN($A$1),FALSE)=0, VLOOKUP($D4, regions[], COLUMN(AJ$1)-COLUMN($A$1), FALSE), VLOOKUP($A4,raw[],COLUMN(AJ$1)-COLUMN($A$1),FALSE))</f>
        <v>8.7070601082287142E-4</v>
      </c>
      <c r="AJ4" s="72">
        <f>IF(VLOOKUP($A4,raw[],COLUMN(AK$1)-COLUMN($A$1),FALSE)=0, VLOOKUP($D4, regions[], COLUMN(AK$1)-COLUMN($A$1), FALSE), VLOOKUP($A4,raw[],COLUMN(AK$1)-COLUMN($A$1),FALSE))</f>
        <v>1.028566990157689E-3</v>
      </c>
      <c r="AK4" s="72">
        <f>IF(VLOOKUP($A4,raw[],COLUMN(AL$1)-COLUMN($A$1),FALSE)=0, VLOOKUP($D4, regions[], COLUMN(AL$1)-COLUMN($A$1), FALSE), VLOOKUP($A4,raw[],COLUMN(AL$1)-COLUMN($A$1),FALSE))</f>
        <v>1.3809450743979008E-3</v>
      </c>
      <c r="AL4" s="72">
        <f>IF(VLOOKUP($A4,raw[],COLUMN(AM$1)-COLUMN($A$1),FALSE)=0, VLOOKUP($D4, regions[], COLUMN(AM$1)-COLUMN($A$1), FALSE), VLOOKUP($A4,raw[],COLUMN(AM$1)-COLUMN($A$1),FALSE))</f>
        <v>1.8717658959456205E-3</v>
      </c>
      <c r="AM4" s="72">
        <f>IF(VLOOKUP($A4,raw[],COLUMN(AN$1)-COLUMN($A$1),FALSE)=0, VLOOKUP($D4, regions[], COLUMN(AN$1)-COLUMN($A$1), FALSE), VLOOKUP($A4,raw[],COLUMN(AN$1)-COLUMN($A$1),FALSE))</f>
        <v>2.736853494921429E-3</v>
      </c>
      <c r="AN4" s="72">
        <f>IF(VLOOKUP($A4,raw[],COLUMN(AO$1)-COLUMN($A$1),FALSE)=0, VLOOKUP($D4, regions[], COLUMN(AO$1)-COLUMN($A$1), FALSE), VLOOKUP($A4,raw[],COLUMN(AO$1)-COLUMN($A$1),FALSE))</f>
        <v>4.0457467589482864E-3</v>
      </c>
      <c r="AO4" s="72">
        <f>IF(VLOOKUP($A4,raw[],COLUMN(AP$1)-COLUMN($A$1),FALSE)=0, VLOOKUP($D4, regions[], COLUMN(AP$1)-COLUMN($A$1), FALSE), VLOOKUP($A4,raw[],COLUMN(AP$1)-COLUMN($A$1),FALSE))</f>
        <v>6.1231225039840784E-3</v>
      </c>
      <c r="AP4" s="72">
        <f>IF(VLOOKUP($A4,raw[],COLUMN(AQ$1)-COLUMN($A$1),FALSE)=0, VLOOKUP($D4, regions[], COLUMN(AQ$1)-COLUMN($A$1), FALSE), VLOOKUP($A4,raw[],COLUMN(AQ$1)-COLUMN($A$1),FALSE))</f>
        <v>9.7041589296345092E-3</v>
      </c>
      <c r="AQ4" s="72">
        <f>IF(VLOOKUP($A4,raw[],COLUMN(AR$1)-COLUMN($A$1),FALSE)=0, VLOOKUP($D4, regions[], COLUMN(AR$1)-COLUMN($A$1), FALSE), VLOOKUP($A4,raw[],COLUMN(AR$1)-COLUMN($A$1),FALSE))</f>
        <v>1.4742220491101176E-2</v>
      </c>
      <c r="AR4" s="72">
        <f>IF(VLOOKUP($A4,raw[],COLUMN(AS$1)-COLUMN($A$1),FALSE)=0, VLOOKUP($D4, regions[], COLUMN(AS$1)-COLUMN($A$1), FALSE), VLOOKUP($A4,raw[],COLUMN(AS$1)-COLUMN($A$1),FALSE))</f>
        <v>2.4022125767238396E-2</v>
      </c>
      <c r="AS4" s="72">
        <f>IF(VLOOKUP($A4,raw[],COLUMN(AT$1)-COLUMN($A$1),FALSE)=0, VLOOKUP($D4, regions[], COLUMN(AT$1)-COLUMN($A$1), FALSE), VLOOKUP($A4,raw[],COLUMN(AT$1)-COLUMN($A$1),FALSE))</f>
        <v>4.0621677612523242E-2</v>
      </c>
      <c r="AT4" s="72">
        <f>IF(VLOOKUP($A4,raw[],COLUMN(AU$1)-COLUMN($A$1),FALSE)=0, VLOOKUP($D4, regions[], COLUMN(AU$1)-COLUMN($A$1), FALSE), VLOOKUP($A4,raw[],COLUMN(AU$1)-COLUMN($A$1),FALSE))</f>
        <v>6.7112669233193367E-2</v>
      </c>
      <c r="AU4" s="72">
        <f>IF(VLOOKUP($A4,raw[],COLUMN(AV$1)-COLUMN($A$1),FALSE)=0, VLOOKUP($D4, regions[], COLUMN(AV$1)-COLUMN($A$1), FALSE), VLOOKUP($A4,raw[],COLUMN(AV$1)-COLUMN($A$1),FALSE))</f>
        <v>0.1009025873396231</v>
      </c>
      <c r="AV4" s="72">
        <f>IF(VLOOKUP($A4,raw[],COLUMN(AW$1)-COLUMN($A$1),FALSE)=0, VLOOKUP($D4, regions[], COLUMN(AW$1)-COLUMN($A$1), FALSE), VLOOKUP($A4,raw[],COLUMN(AW$1)-COLUMN($A$1),FALSE))</f>
        <v>0.13501033306710375</v>
      </c>
      <c r="AW4" s="72">
        <f>IF(VLOOKUP($A4,raw[],COLUMN(AX$1)-COLUMN($A$1),FALSE)=0, VLOOKUP($D4, regions[], COLUMN(AX$1)-COLUMN($A$1), FALSE), VLOOKUP($A4,raw[],COLUMN(AX$1)-COLUMN($A$1),FALSE))</f>
        <v>0.16275439500847341</v>
      </c>
      <c r="AX4" s="72">
        <f>IF(VLOOKUP($A4,raw[],COLUMN(AY$1)-COLUMN($A$1),FALSE)=0, VLOOKUP($D4, regions[], COLUMN(AY$1)-COLUMN($A$1), FALSE), VLOOKUP($A4,raw[],COLUMN(AY$1)-COLUMN($A$1),FALSE))</f>
        <v>76.593000000000004</v>
      </c>
      <c r="AY4" t="str">
        <f t="shared" si="0"/>
        <v>No</v>
      </c>
    </row>
    <row r="5" spans="1:51" x14ac:dyDescent="0.25">
      <c r="A5" s="55" t="s">
        <v>208</v>
      </c>
      <c r="B5" s="56" t="s">
        <v>209</v>
      </c>
      <c r="C5" s="56">
        <v>24</v>
      </c>
      <c r="D5" s="56" t="s">
        <v>207</v>
      </c>
      <c r="E5" s="56" t="s">
        <v>210</v>
      </c>
      <c r="F5" s="56" t="s">
        <v>211</v>
      </c>
      <c r="G5" s="56" t="s">
        <v>212</v>
      </c>
      <c r="H5" s="74">
        <f>VLOOKUP(lmics[[#This Row],[setting]],raw[],8,FALSE)</f>
        <v>32866267.999999996</v>
      </c>
      <c r="I5" s="74">
        <f>VLOOKUP(lmics[[#This Row],[setting]],raw[],9,FALSE)</f>
        <v>1344986.2853639999</v>
      </c>
      <c r="J5" s="67">
        <f>IF(VLOOKUP($A5,raw[],COLUMN(J$1),FALSE)=0, VLOOKUP($D5, regions[], COLUMN(J$1), FALSE), VLOOKUP($A5,raw[],COLUMN(J$1),FALSE))</f>
        <v>0.45600000000000002</v>
      </c>
      <c r="K5" s="77">
        <f>VLOOKUP($A5, raw[], 11, FALSE)</f>
        <v>0</v>
      </c>
      <c r="L5" s="77">
        <f>VLOOKUP($A5, raw[], 12, FALSE)</f>
        <v>0.47</v>
      </c>
      <c r="M5" s="77">
        <f>IF(VLOOKUP($A5,raw[],COLUMN(M$1),FALSE)=0, VLOOKUP($D5, regions[], COLUMN(M$1), FALSE), VLOOKUP($A5,raw[],COLUMN(M$1),FALSE))</f>
        <v>0.10199999999999999</v>
      </c>
      <c r="N5" s="68">
        <f>IF(VLOOKUP($A5,raw[],COLUMN(N$1),FALSE)=0, VLOOKUP($D5, regions[], COLUMN(N$1), FALSE), VLOOKUP($A5,raw[],COLUMN(N$1),FALSE))</f>
        <v>0.29386253285476716</v>
      </c>
      <c r="O5" s="67">
        <f>IF(VLOOKUP($A5,raw[],COLUMN(O$1),FALSE)=0, VLOOKUP($D5, regions[], COLUMN(O$1), FALSE), VLOOKUP($A5,raw[],COLUMN(O$1),FALSE))</f>
        <v>0.38300000000000001</v>
      </c>
      <c r="P5" s="68">
        <f>IF(VLOOKUP($A5,raw[],COLUMN(P$1),FALSE)=0, VLOOKUP($D5, regions[], COLUMN(P$1), FALSE), VLOOKUP($A5,raw[],COLUMN(P$1),FALSE))</f>
        <v>4.8000000000000001E-2</v>
      </c>
      <c r="Q5" s="70">
        <f>IF(VLOOKUP($A5,raw[],COLUMN(Q$1),FALSE)=0, VLOOKUP($D5, regions[], COLUMN(Q$1), FALSE), VLOOKUP($A5,raw[],COLUMN(Q$1),FALSE))</f>
        <v>8.0540221373545311</v>
      </c>
      <c r="R5" s="70">
        <f>IF(VLOOKUP($A5,raw[],COLUMN(R$1),FALSE)=0, VLOOKUP($D5, regions[], COLUMN(R$1), FALSE), VLOOKUP($A5,raw[],COLUMN(R$1),FALSE))</f>
        <v>30.379402137354532</v>
      </c>
      <c r="S5" s="70">
        <f>IF(VLOOKUP($A5,raw[],COLUMN(S$1),FALSE)=0, VLOOKUP($D5, regions[], COLUMN(S$1), FALSE), VLOOKUP($A5,raw[],COLUMN(S$1),FALSE))</f>
        <v>76.067651949095165</v>
      </c>
      <c r="T5" s="70">
        <f>IF(VLOOKUP($A5,raw[],COLUMN(U$1)-COLUMN($A$1),FALSE)=0, VLOOKUP($D5, regions[], COLUMN(U$1)-COLUMN($A$1), FALSE), VLOOKUP($A5,raw[],COLUMN(U$1)-COLUMN($A$1),FALSE))</f>
        <v>84.638800391878419</v>
      </c>
      <c r="U5" s="70">
        <f>IF(VLOOKUP($A5,raw[],COLUMN(V$1)-COLUMN($A$1),FALSE)=0, VLOOKUP($D5, regions[], COLUMN(V$1)-COLUMN($A$1), FALSE), VLOOKUP($A5,raw[],COLUMN(V$1)-COLUMN($A$1),FALSE))</f>
        <v>80.70311019795011</v>
      </c>
      <c r="V5" s="70">
        <f>IF(VLOOKUP($A5,raw[],COLUMN(W$1)-COLUMN($A$1),FALSE)=0, VLOOKUP($D5, regions[], COLUMN(W$1)-COLUMN($A$1), FALSE), VLOOKUP($A5,raw[],COLUMN(W$1)-COLUMN($A$1),FALSE))</f>
        <v>1.5031774349685048</v>
      </c>
      <c r="W5" s="70">
        <f>IF(VLOOKUP($A5,raw[],COLUMN(X$1)-COLUMN($A$1),FALSE)=0, VLOOKUP($D5, regions[], COLUMN(X$1)-COLUMN($A$1), FALSE), VLOOKUP($A5,raw[],COLUMN(X$1)-COLUMN($A$1),FALSE))</f>
        <v>6.3331774349685048</v>
      </c>
      <c r="X5" s="70">
        <f>IF(VLOOKUP($A5,raw[],COLUMN(Y$1)-COLUMN($A$1),FALSE)=0, VLOOKUP($D5, regions[], COLUMN(Y$1)-COLUMN($A$1), FALSE), VLOOKUP($A5,raw[],COLUMN(Y$1)-COLUMN($A$1),FALSE))</f>
        <v>1.0915262828006638</v>
      </c>
      <c r="Y5" s="70">
        <f>IF(VLOOKUP($A5,raw[],COLUMN(Z$1)-COLUMN($A$1),FALSE)=0, VLOOKUP($D5, regions[], COLUMN(Z$1)-COLUMN($A$1), FALSE), VLOOKUP($A5,raw[],COLUMN(Z$1)-COLUMN($A$1),FALSE))</f>
        <v>5.9215262828006638</v>
      </c>
      <c r="Z5" s="70">
        <f>IF(VLOOKUP($A5,raw[],COLUMN(AA$1)-COLUMN($A$1),FALSE)=0, VLOOKUP($D5, regions[], COLUMN(AA$1)-COLUMN($A$1), FALSE), VLOOKUP($A5,raw[],COLUMN(AA$1)-COLUMN($A$1),FALSE))</f>
        <v>5.9171295808133353</v>
      </c>
      <c r="AA5" s="70">
        <f>IF(VLOOKUP($A5,raw[],COLUMN(AB$1)-COLUMN($A$1),FALSE)=0, VLOOKUP($D5, regions[], COLUMN(AB$1)-COLUMN($A$1), FALSE), VLOOKUP($A5,raw[],COLUMN(AB$1)-COLUMN($A$1),FALSE))</f>
        <v>1.7086999462350192</v>
      </c>
      <c r="AB5" s="70">
        <f>IF(VLOOKUP($A5,raw[],COLUMN(AC$1)-COLUMN($A$1),FALSE)=0, VLOOKUP($D5, regions[], COLUMN(AC$1)-COLUMN($A$1), FALSE), VLOOKUP($A5,raw[],COLUMN(AC$1)-COLUMN($A$1),FALSE))</f>
        <v>6.5386999462350195</v>
      </c>
      <c r="AC5" s="72">
        <f>IF(VLOOKUP($A5,raw[],COLUMN(AD$1)-COLUMN($A$1),FALSE)=0, VLOOKUP($D5, regions[], COLUMN(AD$1)-COLUMN($A$1), FALSE), VLOOKUP($A5,raw[],COLUMN(AD$1)-COLUMN($A$1),FALSE))</f>
        <v>6.1459419999999952E-2</v>
      </c>
      <c r="AD5" s="72">
        <f>IF(VLOOKUP($A5,raw[],COLUMN(AE$1)-COLUMN($A$1),FALSE)=0, VLOOKUP($D5, regions[], COLUMN(AE$1)-COLUMN($A$1), FALSE), VLOOKUP($A5,raw[],COLUMN(AE$1)-COLUMN($A$1),FALSE))</f>
        <v>5.175743173513085E-3</v>
      </c>
      <c r="AE5" s="72">
        <f>IF(VLOOKUP($A5,raw[],COLUMN(AF$1)-COLUMN($A$1),FALSE)=0, VLOOKUP($D5, regions[], COLUMN(AF$1)-COLUMN($A$1), FALSE), VLOOKUP($A5,raw[],COLUMN(AF$1)-COLUMN($A$1),FALSE))</f>
        <v>1.908115459520635E-3</v>
      </c>
      <c r="AF5" s="72">
        <f>IF(VLOOKUP($A5,raw[],COLUMN(AG$1)-COLUMN($A$1),FALSE)=0, VLOOKUP($D5, regions[], COLUMN(AG$1)-COLUMN($A$1), FALSE), VLOOKUP($A5,raw[],COLUMN(AG$1)-COLUMN($A$1),FALSE))</f>
        <v>1.391416817844411E-3</v>
      </c>
      <c r="AG5" s="72">
        <f>IF(VLOOKUP($A5,raw[],COLUMN(AH$1)-COLUMN($A$1),FALSE)=0, VLOOKUP($D5, regions[], COLUMN(AH$1)-COLUMN($A$1), FALSE), VLOOKUP($A5,raw[],COLUMN(AH$1)-COLUMN($A$1),FALSE))</f>
        <v>2.337373534282608E-3</v>
      </c>
      <c r="AH5" s="72">
        <f>IF(VLOOKUP($A5,raw[],COLUMN(AI$1)-COLUMN($A$1),FALSE)=0, VLOOKUP($D5, regions[], COLUMN(AI$1)-COLUMN($A$1), FALSE), VLOOKUP($A5,raw[],COLUMN(AI$1)-COLUMN($A$1),FALSE))</f>
        <v>3.2551495573046388E-3</v>
      </c>
      <c r="AI5" s="72">
        <f>IF(VLOOKUP($A5,raw[],COLUMN(AJ$1)-COLUMN($A$1),FALSE)=0, VLOOKUP($D5, regions[], COLUMN(AJ$1)-COLUMN($A$1), FALSE), VLOOKUP($A5,raw[],COLUMN(AJ$1)-COLUMN($A$1),FALSE))</f>
        <v>3.588621098633621E-3</v>
      </c>
      <c r="AJ5" s="72">
        <f>IF(VLOOKUP($A5,raw[],COLUMN(AK$1)-COLUMN($A$1),FALSE)=0, VLOOKUP($D5, regions[], COLUMN(AK$1)-COLUMN($A$1), FALSE), VLOOKUP($A5,raw[],COLUMN(AK$1)-COLUMN($A$1),FALSE))</f>
        <v>4.1407403730012613E-3</v>
      </c>
      <c r="AK5" s="72">
        <f>IF(VLOOKUP($A5,raw[],COLUMN(AL$1)-COLUMN($A$1),FALSE)=0, VLOOKUP($D5, regions[], COLUMN(AL$1)-COLUMN($A$1), FALSE), VLOOKUP($A5,raw[],COLUMN(AL$1)-COLUMN($A$1),FALSE))</f>
        <v>5.1387338118963032E-3</v>
      </c>
      <c r="AL5" s="72">
        <f>IF(VLOOKUP($A5,raw[],COLUMN(AM$1)-COLUMN($A$1),FALSE)=0, VLOOKUP($D5, regions[], COLUMN(AM$1)-COLUMN($A$1), FALSE), VLOOKUP($A5,raw[],COLUMN(AM$1)-COLUMN($A$1),FALSE))</f>
        <v>6.5956752145436654E-3</v>
      </c>
      <c r="AM5" s="72">
        <f>IF(VLOOKUP($A5,raw[],COLUMN(AN$1)-COLUMN($A$1),FALSE)=0, VLOOKUP($D5, regions[], COLUMN(AN$1)-COLUMN($A$1), FALSE), VLOOKUP($A5,raw[],COLUMN(AN$1)-COLUMN($A$1),FALSE))</f>
        <v>8.8134475201013356E-3</v>
      </c>
      <c r="AN5" s="72">
        <f>IF(VLOOKUP($A5,raw[],COLUMN(AO$1)-COLUMN($A$1),FALSE)=0, VLOOKUP($D5, regions[], COLUMN(AO$1)-COLUMN($A$1), FALSE), VLOOKUP($A5,raw[],COLUMN(AO$1)-COLUMN($A$1),FALSE))</f>
        <v>1.2337852300670162E-2</v>
      </c>
      <c r="AO5" s="72">
        <f>IF(VLOOKUP($A5,raw[],COLUMN(AP$1)-COLUMN($A$1),FALSE)=0, VLOOKUP($D5, regions[], COLUMN(AP$1)-COLUMN($A$1), FALSE), VLOOKUP($A5,raw[],COLUMN(AP$1)-COLUMN($A$1),FALSE))</f>
        <v>1.7387588593789836E-2</v>
      </c>
      <c r="AP5" s="72">
        <f>IF(VLOOKUP($A5,raw[],COLUMN(AQ$1)-COLUMN($A$1),FALSE)=0, VLOOKUP($D5, regions[], COLUMN(AQ$1)-COLUMN($A$1), FALSE), VLOOKUP($A5,raw[],COLUMN(AQ$1)-COLUMN($A$1),FALSE))</f>
        <v>2.5639022161472846E-2</v>
      </c>
      <c r="AQ5" s="72">
        <f>IF(VLOOKUP($A5,raw[],COLUMN(AR$1)-COLUMN($A$1),FALSE)=0, VLOOKUP($D5, regions[], COLUMN(AR$1)-COLUMN($A$1), FALSE), VLOOKUP($A5,raw[],COLUMN(AR$1)-COLUMN($A$1),FALSE))</f>
        <v>3.7598293909545992E-2</v>
      </c>
      <c r="AR5" s="72">
        <f>IF(VLOOKUP($A5,raw[],COLUMN(AS$1)-COLUMN($A$1),FALSE)=0, VLOOKUP($D5, regions[], COLUMN(AS$1)-COLUMN($A$1), FALSE), VLOOKUP($A5,raw[],COLUMN(AS$1)-COLUMN($A$1),FALSE))</f>
        <v>5.5559489413917834E-2</v>
      </c>
      <c r="AS5" s="72">
        <f>IF(VLOOKUP($A5,raw[],COLUMN(AT$1)-COLUMN($A$1),FALSE)=0, VLOOKUP($D5, regions[], COLUMN(AT$1)-COLUMN($A$1), FALSE), VLOOKUP($A5,raw[],COLUMN(AT$1)-COLUMN($A$1),FALSE))</f>
        <v>7.9818388110813751E-2</v>
      </c>
      <c r="AT5" s="72">
        <f>IF(VLOOKUP($A5,raw[],COLUMN(AU$1)-COLUMN($A$1),FALSE)=0, VLOOKUP($D5, regions[], COLUMN(AU$1)-COLUMN($A$1), FALSE), VLOOKUP($A5,raw[],COLUMN(AU$1)-COLUMN($A$1),FALSE))</f>
        <v>0.10882136488375105</v>
      </c>
      <c r="AU5" s="72">
        <f>IF(VLOOKUP($A5,raw[],COLUMN(AV$1)-COLUMN($A$1),FALSE)=0, VLOOKUP($D5, regions[], COLUMN(AV$1)-COLUMN($A$1), FALSE), VLOOKUP($A5,raw[],COLUMN(AV$1)-COLUMN($A$1),FALSE))</f>
        <v>0.13596093200907966</v>
      </c>
      <c r="AV5" s="72">
        <f>IF(VLOOKUP($A5,raw[],COLUMN(AW$1)-COLUMN($A$1),FALSE)=0, VLOOKUP($D5, regions[], COLUMN(AW$1)-COLUMN($A$1), FALSE), VLOOKUP($A5,raw[],COLUMN(AW$1)-COLUMN($A$1),FALSE))</f>
        <v>0.15990749660732004</v>
      </c>
      <c r="AW5" s="72">
        <f>IF(VLOOKUP($A5,raw[],COLUMN(AX$1)-COLUMN($A$1),FALSE)=0, VLOOKUP($D5, regions[], COLUMN(AX$1)-COLUMN($A$1), FALSE), VLOOKUP($A5,raw[],COLUMN(AX$1)-COLUMN($A$1),FALSE))</f>
        <v>0.17798561198194363</v>
      </c>
      <c r="AX5" s="72">
        <f>IF(VLOOKUP($A5,raw[],COLUMN(AY$1)-COLUMN($A$1),FALSE)=0, VLOOKUP($D5, regions[], COLUMN(AY$1)-COLUMN($A$1), FALSE), VLOOKUP($A5,raw[],COLUMN(AY$1)-COLUMN($A$1),FALSE))</f>
        <v>60.54</v>
      </c>
      <c r="AY5" t="str">
        <f t="shared" si="0"/>
        <v>Yes</v>
      </c>
    </row>
    <row r="6" spans="1:51" x14ac:dyDescent="0.25">
      <c r="A6" s="53" t="s">
        <v>213</v>
      </c>
      <c r="B6" s="54" t="s">
        <v>214</v>
      </c>
      <c r="C6" s="54">
        <v>32</v>
      </c>
      <c r="D6" s="54" t="s">
        <v>215</v>
      </c>
      <c r="E6" s="54" t="s">
        <v>216</v>
      </c>
      <c r="F6" s="54" t="s">
        <v>217</v>
      </c>
      <c r="G6" s="54" t="s">
        <v>204</v>
      </c>
      <c r="H6" s="73">
        <f>VLOOKUP(lmics[[#This Row],[setting]],raw[],8,FALSE)</f>
        <v>45195777</v>
      </c>
      <c r="I6" s="73">
        <f>VLOOKUP(lmics[[#This Row],[setting]],raw[],9,FALSE)</f>
        <v>773390.13602400001</v>
      </c>
      <c r="J6" s="67">
        <f>IF(VLOOKUP($A6,raw[],COLUMN(J$1),FALSE)=0, VLOOKUP($D6, regions[], COLUMN(J$1), FALSE), VLOOKUP($A6,raw[],COLUMN(J$1),FALSE))</f>
        <v>0.99299999999999999</v>
      </c>
      <c r="K6" s="77">
        <f>VLOOKUP($A6, raw[], 11, FALSE)</f>
        <v>0.72</v>
      </c>
      <c r="L6" s="77">
        <f>VLOOKUP($A6, raw[], 12, FALSE)</f>
        <v>0.74</v>
      </c>
      <c r="M6" s="77">
        <f>IF(VLOOKUP($A6,raw[],COLUMN(M$1),FALSE)=0, VLOOKUP($D6, regions[], COLUMN(M$1), FALSE), VLOOKUP($A6,raw[],COLUMN(M$1),FALSE))</f>
        <v>2.8000000000000004E-3</v>
      </c>
      <c r="N6" s="68">
        <f>IF(VLOOKUP($A6,raw[],COLUMN(N$1),FALSE)=0, VLOOKUP($D6, regions[], COLUMN(N$1), FALSE), VLOOKUP($A6,raw[],COLUMN(N$1),FALSE))</f>
        <v>0.32111653802265411</v>
      </c>
      <c r="O6" s="67">
        <f>IF(VLOOKUP($A6,raw[],COLUMN(O$1),FALSE)=0, VLOOKUP($D6, regions[], COLUMN(O$1), FALSE), VLOOKUP($A6,raw[],COLUMN(O$1),FALSE))</f>
        <v>0.8</v>
      </c>
      <c r="P6" s="68">
        <f>IF(VLOOKUP($A6,raw[],COLUMN(P$1),FALSE)=0, VLOOKUP($D6, regions[], COLUMN(P$1), FALSE), VLOOKUP($A6,raw[],COLUMN(P$1),FALSE))</f>
        <v>0.17499999999999999</v>
      </c>
      <c r="Q6" s="70">
        <f>IF(VLOOKUP($A6,raw[],COLUMN(Q$1),FALSE)=0, VLOOKUP($D6, regions[], COLUMN(Q$1), FALSE), VLOOKUP($A6,raw[],COLUMN(Q$1),FALSE))</f>
        <v>16.189851234166802</v>
      </c>
      <c r="R6" s="70">
        <f>IF(VLOOKUP($A6,raw[],COLUMN(R$1),FALSE)=0, VLOOKUP($D6, regions[], COLUMN(R$1), FALSE), VLOOKUP($A6,raw[],COLUMN(R$1),FALSE))</f>
        <v>38.515231234166805</v>
      </c>
      <c r="S6" s="70">
        <f>IF(VLOOKUP($A6,raw[],COLUMN(S$1),FALSE)=0, VLOOKUP($D6, regions[], COLUMN(S$1), FALSE), VLOOKUP($A6,raw[],COLUMN(S$1),FALSE))</f>
        <v>124.22914307603131</v>
      </c>
      <c r="T6" s="70">
        <f>IF(VLOOKUP($A6,raw[],COLUMN(U$1)-COLUMN($A$1),FALSE)=0, VLOOKUP($D6, regions[], COLUMN(U$1)-COLUMN($A$1), FALSE), VLOOKUP($A6,raw[],COLUMN(U$1)-COLUMN($A$1),FALSE))</f>
        <v>153.63224966267785</v>
      </c>
      <c r="U6" s="70">
        <f>IF(VLOOKUP($A6,raw[],COLUMN(V$1)-COLUMN($A$1),FALSE)=0, VLOOKUP($D6, regions[], COLUMN(V$1)-COLUMN($A$1), FALSE), VLOOKUP($A6,raw[],COLUMN(V$1)-COLUMN($A$1),FALSE))</f>
        <v>140.13096462058655</v>
      </c>
      <c r="V6" s="70">
        <f>IF(VLOOKUP($A6,raw[],COLUMN(W$1)-COLUMN($A$1),FALSE)=0, VLOOKUP($D6, regions[], COLUMN(W$1)-COLUMN($A$1), FALSE), VLOOKUP($A6,raw[],COLUMN(W$1)-COLUMN($A$1),FALSE))</f>
        <v>3.7320558862484297</v>
      </c>
      <c r="W6" s="70">
        <f>IF(VLOOKUP($A6,raw[],COLUMN(X$1)-COLUMN($A$1),FALSE)=0, VLOOKUP($D6, regions[], COLUMN(X$1)-COLUMN($A$1), FALSE), VLOOKUP($A6,raw[],COLUMN(X$1)-COLUMN($A$1),FALSE))</f>
        <v>3.7520558862484297</v>
      </c>
      <c r="X6" s="70">
        <f>IF(VLOOKUP($A6,raw[],COLUMN(Y$1)-COLUMN($A$1),FALSE)=0, VLOOKUP($D6, regions[], COLUMN(Y$1)-COLUMN($A$1), FALSE), VLOOKUP($A6,raw[],COLUMN(Y$1)-COLUMN($A$1),FALSE))</f>
        <v>3.3024900103647581</v>
      </c>
      <c r="Y6" s="70">
        <f>IF(VLOOKUP($A6,raw[],COLUMN(Z$1)-COLUMN($A$1),FALSE)=0, VLOOKUP($D6, regions[], COLUMN(Z$1)-COLUMN($A$1), FALSE), VLOOKUP($A6,raw[],COLUMN(Z$1)-COLUMN($A$1),FALSE))</f>
        <v>3.3224900103647581</v>
      </c>
      <c r="Z6" s="70">
        <f>IF(VLOOKUP($A6,raw[],COLUMN(AA$1)-COLUMN($A$1),FALSE)=0, VLOOKUP($D6, regions[], COLUMN(AA$1)-COLUMN($A$1), FALSE), VLOOKUP($A6,raw[],COLUMN(AA$1)-COLUMN($A$1),FALSE))</f>
        <v>3.3103883542590724</v>
      </c>
      <c r="AA6" s="70">
        <f>IF(VLOOKUP($A6,raw[],COLUMN(AB$1)-COLUMN($A$1),FALSE)=0, VLOOKUP($D6, regions[], COLUMN(AB$1)-COLUMN($A$1), FALSE), VLOOKUP($A6,raw[],COLUMN(AB$1)-COLUMN($A$1),FALSE))</f>
        <v>3.9439653859701531</v>
      </c>
      <c r="AB6" s="70">
        <f>IF(VLOOKUP($A6,raw[],COLUMN(AC$1)-COLUMN($A$1),FALSE)=0, VLOOKUP($D6, regions[], COLUMN(AC$1)-COLUMN($A$1), FALSE), VLOOKUP($A6,raw[],COLUMN(AC$1)-COLUMN($A$1),FALSE))</f>
        <v>3.9639653859701531</v>
      </c>
      <c r="AC6" s="72">
        <f>IF(VLOOKUP($A6,raw[],COLUMN(AD$1)-COLUMN($A$1),FALSE)=0, VLOOKUP($D6, regions[], COLUMN(AD$1)-COLUMN($A$1), FALSE), VLOOKUP($A6,raw[],COLUMN(AD$1)-COLUMN($A$1),FALSE))</f>
        <v>1.0225190000000002E-2</v>
      </c>
      <c r="AD6" s="72">
        <f>IF(VLOOKUP($A6,raw[],COLUMN(AE$1)-COLUMN($A$1),FALSE)=0, VLOOKUP($D6, regions[], COLUMN(AE$1)-COLUMN($A$1), FALSE), VLOOKUP($A6,raw[],COLUMN(AE$1)-COLUMN($A$1),FALSE))</f>
        <v>4.1349304494828876E-4</v>
      </c>
      <c r="AE6" s="72">
        <f>IF(VLOOKUP($A6,raw[],COLUMN(AF$1)-COLUMN($A$1),FALSE)=0, VLOOKUP($D6, regions[], COLUMN(AF$1)-COLUMN($A$1), FALSE), VLOOKUP($A6,raw[],COLUMN(AF$1)-COLUMN($A$1),FALSE))</f>
        <v>1.8230049403534799E-4</v>
      </c>
      <c r="AF6" s="72">
        <f>IF(VLOOKUP($A6,raw[],COLUMN(AG$1)-COLUMN($A$1),FALSE)=0, VLOOKUP($D6, regions[], COLUMN(AG$1)-COLUMN($A$1), FALSE), VLOOKUP($A6,raw[],COLUMN(AG$1)-COLUMN($A$1),FALSE))</f>
        <v>2.3865392573492675E-4</v>
      </c>
      <c r="AG6" s="72">
        <f>IF(VLOOKUP($A6,raw[],COLUMN(AH$1)-COLUMN($A$1),FALSE)=0, VLOOKUP($D6, regions[], COLUMN(AH$1)-COLUMN($A$1), FALSE), VLOOKUP($A6,raw[],COLUMN(AH$1)-COLUMN($A$1),FALSE))</f>
        <v>7.4298392402514536E-4</v>
      </c>
      <c r="AH6" s="72">
        <f>IF(VLOOKUP($A6,raw[],COLUMN(AI$1)-COLUMN($A$1),FALSE)=0, VLOOKUP($D6, regions[], COLUMN(AI$1)-COLUMN($A$1), FALSE), VLOOKUP($A6,raw[],COLUMN(AI$1)-COLUMN($A$1),FALSE))</f>
        <v>1.0220930382760516E-3</v>
      </c>
      <c r="AI6" s="72">
        <f>IF(VLOOKUP($A6,raw[],COLUMN(AJ$1)-COLUMN($A$1),FALSE)=0, VLOOKUP($D6, regions[], COLUMN(AJ$1)-COLUMN($A$1), FALSE), VLOOKUP($A6,raw[],COLUMN(AJ$1)-COLUMN($A$1),FALSE))</f>
        <v>1.0279796384069062E-3</v>
      </c>
      <c r="AJ6" s="72">
        <f>IF(VLOOKUP($A6,raw[],COLUMN(AK$1)-COLUMN($A$1),FALSE)=0, VLOOKUP($D6, regions[], COLUMN(AK$1)-COLUMN($A$1), FALSE), VLOOKUP($A6,raw[],COLUMN(AK$1)-COLUMN($A$1),FALSE))</f>
        <v>1.1651318209136255E-3</v>
      </c>
      <c r="AK6" s="72">
        <f>IF(VLOOKUP($A6,raw[],COLUMN(AL$1)-COLUMN($A$1),FALSE)=0, VLOOKUP($D6, regions[], COLUMN(AL$1)-COLUMN($A$1), FALSE), VLOOKUP($A6,raw[],COLUMN(AL$1)-COLUMN($A$1),FALSE))</f>
        <v>1.4105183290987842E-3</v>
      </c>
      <c r="AL6" s="72">
        <f>IF(VLOOKUP($A6,raw[],COLUMN(AM$1)-COLUMN($A$1),FALSE)=0, VLOOKUP($D6, regions[], COLUMN(AM$1)-COLUMN($A$1), FALSE), VLOOKUP($A6,raw[],COLUMN(AM$1)-COLUMN($A$1),FALSE))</f>
        <v>1.9883118699651511E-3</v>
      </c>
      <c r="AM6" s="72">
        <f>IF(VLOOKUP($A6,raw[],COLUMN(AN$1)-COLUMN($A$1),FALSE)=0, VLOOKUP($D6, regions[], COLUMN(AN$1)-COLUMN($A$1), FALSE), VLOOKUP($A6,raw[],COLUMN(AN$1)-COLUMN($A$1),FALSE))</f>
        <v>3.1481691974343147E-3</v>
      </c>
      <c r="AN6" s="72">
        <f>IF(VLOOKUP($A6,raw[],COLUMN(AO$1)-COLUMN($A$1),FALSE)=0, VLOOKUP($D6, regions[], COLUMN(AO$1)-COLUMN($A$1), FALSE), VLOOKUP($A6,raw[],COLUMN(AO$1)-COLUMN($A$1),FALSE))</f>
        <v>5.078685662527325E-3</v>
      </c>
      <c r="AO6" s="72">
        <f>IF(VLOOKUP($A6,raw[],COLUMN(AP$1)-COLUMN($A$1),FALSE)=0, VLOOKUP($D6, regions[], COLUMN(AP$1)-COLUMN($A$1), FALSE), VLOOKUP($A6,raw[],COLUMN(AP$1)-COLUMN($A$1),FALSE))</f>
        <v>8.3544362477530054E-3</v>
      </c>
      <c r="AP6" s="72">
        <f>IF(VLOOKUP($A6,raw[],COLUMN(AQ$1)-COLUMN($A$1),FALSE)=0, VLOOKUP($D6, regions[], COLUMN(AQ$1)-COLUMN($A$1), FALSE), VLOOKUP($A6,raw[],COLUMN(AQ$1)-COLUMN($A$1),FALSE))</f>
        <v>1.2550556467869704E-2</v>
      </c>
      <c r="AQ6" s="72">
        <f>IF(VLOOKUP($A6,raw[],COLUMN(AR$1)-COLUMN($A$1),FALSE)=0, VLOOKUP($D6, regions[], COLUMN(AR$1)-COLUMN($A$1), FALSE), VLOOKUP($A6,raw[],COLUMN(AR$1)-COLUMN($A$1),FALSE))</f>
        <v>1.8900764978139851E-2</v>
      </c>
      <c r="AR6" s="72">
        <f>IF(VLOOKUP($A6,raw[],COLUMN(AS$1)-COLUMN($A$1),FALSE)=0, VLOOKUP($D6, regions[], COLUMN(AS$1)-COLUMN($A$1), FALSE), VLOOKUP($A6,raw[],COLUMN(AS$1)-COLUMN($A$1),FALSE))</f>
        <v>2.7591517362266494E-2</v>
      </c>
      <c r="AS6" s="72">
        <f>IF(VLOOKUP($A6,raw[],COLUMN(AT$1)-COLUMN($A$1),FALSE)=0, VLOOKUP($D6, regions[], COLUMN(AT$1)-COLUMN($A$1), FALSE), VLOOKUP($A6,raw[],COLUMN(AT$1)-COLUMN($A$1),FALSE))</f>
        <v>4.1750753259783509E-2</v>
      </c>
      <c r="AT6" s="72">
        <f>IF(VLOOKUP($A6,raw[],COLUMN(AU$1)-COLUMN($A$1),FALSE)=0, VLOOKUP($D6, regions[], COLUMN(AU$1)-COLUMN($A$1), FALSE), VLOOKUP($A6,raw[],COLUMN(AU$1)-COLUMN($A$1),FALSE))</f>
        <v>6.4603599400937683E-2</v>
      </c>
      <c r="AU6" s="72">
        <f>IF(VLOOKUP($A6,raw[],COLUMN(AV$1)-COLUMN($A$1),FALSE)=0, VLOOKUP($D6, regions[], COLUMN(AV$1)-COLUMN($A$1), FALSE), VLOOKUP($A6,raw[],COLUMN(AV$1)-COLUMN($A$1),FALSE))</f>
        <v>9.5142112696072714E-2</v>
      </c>
      <c r="AV6" s="72">
        <f>IF(VLOOKUP($A6,raw[],COLUMN(AW$1)-COLUMN($A$1),FALSE)=0, VLOOKUP($D6, regions[], COLUMN(AW$1)-COLUMN($A$1), FALSE), VLOOKUP($A6,raw[],COLUMN(AW$1)-COLUMN($A$1),FALSE))</f>
        <v>0.12948673666319993</v>
      </c>
      <c r="AW6" s="72">
        <f>IF(VLOOKUP($A6,raw[],COLUMN(AX$1)-COLUMN($A$1),FALSE)=0, VLOOKUP($D6, regions[], COLUMN(AX$1)-COLUMN($A$1), FALSE), VLOOKUP($A6,raw[],COLUMN(AX$1)-COLUMN($A$1),FALSE))</f>
        <v>0.16126569820237008</v>
      </c>
      <c r="AX6" s="72">
        <f>IF(VLOOKUP($A6,raw[],COLUMN(AY$1)-COLUMN($A$1),FALSE)=0, VLOOKUP($D6, regions[], COLUMN(AY$1)-COLUMN($A$1), FALSE), VLOOKUP($A6,raw[],COLUMN(AY$1)-COLUMN($A$1),FALSE))</f>
        <v>76.447999999999993</v>
      </c>
      <c r="AY6" t="str">
        <f t="shared" si="0"/>
        <v>No</v>
      </c>
    </row>
    <row r="7" spans="1:51" x14ac:dyDescent="0.25">
      <c r="A7" s="55" t="s">
        <v>218</v>
      </c>
      <c r="B7" s="56" t="s">
        <v>219</v>
      </c>
      <c r="C7" s="56">
        <v>51</v>
      </c>
      <c r="D7" s="56" t="s">
        <v>201</v>
      </c>
      <c r="E7" s="56" t="s">
        <v>220</v>
      </c>
      <c r="F7" s="56" t="s">
        <v>203</v>
      </c>
      <c r="G7" s="56" t="s">
        <v>204</v>
      </c>
      <c r="H7" s="74">
        <f>VLOOKUP(lmics[[#This Row],[setting]],raw[],8,FALSE)</f>
        <v>2963234</v>
      </c>
      <c r="I7" s="74">
        <f>VLOOKUP(lmics[[#This Row],[setting]],raw[],9,FALSE)</f>
        <v>41968.283142</v>
      </c>
      <c r="J7" s="67">
        <f>IF(VLOOKUP($A7,raw[],COLUMN(J$1),FALSE)=0, VLOOKUP($D7, regions[], COLUMN(J$1), FALSE), VLOOKUP($A7,raw[],COLUMN(J$1),FALSE))</f>
        <v>0.99299999999999999</v>
      </c>
      <c r="K7" s="77">
        <f>VLOOKUP($A7, raw[], 11, FALSE)</f>
        <v>0.97</v>
      </c>
      <c r="L7" s="77">
        <f>VLOOKUP($A7, raw[], 12, FALSE)</f>
        <v>0.92</v>
      </c>
      <c r="M7" s="77">
        <f>IF(VLOOKUP($A7,raw[],COLUMN(M$1),FALSE)=0, VLOOKUP($D7, regions[], COLUMN(M$1), FALSE), VLOOKUP($A7,raw[],COLUMN(M$1),FALSE))</f>
        <v>1.8000000000000002E-2</v>
      </c>
      <c r="N7" s="68">
        <f>IF(VLOOKUP($A7,raw[],COLUMN(N$1),FALSE)=0, VLOOKUP($D7, regions[], COLUMN(N$1), FALSE), VLOOKUP($A7,raw[],COLUMN(N$1),FALSE))</f>
        <v>0.29983118977846629</v>
      </c>
      <c r="O7" s="67">
        <f>IF(VLOOKUP($A7,raw[],COLUMN(O$1),FALSE)=0, VLOOKUP($D7, regions[], COLUMN(O$1), FALSE), VLOOKUP($A7,raw[],COLUMN(O$1),FALSE))</f>
        <v>0.8</v>
      </c>
      <c r="P7" s="68">
        <f>IF(VLOOKUP($A7,raw[],COLUMN(P$1),FALSE)=0, VLOOKUP($D7, regions[], COLUMN(P$1), FALSE), VLOOKUP($A7,raw[],COLUMN(P$1),FALSE))</f>
        <v>0.17499999999999999</v>
      </c>
      <c r="Q7" s="70">
        <f>IF(VLOOKUP($A7,raw[],COLUMN(Q$1),FALSE)=0, VLOOKUP($D7, regions[], COLUMN(Q$1), FALSE), VLOOKUP($A7,raw[],COLUMN(Q$1),FALSE))</f>
        <v>6.9121984019370499</v>
      </c>
      <c r="R7" s="70">
        <f>IF(VLOOKUP($A7,raw[],COLUMN(R$1),FALSE)=0, VLOOKUP($D7, regions[], COLUMN(R$1), FALSE), VLOOKUP($A7,raw[],COLUMN(R$1),FALSE))</f>
        <v>29.237578401937053</v>
      </c>
      <c r="S7" s="70">
        <f>IF(VLOOKUP($A7,raw[],COLUMN(S$1),FALSE)=0, VLOOKUP($D7, regions[], COLUMN(S$1), FALSE), VLOOKUP($A7,raw[],COLUMN(S$1),FALSE))</f>
        <v>71.928914546886162</v>
      </c>
      <c r="T7" s="70">
        <f>IF(VLOOKUP($A7,raw[],COLUMN(U$1)-COLUMN($A$1),FALSE)=0, VLOOKUP($D7, regions[], COLUMN(U$1)-COLUMN($A$1), FALSE), VLOOKUP($A7,raw[],COLUMN(U$1)-COLUMN($A$1),FALSE))</f>
        <v>78.940274171675966</v>
      </c>
      <c r="U7" s="70">
        <f>IF(VLOOKUP($A7,raw[],COLUMN(V$1)-COLUMN($A$1),FALSE)=0, VLOOKUP($D7, regions[], COLUMN(V$1)-COLUMN($A$1), FALSE), VLOOKUP($A7,raw[],COLUMN(V$1)-COLUMN($A$1),FALSE))</f>
        <v>75.720806033234823</v>
      </c>
      <c r="V7" s="70">
        <f>IF(VLOOKUP($A7,raw[],COLUMN(W$1)-COLUMN($A$1),FALSE)=0, VLOOKUP($D7, regions[], COLUMN(W$1)-COLUMN($A$1), FALSE), VLOOKUP($A7,raw[],COLUMN(W$1)-COLUMN($A$1),FALSE))</f>
        <v>5.435440044507156</v>
      </c>
      <c r="W7" s="70">
        <f>IF(VLOOKUP($A7,raw[],COLUMN(X$1)-COLUMN($A$1),FALSE)=0, VLOOKUP($D7, regions[], COLUMN(X$1)-COLUMN($A$1), FALSE), VLOOKUP($A7,raw[],COLUMN(X$1)-COLUMN($A$1),FALSE))</f>
        <v>9.5054400445071572</v>
      </c>
      <c r="X7" s="70">
        <f>IF(VLOOKUP($A7,raw[],COLUMN(Y$1)-COLUMN($A$1),FALSE)=0, VLOOKUP($D7, regions[], COLUMN(Y$1)-COLUMN($A$1), FALSE), VLOOKUP($A7,raw[],COLUMN(Y$1)-COLUMN($A$1),FALSE))</f>
        <v>5.0207712801808642</v>
      </c>
      <c r="Y7" s="70">
        <f>IF(VLOOKUP($A7,raw[],COLUMN(Z$1)-COLUMN($A$1),FALSE)=0, VLOOKUP($D7, regions[], COLUMN(Z$1)-COLUMN($A$1), FALSE), VLOOKUP($A7,raw[],COLUMN(Z$1)-COLUMN($A$1),FALSE))</f>
        <v>9.0907712801808636</v>
      </c>
      <c r="Z7" s="70">
        <f>IF(VLOOKUP($A7,raw[],COLUMN(AA$1)-COLUMN($A$1),FALSE)=0, VLOOKUP($D7, regions[], COLUMN(AA$1)-COLUMN($A$1), FALSE), VLOOKUP($A7,raw[],COLUMN(AA$1)-COLUMN($A$1),FALSE))</f>
        <v>9.0852203608909239</v>
      </c>
      <c r="AA7" s="70">
        <f>IF(VLOOKUP($A7,raw[],COLUMN(AB$1)-COLUMN($A$1),FALSE)=0, VLOOKUP($D7, regions[], COLUMN(AB$1)-COLUMN($A$1), FALSE), VLOOKUP($A7,raw[],COLUMN(AB$1)-COLUMN($A$1),FALSE))</f>
        <v>5.6420384001084232</v>
      </c>
      <c r="AB7" s="70">
        <f>IF(VLOOKUP($A7,raw[],COLUMN(AC$1)-COLUMN($A$1),FALSE)=0, VLOOKUP($D7, regions[], COLUMN(AC$1)-COLUMN($A$1), FALSE), VLOOKUP($A7,raw[],COLUMN(AC$1)-COLUMN($A$1),FALSE))</f>
        <v>9.7120384001084226</v>
      </c>
      <c r="AC7" s="72">
        <f>IF(VLOOKUP($A7,raw[],COLUMN(AD$1)-COLUMN($A$1),FALSE)=0, VLOOKUP($D7, regions[], COLUMN(AD$1)-COLUMN($A$1), FALSE), VLOOKUP($A7,raw[],COLUMN(AD$1)-COLUMN($A$1),FALSE))</f>
        <v>1.076725999999995E-2</v>
      </c>
      <c r="AD7" s="72">
        <f>IF(VLOOKUP($A7,raw[],COLUMN(AE$1)-COLUMN($A$1),FALSE)=0, VLOOKUP($D7, regions[], COLUMN(AE$1)-COLUMN($A$1), FALSE), VLOOKUP($A7,raw[],COLUMN(AE$1)-COLUMN($A$1),FALSE))</f>
        <v>6.0513059848790187E-4</v>
      </c>
      <c r="AE7" s="72">
        <f>IF(VLOOKUP($A7,raw[],COLUMN(AF$1)-COLUMN($A$1),FALSE)=0, VLOOKUP($D7, regions[], COLUMN(AF$1)-COLUMN($A$1), FALSE), VLOOKUP($A7,raw[],COLUMN(AF$1)-COLUMN($A$1),FALSE))</f>
        <v>1.93924378369244E-4</v>
      </c>
      <c r="AF7" s="72">
        <f>IF(VLOOKUP($A7,raw[],COLUMN(AG$1)-COLUMN($A$1),FALSE)=0, VLOOKUP($D7, regions[], COLUMN(AG$1)-COLUMN($A$1), FALSE), VLOOKUP($A7,raw[],COLUMN(AG$1)-COLUMN($A$1),FALSE))</f>
        <v>2.4832398200589723E-4</v>
      </c>
      <c r="AG7" s="72">
        <f>IF(VLOOKUP($A7,raw[],COLUMN(AH$1)-COLUMN($A$1),FALSE)=0, VLOOKUP($D7, regions[], COLUMN(AH$1)-COLUMN($A$1), FALSE), VLOOKUP($A7,raw[],COLUMN(AH$1)-COLUMN($A$1),FALSE))</f>
        <v>6.2989832208936759E-4</v>
      </c>
      <c r="AH7" s="72">
        <f>IF(VLOOKUP($A7,raw[],COLUMN(AI$1)-COLUMN($A$1),FALSE)=0, VLOOKUP($D7, regions[], COLUMN(AI$1)-COLUMN($A$1), FALSE), VLOOKUP($A7,raw[],COLUMN(AI$1)-COLUMN($A$1),FALSE))</f>
        <v>6.1722805549911967E-4</v>
      </c>
      <c r="AI7" s="72">
        <f>IF(VLOOKUP($A7,raw[],COLUMN(AJ$1)-COLUMN($A$1),FALSE)=0, VLOOKUP($D7, regions[], COLUMN(AJ$1)-COLUMN($A$1), FALSE), VLOOKUP($A7,raw[],COLUMN(AJ$1)-COLUMN($A$1),FALSE))</f>
        <v>5.8384698125939964E-4</v>
      </c>
      <c r="AJ7" s="72">
        <f>IF(VLOOKUP($A7,raw[],COLUMN(AK$1)-COLUMN($A$1),FALSE)=0, VLOOKUP($D7, regions[], COLUMN(AK$1)-COLUMN($A$1), FALSE), VLOOKUP($A7,raw[],COLUMN(AK$1)-COLUMN($A$1),FALSE))</f>
        <v>7.6881496834193684E-4</v>
      </c>
      <c r="AK7" s="72">
        <f>IF(VLOOKUP($A7,raw[],COLUMN(AL$1)-COLUMN($A$1),FALSE)=0, VLOOKUP($D7, regions[], COLUMN(AL$1)-COLUMN($A$1), FALSE), VLOOKUP($A7,raw[],COLUMN(AL$1)-COLUMN($A$1),FALSE))</f>
        <v>1.1561838268472774E-3</v>
      </c>
      <c r="AL7" s="72">
        <f>IF(VLOOKUP($A7,raw[],COLUMN(AM$1)-COLUMN($A$1),FALSE)=0, VLOOKUP($D7, regions[], COLUMN(AM$1)-COLUMN($A$1), FALSE), VLOOKUP($A7,raw[],COLUMN(AM$1)-COLUMN($A$1),FALSE))</f>
        <v>2.1751643185807753E-3</v>
      </c>
      <c r="AM7" s="72">
        <f>IF(VLOOKUP($A7,raw[],COLUMN(AN$1)-COLUMN($A$1),FALSE)=0, VLOOKUP($D7, regions[], COLUMN(AN$1)-COLUMN($A$1), FALSE), VLOOKUP($A7,raw[],COLUMN(AN$1)-COLUMN($A$1),FALSE))</f>
        <v>3.6112755210226531E-3</v>
      </c>
      <c r="AN7" s="72">
        <f>IF(VLOOKUP($A7,raw[],COLUMN(AO$1)-COLUMN($A$1),FALSE)=0, VLOOKUP($D7, regions[], COLUMN(AO$1)-COLUMN($A$1), FALSE), VLOOKUP($A7,raw[],COLUMN(AO$1)-COLUMN($A$1),FALSE))</f>
        <v>5.9387526153959792E-3</v>
      </c>
      <c r="AO7" s="72">
        <f>IF(VLOOKUP($A7,raw[],COLUMN(AP$1)-COLUMN($A$1),FALSE)=0, VLOOKUP($D7, regions[], COLUMN(AP$1)-COLUMN($A$1), FALSE), VLOOKUP($A7,raw[],COLUMN(AP$1)-COLUMN($A$1),FALSE))</f>
        <v>8.9263102282409693E-3</v>
      </c>
      <c r="AP7" s="72">
        <f>IF(VLOOKUP($A7,raw[],COLUMN(AQ$1)-COLUMN($A$1),FALSE)=0, VLOOKUP($D7, regions[], COLUMN(AQ$1)-COLUMN($A$1), FALSE), VLOOKUP($A7,raw[],COLUMN(AQ$1)-COLUMN($A$1),FALSE))</f>
        <v>1.3903104545352291E-2</v>
      </c>
      <c r="AQ7" s="72">
        <f>IF(VLOOKUP($A7,raw[],COLUMN(AR$1)-COLUMN($A$1),FALSE)=0, VLOOKUP($D7, regions[], COLUMN(AR$1)-COLUMN($A$1), FALSE), VLOOKUP($A7,raw[],COLUMN(AR$1)-COLUMN($A$1),FALSE))</f>
        <v>2.0983052565945907E-2</v>
      </c>
      <c r="AR7" s="72">
        <f>IF(VLOOKUP($A7,raw[],COLUMN(AS$1)-COLUMN($A$1),FALSE)=0, VLOOKUP($D7, regions[], COLUMN(AS$1)-COLUMN($A$1), FALSE), VLOOKUP($A7,raw[],COLUMN(AS$1)-COLUMN($A$1),FALSE))</f>
        <v>3.3401499418340398E-2</v>
      </c>
      <c r="AS7" s="72">
        <f>IF(VLOOKUP($A7,raw[],COLUMN(AT$1)-COLUMN($A$1),FALSE)=0, VLOOKUP($D7, regions[], COLUMN(AT$1)-COLUMN($A$1), FALSE), VLOOKUP($A7,raw[],COLUMN(AT$1)-COLUMN($A$1),FALSE))</f>
        <v>5.465880189347537E-2</v>
      </c>
      <c r="AT7" s="72">
        <f>IF(VLOOKUP($A7,raw[],COLUMN(AU$1)-COLUMN($A$1),FALSE)=0, VLOOKUP($D7, regions[], COLUMN(AU$1)-COLUMN($A$1), FALSE), VLOOKUP($A7,raw[],COLUMN(AU$1)-COLUMN($A$1),FALSE))</f>
        <v>8.2918013327087897E-2</v>
      </c>
      <c r="AU7" s="72">
        <f>IF(VLOOKUP($A7,raw[],COLUMN(AV$1)-COLUMN($A$1),FALSE)=0, VLOOKUP($D7, regions[], COLUMN(AV$1)-COLUMN($A$1), FALSE), VLOOKUP($A7,raw[],COLUMN(AV$1)-COLUMN($A$1),FALSE))</f>
        <v>0.11608841574202325</v>
      </c>
      <c r="AV7" s="72">
        <f>IF(VLOOKUP($A7,raw[],COLUMN(AW$1)-COLUMN($A$1),FALSE)=0, VLOOKUP($D7, regions[], COLUMN(AW$1)-COLUMN($A$1), FALSE), VLOOKUP($A7,raw[],COLUMN(AW$1)-COLUMN($A$1),FALSE))</f>
        <v>0.14919485486959652</v>
      </c>
      <c r="AW7" s="72">
        <f>IF(VLOOKUP($A7,raw[],COLUMN(AX$1)-COLUMN($A$1),FALSE)=0, VLOOKUP($D7, regions[], COLUMN(AX$1)-COLUMN($A$1), FALSE), VLOOKUP($A7,raw[],COLUMN(AX$1)-COLUMN($A$1),FALSE))</f>
        <v>0.17055508516504275</v>
      </c>
      <c r="AX7" s="72">
        <f>IF(VLOOKUP($A7,raw[],COLUMN(AY$1)-COLUMN($A$1),FALSE)=0, VLOOKUP($D7, regions[], COLUMN(AY$1)-COLUMN($A$1), FALSE), VLOOKUP($A7,raw[],COLUMN(AY$1)-COLUMN($A$1),FALSE))</f>
        <v>74.866</v>
      </c>
      <c r="AY7" t="str">
        <f t="shared" si="0"/>
        <v>No</v>
      </c>
    </row>
    <row r="8" spans="1:51" x14ac:dyDescent="0.25">
      <c r="A8" s="53" t="s">
        <v>221</v>
      </c>
      <c r="B8" s="54" t="s">
        <v>222</v>
      </c>
      <c r="C8" s="54">
        <v>31</v>
      </c>
      <c r="D8" s="54" t="s">
        <v>201</v>
      </c>
      <c r="E8" s="54" t="s">
        <v>220</v>
      </c>
      <c r="F8" s="54" t="s">
        <v>203</v>
      </c>
      <c r="G8" s="54" t="s">
        <v>204</v>
      </c>
      <c r="H8" s="73">
        <f>VLOOKUP(lmics[[#This Row],[setting]],raw[],8,FALSE)</f>
        <v>10139175</v>
      </c>
      <c r="I8" s="73">
        <f>VLOOKUP(lmics[[#This Row],[setting]],raw[],9,FALSE)</f>
        <v>173217.66569999998</v>
      </c>
      <c r="J8" s="67">
        <f>IF(VLOOKUP($A8,raw[],COLUMN(J$1),FALSE)=0, VLOOKUP($D8, regions[], COLUMN(J$1), FALSE), VLOOKUP($A8,raw[],COLUMN(J$1),FALSE))</f>
        <v>0.95700000000000007</v>
      </c>
      <c r="K8" s="77">
        <f>VLOOKUP($A8, raw[], 11, FALSE)</f>
        <v>0.98</v>
      </c>
      <c r="L8" s="77">
        <f>VLOOKUP($A8, raw[], 12, FALSE)</f>
        <v>0.79</v>
      </c>
      <c r="M8" s="77">
        <f>IF(VLOOKUP($A8,raw[],COLUMN(M$1),FALSE)=0, VLOOKUP($D8, regions[], COLUMN(M$1), FALSE), VLOOKUP($A8,raw[],COLUMN(M$1),FALSE))</f>
        <v>2.0400000000000001E-2</v>
      </c>
      <c r="N8" s="68">
        <f>IF(VLOOKUP($A8,raw[],COLUMN(N$1),FALSE)=0, VLOOKUP($D8, regions[], COLUMN(N$1), FALSE), VLOOKUP($A8,raw[],COLUMN(N$1),FALSE))</f>
        <v>0.31329991410247759</v>
      </c>
      <c r="O8" s="67">
        <f>IF(VLOOKUP($A8,raw[],COLUMN(O$1),FALSE)=0, VLOOKUP($D8, regions[], COLUMN(O$1), FALSE), VLOOKUP($A8,raw[],COLUMN(O$1),FALSE))</f>
        <v>0.8</v>
      </c>
      <c r="P8" s="68">
        <f>IF(VLOOKUP($A8,raw[],COLUMN(P$1),FALSE)=0, VLOOKUP($D8, regions[], COLUMN(P$1), FALSE), VLOOKUP($A8,raw[],COLUMN(P$1),FALSE))</f>
        <v>0.17499999999999999</v>
      </c>
      <c r="Q8" s="70">
        <f>IF(VLOOKUP($A8,raw[],COLUMN(Q$1),FALSE)=0, VLOOKUP($D8, regions[], COLUMN(Q$1), FALSE), VLOOKUP($A8,raw[],COLUMN(Q$1),FALSE))</f>
        <v>10.440165744766531</v>
      </c>
      <c r="R8" s="70">
        <f>IF(VLOOKUP($A8,raw[],COLUMN(R$1),FALSE)=0, VLOOKUP($D8, regions[], COLUMN(R$1), FALSE), VLOOKUP($A8,raw[],COLUMN(R$1),FALSE))</f>
        <v>32.765545744766527</v>
      </c>
      <c r="S8" s="70">
        <f>IF(VLOOKUP($A8,raw[],COLUMN(S$1),FALSE)=0, VLOOKUP($D8, regions[], COLUMN(S$1), FALSE), VLOOKUP($A8,raw[],COLUMN(S$1),FALSE))</f>
        <v>93.239133416362165</v>
      </c>
      <c r="T8" s="70">
        <f>IF(VLOOKUP($A8,raw[],COLUMN(U$1)-COLUMN($A$1),FALSE)=0, VLOOKUP($D8, regions[], COLUMN(U$1)-COLUMN($A$1), FALSE), VLOOKUP($A8,raw[],COLUMN(U$1)-COLUMN($A$1),FALSE))</f>
        <v>109.50553345067601</v>
      </c>
      <c r="U8" s="70">
        <f>IF(VLOOKUP($A8,raw[],COLUMN(V$1)-COLUMN($A$1),FALSE)=0, VLOOKUP($D8, regions[], COLUMN(V$1)-COLUMN($A$1), FALSE), VLOOKUP($A8,raw[],COLUMN(V$1)-COLUMN($A$1),FALSE))</f>
        <v>102.03634638281378</v>
      </c>
      <c r="V8" s="70">
        <f>IF(VLOOKUP($A8,raw[],COLUMN(W$1)-COLUMN($A$1),FALSE)=0, VLOOKUP($D8, regions[], COLUMN(W$1)-COLUMN($A$1), FALSE), VLOOKUP($A8,raw[],COLUMN(W$1)-COLUMN($A$1),FALSE))</f>
        <v>4.8267464754845646</v>
      </c>
      <c r="W8" s="70">
        <f>IF(VLOOKUP($A8,raw[],COLUMN(X$1)-COLUMN($A$1),FALSE)=0, VLOOKUP($D8, regions[], COLUMN(X$1)-COLUMN($A$1), FALSE), VLOOKUP($A8,raw[],COLUMN(X$1)-COLUMN($A$1),FALSE))</f>
        <v>8.8967464754845658</v>
      </c>
      <c r="X8" s="70">
        <f>IF(VLOOKUP($A8,raw[],COLUMN(Y$1)-COLUMN($A$1),FALSE)=0, VLOOKUP($D8, regions[], COLUMN(Y$1)-COLUMN($A$1), FALSE), VLOOKUP($A8,raw[],COLUMN(Y$1)-COLUMN($A$1),FALSE))</f>
        <v>4.4124176977727476</v>
      </c>
      <c r="Y8" s="70">
        <f>IF(VLOOKUP($A8,raw[],COLUMN(Z$1)-COLUMN($A$1),FALSE)=0, VLOOKUP($D8, regions[], COLUMN(Z$1)-COLUMN($A$1), FALSE), VLOOKUP($A8,raw[],COLUMN(Z$1)-COLUMN($A$1),FALSE))</f>
        <v>8.4824176977727479</v>
      </c>
      <c r="Z8" s="70">
        <f>IF(VLOOKUP($A8,raw[],COLUMN(AA$1)-COLUMN($A$1),FALSE)=0, VLOOKUP($D8, regions[], COLUMN(AA$1)-COLUMN($A$1), FALSE), VLOOKUP($A8,raw[],COLUMN(AA$1)-COLUMN($A$1),FALSE))</f>
        <v>8.4770983435011367</v>
      </c>
      <c r="AA8" s="70">
        <f>IF(VLOOKUP($A8,raw[],COLUMN(AB$1)-COLUMN($A$1),FALSE)=0, VLOOKUP($D8, regions[], COLUMN(AB$1)-COLUMN($A$1), FALSE), VLOOKUP($A8,raw[],COLUMN(AB$1)-COLUMN($A$1),FALSE))</f>
        <v>5.0332236184667583</v>
      </c>
      <c r="AB8" s="70">
        <f>IF(VLOOKUP($A8,raw[],COLUMN(AC$1)-COLUMN($A$1),FALSE)=0, VLOOKUP($D8, regions[], COLUMN(AC$1)-COLUMN($A$1), FALSE), VLOOKUP($A8,raw[],COLUMN(AC$1)-COLUMN($A$1),FALSE))</f>
        <v>9.1032236184667585</v>
      </c>
      <c r="AC8" s="72">
        <f>IF(VLOOKUP($A8,raw[],COLUMN(AD$1)-COLUMN($A$1),FALSE)=0, VLOOKUP($D8, regions[], COLUMN(AD$1)-COLUMN($A$1), FALSE), VLOOKUP($A8,raw[],COLUMN(AD$1)-COLUMN($A$1),FALSE))</f>
        <v>2.0805819999999947E-2</v>
      </c>
      <c r="AD8" s="72">
        <f>IF(VLOOKUP($A8,raw[],COLUMN(AE$1)-COLUMN($A$1),FALSE)=0, VLOOKUP($D8, regions[], COLUMN(AE$1)-COLUMN($A$1), FALSE), VLOOKUP($A8,raw[],COLUMN(AE$1)-COLUMN($A$1),FALSE))</f>
        <v>1.123227162154904E-3</v>
      </c>
      <c r="AE8" s="72">
        <f>IF(VLOOKUP($A8,raw[],COLUMN(AF$1)-COLUMN($A$1),FALSE)=0, VLOOKUP($D8, regions[], COLUMN(AF$1)-COLUMN($A$1), FALSE), VLOOKUP($A8,raw[],COLUMN(AF$1)-COLUMN($A$1),FALSE))</f>
        <v>3.8315142751846586E-4</v>
      </c>
      <c r="AF8" s="72">
        <f>IF(VLOOKUP($A8,raw[],COLUMN(AG$1)-COLUMN($A$1),FALSE)=0, VLOOKUP($D8, regions[], COLUMN(AG$1)-COLUMN($A$1), FALSE), VLOOKUP($A8,raw[],COLUMN(AG$1)-COLUMN($A$1),FALSE))</f>
        <v>3.2753527067306111E-4</v>
      </c>
      <c r="AG8" s="72">
        <f>IF(VLOOKUP($A8,raw[],COLUMN(AH$1)-COLUMN($A$1),FALSE)=0, VLOOKUP($D8, regions[], COLUMN(AH$1)-COLUMN($A$1), FALSE), VLOOKUP($A8,raw[],COLUMN(AH$1)-COLUMN($A$1),FALSE))</f>
        <v>6.7106272431909563E-4</v>
      </c>
      <c r="AH8" s="72">
        <f>IF(VLOOKUP($A8,raw[],COLUMN(AI$1)-COLUMN($A$1),FALSE)=0, VLOOKUP($D8, regions[], COLUMN(AI$1)-COLUMN($A$1), FALSE), VLOOKUP($A8,raw[],COLUMN(AI$1)-COLUMN($A$1),FALSE))</f>
        <v>8.3423098262416112E-4</v>
      </c>
      <c r="AI8" s="72">
        <f>IF(VLOOKUP($A8,raw[],COLUMN(AJ$1)-COLUMN($A$1),FALSE)=0, VLOOKUP($D8, regions[], COLUMN(AJ$1)-COLUMN($A$1), FALSE), VLOOKUP($A8,raw[],COLUMN(AJ$1)-COLUMN($A$1),FALSE))</f>
        <v>8.4033512329954505E-4</v>
      </c>
      <c r="AJ8" s="72">
        <f>IF(VLOOKUP($A8,raw[],COLUMN(AK$1)-COLUMN($A$1),FALSE)=0, VLOOKUP($D8, regions[], COLUMN(AK$1)-COLUMN($A$1), FALSE), VLOOKUP($A8,raw[],COLUMN(AK$1)-COLUMN($A$1),FALSE))</f>
        <v>1.0078144348421782E-3</v>
      </c>
      <c r="AK8" s="72">
        <f>IF(VLOOKUP($A8,raw[],COLUMN(AL$1)-COLUMN($A$1),FALSE)=0, VLOOKUP($D8, regions[], COLUMN(AL$1)-COLUMN($A$1), FALSE), VLOOKUP($A8,raw[],COLUMN(AL$1)-COLUMN($A$1),FALSE))</f>
        <v>1.4113549489738408E-3</v>
      </c>
      <c r="AL8" s="72">
        <f>IF(VLOOKUP($A8,raw[],COLUMN(AM$1)-COLUMN($A$1),FALSE)=0, VLOOKUP($D8, regions[], COLUMN(AM$1)-COLUMN($A$1), FALSE), VLOOKUP($A8,raw[],COLUMN(AM$1)-COLUMN($A$1),FALSE))</f>
        <v>2.1341372569251794E-3</v>
      </c>
      <c r="AM8" s="72">
        <f>IF(VLOOKUP($A8,raw[],COLUMN(AN$1)-COLUMN($A$1),FALSE)=0, VLOOKUP($D8, regions[], COLUMN(AN$1)-COLUMN($A$1), FALSE), VLOOKUP($A8,raw[],COLUMN(AN$1)-COLUMN($A$1),FALSE))</f>
        <v>3.4640864194021774E-3</v>
      </c>
      <c r="AN8" s="72">
        <f>IF(VLOOKUP($A8,raw[],COLUMN(AO$1)-COLUMN($A$1),FALSE)=0, VLOOKUP($D8, regions[], COLUMN(AO$1)-COLUMN($A$1), FALSE), VLOOKUP($A8,raw[],COLUMN(AO$1)-COLUMN($A$1),FALSE))</f>
        <v>5.6339572820308399E-3</v>
      </c>
      <c r="AO8" s="72">
        <f>IF(VLOOKUP($A8,raw[],COLUMN(AP$1)-COLUMN($A$1),FALSE)=0, VLOOKUP($D8, regions[], COLUMN(AP$1)-COLUMN($A$1), FALSE), VLOOKUP($A8,raw[],COLUMN(AP$1)-COLUMN($A$1),FALSE))</f>
        <v>9.132810862019192E-3</v>
      </c>
      <c r="AP8" s="72">
        <f>IF(VLOOKUP($A8,raw[],COLUMN(AQ$1)-COLUMN($A$1),FALSE)=0, VLOOKUP($D8, regions[], COLUMN(AQ$1)-COLUMN($A$1), FALSE), VLOOKUP($A8,raw[],COLUMN(AQ$1)-COLUMN($A$1),FALSE))</f>
        <v>1.4898419315500004E-2</v>
      </c>
      <c r="AQ8" s="72">
        <f>IF(VLOOKUP($A8,raw[],COLUMN(AR$1)-COLUMN($A$1),FALSE)=0, VLOOKUP($D8, regions[], COLUMN(AR$1)-COLUMN($A$1), FALSE), VLOOKUP($A8,raw[],COLUMN(AR$1)-COLUMN($A$1),FALSE))</f>
        <v>2.4088434935959687E-2</v>
      </c>
      <c r="AR8" s="72">
        <f>IF(VLOOKUP($A8,raw[],COLUMN(AS$1)-COLUMN($A$1),FALSE)=0, VLOOKUP($D8, regions[], COLUMN(AS$1)-COLUMN($A$1), FALSE), VLOOKUP($A8,raw[],COLUMN(AS$1)-COLUMN($A$1),FALSE))</f>
        <v>3.8898255800715674E-2</v>
      </c>
      <c r="AS8" s="72">
        <f>IF(VLOOKUP($A8,raw[],COLUMN(AT$1)-COLUMN($A$1),FALSE)=0, VLOOKUP($D8, regions[], COLUMN(AT$1)-COLUMN($A$1), FALSE), VLOOKUP($A8,raw[],COLUMN(AT$1)-COLUMN($A$1),FALSE))</f>
        <v>6.1621997520772846E-2</v>
      </c>
      <c r="AT8" s="72">
        <f>IF(VLOOKUP($A8,raw[],COLUMN(AU$1)-COLUMN($A$1),FALSE)=0, VLOOKUP($D8, regions[], COLUMN(AU$1)-COLUMN($A$1), FALSE), VLOOKUP($A8,raw[],COLUMN(AU$1)-COLUMN($A$1),FALSE))</f>
        <v>9.1464552499687407E-2</v>
      </c>
      <c r="AU8" s="72">
        <f>IF(VLOOKUP($A8,raw[],COLUMN(AV$1)-COLUMN($A$1),FALSE)=0, VLOOKUP($D8, regions[], COLUMN(AV$1)-COLUMN($A$1), FALSE), VLOOKUP($A8,raw[],COLUMN(AV$1)-COLUMN($A$1),FALSE))</f>
        <v>0.12545163613081445</v>
      </c>
      <c r="AV8" s="72">
        <f>IF(VLOOKUP($A8,raw[],COLUMN(AW$1)-COLUMN($A$1),FALSE)=0, VLOOKUP($D8, regions[], COLUMN(AW$1)-COLUMN($A$1), FALSE), VLOOKUP($A8,raw[],COLUMN(AW$1)-COLUMN($A$1),FALSE))</f>
        <v>0.15474880684223277</v>
      </c>
      <c r="AW8" s="72">
        <f>IF(VLOOKUP($A8,raw[],COLUMN(AX$1)-COLUMN($A$1),FALSE)=0, VLOOKUP($D8, regions[], COLUMN(AX$1)-COLUMN($A$1), FALSE), VLOOKUP($A8,raw[],COLUMN(AX$1)-COLUMN($A$1),FALSE))</f>
        <v>0.17412085468380484</v>
      </c>
      <c r="AX8" s="72">
        <f>IF(VLOOKUP($A8,raw[],COLUMN(AY$1)-COLUMN($A$1),FALSE)=0, VLOOKUP($D8, regions[], COLUMN(AY$1)-COLUMN($A$1), FALSE), VLOOKUP($A8,raw[],COLUMN(AY$1)-COLUMN($A$1),FALSE))</f>
        <v>72.81</v>
      </c>
      <c r="AY8" t="str">
        <f t="shared" si="0"/>
        <v>No</v>
      </c>
    </row>
    <row r="9" spans="1:51" x14ac:dyDescent="0.25">
      <c r="A9" s="55" t="s">
        <v>223</v>
      </c>
      <c r="B9" s="56" t="s">
        <v>224</v>
      </c>
      <c r="C9" s="56">
        <v>50</v>
      </c>
      <c r="D9" s="56" t="s">
        <v>225</v>
      </c>
      <c r="E9" s="56" t="s">
        <v>226</v>
      </c>
      <c r="F9" s="56" t="s">
        <v>226</v>
      </c>
      <c r="G9" s="56" t="s">
        <v>212</v>
      </c>
      <c r="H9" s="74">
        <f>VLOOKUP(lmics[[#This Row],[setting]],raw[],8,FALSE)</f>
        <v>164689383</v>
      </c>
      <c r="I9" s="74">
        <f>VLOOKUP(lmics[[#This Row],[setting]],raw[],9,FALSE)</f>
        <v>3023861.7612630003</v>
      </c>
      <c r="J9" s="67">
        <f>IF(VLOOKUP($A9,raw[],COLUMN(J$1),FALSE)=0, VLOOKUP($D9, regions[], COLUMN(J$1), FALSE), VLOOKUP($A9,raw[],COLUMN(J$1),FALSE))</f>
        <v>0.53400000000000003</v>
      </c>
      <c r="K9" s="77">
        <f>VLOOKUP($A9, raw[], 11, FALSE)</f>
        <v>0</v>
      </c>
      <c r="L9" s="77">
        <f>VLOOKUP($A9, raw[], 12, FALSE)</f>
        <v>0.98</v>
      </c>
      <c r="M9" s="77">
        <f>IF(VLOOKUP($A9,raw[],COLUMN(M$1),FALSE)=0, VLOOKUP($D9, regions[], COLUMN(M$1), FALSE), VLOOKUP($A9,raw[],COLUMN(M$1),FALSE))</f>
        <v>2.8799999999999999E-2</v>
      </c>
      <c r="N9" s="68">
        <f>IF(VLOOKUP($A9,raw[],COLUMN(N$1),FALSE)=0, VLOOKUP($D9, regions[], COLUMN(N$1), FALSE), VLOOKUP($A9,raw[],COLUMN(N$1),FALSE))</f>
        <v>0.28521070936823062</v>
      </c>
      <c r="O9" s="67">
        <f>IF(VLOOKUP($A9,raw[],COLUMN(O$1),FALSE)=0, VLOOKUP($D9, regions[], COLUMN(O$1), FALSE), VLOOKUP($A9,raw[],COLUMN(O$1),FALSE))</f>
        <v>0.8</v>
      </c>
      <c r="P9" s="68">
        <f>IF(VLOOKUP($A9,raw[],COLUMN(P$1),FALSE)=0, VLOOKUP($D9, regions[], COLUMN(P$1), FALSE), VLOOKUP($A9,raw[],COLUMN(P$1),FALSE))</f>
        <v>0.17499999999999999</v>
      </c>
      <c r="Q9" s="70">
        <f>IF(VLOOKUP($A9,raw[],COLUMN(Q$1),FALSE)=0, VLOOKUP($D9, regions[], COLUMN(Q$1), FALSE), VLOOKUP($A9,raw[],COLUMN(Q$1),FALSE))</f>
        <v>4.1911279395996512</v>
      </c>
      <c r="R9" s="70">
        <f>IF(VLOOKUP($A9,raw[],COLUMN(R$1),FALSE)=0, VLOOKUP($D9, regions[], COLUMN(R$1), FALSE), VLOOKUP($A9,raw[],COLUMN(R$1),FALSE))</f>
        <v>26.516507939599656</v>
      </c>
      <c r="S9" s="70">
        <f>IF(VLOOKUP($A9,raw[],COLUMN(S$1),FALSE)=0, VLOOKUP($D9, regions[], COLUMN(S$1), FALSE), VLOOKUP($A9,raw[],COLUMN(S$1),FALSE))</f>
        <v>60.98336822040153</v>
      </c>
      <c r="T9" s="70">
        <f>IF(VLOOKUP($A9,raw[],COLUMN(U$1)-COLUMN($A$1),FALSE)=0, VLOOKUP($D9, regions[], COLUMN(U$1)-COLUMN($A$1), FALSE), VLOOKUP($A9,raw[],COLUMN(U$1)-COLUMN($A$1),FALSE))</f>
        <v>63.714175612771484</v>
      </c>
      <c r="U9" s="70">
        <f>IF(VLOOKUP($A9,raw[],COLUMN(V$1)-COLUMN($A$1),FALSE)=0, VLOOKUP($D9, regions[], COLUMN(V$1)-COLUMN($A$1), FALSE), VLOOKUP($A9,raw[],COLUMN(V$1)-COLUMN($A$1),FALSE))</f>
        <v>62.460246580109981</v>
      </c>
      <c r="V9" s="70">
        <f>IF(VLOOKUP($A9,raw[],COLUMN(W$1)-COLUMN($A$1),FALSE)=0, VLOOKUP($D9, regions[], COLUMN(W$1)-COLUMN($A$1), FALSE), VLOOKUP($A9,raw[],COLUMN(W$1)-COLUMN($A$1),FALSE))</f>
        <v>2.5369327188394193</v>
      </c>
      <c r="W9" s="70">
        <f>IF(VLOOKUP($A9,raw[],COLUMN(X$1)-COLUMN($A$1),FALSE)=0, VLOOKUP($D9, regions[], COLUMN(X$1)-COLUMN($A$1), FALSE), VLOOKUP($A9,raw[],COLUMN(X$1)-COLUMN($A$1),FALSE))</f>
        <v>4.3467801798476833</v>
      </c>
      <c r="X9" s="70">
        <f>IF(VLOOKUP($A9,raw[],COLUMN(Y$1)-COLUMN($A$1),FALSE)=0, VLOOKUP($D9, regions[], COLUMN(Y$1)-COLUMN($A$1), FALSE), VLOOKUP($A9,raw[],COLUMN(Y$1)-COLUMN($A$1),FALSE))</f>
        <v>2.1236042586046051</v>
      </c>
      <c r="Y9" s="70">
        <f>IF(VLOOKUP($A9,raw[],COLUMN(Z$1)-COLUMN($A$1),FALSE)=0, VLOOKUP($D9, regions[], COLUMN(Z$1)-COLUMN($A$1), FALSE), VLOOKUP($A9,raw[],COLUMN(Z$1)-COLUMN($A$1),FALSE))</f>
        <v>3.9334517196128695</v>
      </c>
      <c r="Z9" s="70">
        <f>IF(VLOOKUP($A9,raw[],COLUMN(AA$1)-COLUMN($A$1),FALSE)=0, VLOOKUP($D9, regions[], COLUMN(AA$1)-COLUMN($A$1), FALSE), VLOOKUP($A9,raw[],COLUMN(AA$1)-COLUMN($A$1),FALSE))</f>
        <v>3.9280990404492986</v>
      </c>
      <c r="AA9" s="70">
        <f>IF(VLOOKUP($A9,raw[],COLUMN(AB$1)-COLUMN($A$1),FALSE)=0, VLOOKUP($D9, regions[], COLUMN(AB$1)-COLUMN($A$1), FALSE), VLOOKUP($A9,raw[],COLUMN(AB$1)-COLUMN($A$1),FALSE))</f>
        <v>2.7430532268950283</v>
      </c>
      <c r="AB9" s="70">
        <f>IF(VLOOKUP($A9,raw[],COLUMN(AC$1)-COLUMN($A$1),FALSE)=0, VLOOKUP($D9, regions[], COLUMN(AC$1)-COLUMN($A$1), FALSE), VLOOKUP($A9,raw[],COLUMN(AC$1)-COLUMN($A$1),FALSE))</f>
        <v>4.5529006879032927</v>
      </c>
      <c r="AC9" s="72">
        <f>IF(VLOOKUP($A9,raw[],COLUMN(AD$1)-COLUMN($A$1),FALSE)=0, VLOOKUP($D9, regions[], COLUMN(AD$1)-COLUMN($A$1), FALSE), VLOOKUP($A9,raw[],COLUMN(AD$1)-COLUMN($A$1),FALSE))</f>
        <v>2.6850380000000004E-2</v>
      </c>
      <c r="AD9" s="72">
        <f>IF(VLOOKUP($A9,raw[],COLUMN(AE$1)-COLUMN($A$1),FALSE)=0, VLOOKUP($D9, regions[], COLUMN(AE$1)-COLUMN($A$1), FALSE), VLOOKUP($A9,raw[],COLUMN(AE$1)-COLUMN($A$1),FALSE))</f>
        <v>1.4273267660526731E-3</v>
      </c>
      <c r="AE9" s="72">
        <f>IF(VLOOKUP($A9,raw[],COLUMN(AF$1)-COLUMN($A$1),FALSE)=0, VLOOKUP($D9, regions[], COLUMN(AF$1)-COLUMN($A$1), FALSE), VLOOKUP($A9,raw[],COLUMN(AF$1)-COLUMN($A$1),FALSE))</f>
        <v>7.482190792888853E-4</v>
      </c>
      <c r="AF9" s="72">
        <f>IF(VLOOKUP($A9,raw[],COLUMN(AG$1)-COLUMN($A$1),FALSE)=0, VLOOKUP($D9, regions[], COLUMN(AG$1)-COLUMN($A$1), FALSE), VLOOKUP($A9,raw[],COLUMN(AG$1)-COLUMN($A$1),FALSE))</f>
        <v>6.3599449673810602E-4</v>
      </c>
      <c r="AG9" s="72">
        <f>IF(VLOOKUP($A9,raw[],COLUMN(AH$1)-COLUMN($A$1),FALSE)=0, VLOOKUP($D9, regions[], COLUMN(AH$1)-COLUMN($A$1), FALSE), VLOOKUP($A9,raw[],COLUMN(AH$1)-COLUMN($A$1),FALSE))</f>
        <v>1.0125835727474277E-3</v>
      </c>
      <c r="AH9" s="72">
        <f>IF(VLOOKUP($A9,raw[],COLUMN(AI$1)-COLUMN($A$1),FALSE)=0, VLOOKUP($D9, regions[], COLUMN(AI$1)-COLUMN($A$1), FALSE), VLOOKUP($A9,raw[],COLUMN(AI$1)-COLUMN($A$1),FALSE))</f>
        <v>1.0393796582485581E-3</v>
      </c>
      <c r="AI9" s="72">
        <f>IF(VLOOKUP($A9,raw[],COLUMN(AJ$1)-COLUMN($A$1),FALSE)=0, VLOOKUP($D9, regions[], COLUMN(AJ$1)-COLUMN($A$1), FALSE), VLOOKUP($A9,raw[],COLUMN(AJ$1)-COLUMN($A$1),FALSE))</f>
        <v>9.9616762036654053E-4</v>
      </c>
      <c r="AJ9" s="72">
        <f>IF(VLOOKUP($A9,raw[],COLUMN(AK$1)-COLUMN($A$1),FALSE)=0, VLOOKUP($D9, regions[], COLUMN(AK$1)-COLUMN($A$1), FALSE), VLOOKUP($A9,raw[],COLUMN(AK$1)-COLUMN($A$1),FALSE))</f>
        <v>1.2461830091039462E-3</v>
      </c>
      <c r="AK9" s="72">
        <f>IF(VLOOKUP($A9,raw[],COLUMN(AL$1)-COLUMN($A$1),FALSE)=0, VLOOKUP($D9, regions[], COLUMN(AL$1)-COLUMN($A$1), FALSE), VLOOKUP($A9,raw[],COLUMN(AL$1)-COLUMN($A$1),FALSE))</f>
        <v>1.6949130194405298E-3</v>
      </c>
      <c r="AL9" s="72">
        <f>IF(VLOOKUP($A9,raw[],COLUMN(AM$1)-COLUMN($A$1),FALSE)=0, VLOOKUP($D9, regions[], COLUMN(AM$1)-COLUMN($A$1), FALSE), VLOOKUP($A9,raw[],COLUMN(AM$1)-COLUMN($A$1),FALSE))</f>
        <v>2.489878107246931E-3</v>
      </c>
      <c r="AM9" s="72">
        <f>IF(VLOOKUP($A9,raw[],COLUMN(AN$1)-COLUMN($A$1),FALSE)=0, VLOOKUP($D9, regions[], COLUMN(AN$1)-COLUMN($A$1), FALSE), VLOOKUP($A9,raw[],COLUMN(AN$1)-COLUMN($A$1),FALSE))</f>
        <v>3.8789128867372309E-3</v>
      </c>
      <c r="AN9" s="72">
        <f>IF(VLOOKUP($A9,raw[],COLUMN(AO$1)-COLUMN($A$1),FALSE)=0, VLOOKUP($D9, regions[], COLUMN(AO$1)-COLUMN($A$1), FALSE), VLOOKUP($A9,raw[],COLUMN(AO$1)-COLUMN($A$1),FALSE))</f>
        <v>6.3676250349223636E-3</v>
      </c>
      <c r="AO9" s="72">
        <f>IF(VLOOKUP($A9,raw[],COLUMN(AP$1)-COLUMN($A$1),FALSE)=0, VLOOKUP($D9, regions[], COLUMN(AP$1)-COLUMN($A$1), FALSE), VLOOKUP($A9,raw[],COLUMN(AP$1)-COLUMN($A$1),FALSE))</f>
        <v>1.0023350220130806E-2</v>
      </c>
      <c r="AP9" s="72">
        <f>IF(VLOOKUP($A9,raw[],COLUMN(AQ$1)-COLUMN($A$1),FALSE)=0, VLOOKUP($D9, regions[], COLUMN(AQ$1)-COLUMN($A$1), FALSE), VLOOKUP($A9,raw[],COLUMN(AQ$1)-COLUMN($A$1),FALSE))</f>
        <v>1.6649733439551947E-2</v>
      </c>
      <c r="AQ9" s="72">
        <f>IF(VLOOKUP($A9,raw[],COLUMN(AR$1)-COLUMN($A$1),FALSE)=0, VLOOKUP($D9, regions[], COLUMN(AR$1)-COLUMN($A$1), FALSE), VLOOKUP($A9,raw[],COLUMN(AR$1)-COLUMN($A$1),FALSE))</f>
        <v>2.4135128950878319E-2</v>
      </c>
      <c r="AR9" s="72">
        <f>IF(VLOOKUP($A9,raw[],COLUMN(AS$1)-COLUMN($A$1),FALSE)=0, VLOOKUP($D9, regions[], COLUMN(AS$1)-COLUMN($A$1), FALSE), VLOOKUP($A9,raw[],COLUMN(AS$1)-COLUMN($A$1),FALSE))</f>
        <v>3.9140132002183678E-2</v>
      </c>
      <c r="AS9" s="72">
        <f>IF(VLOOKUP($A9,raw[],COLUMN(AT$1)-COLUMN($A$1),FALSE)=0, VLOOKUP($D9, regions[], COLUMN(AT$1)-COLUMN($A$1), FALSE), VLOOKUP($A9,raw[],COLUMN(AT$1)-COLUMN($A$1),FALSE))</f>
        <v>5.2963838292764784E-2</v>
      </c>
      <c r="AT9" s="72">
        <f>IF(VLOOKUP($A9,raw[],COLUMN(AU$1)-COLUMN($A$1),FALSE)=0, VLOOKUP($D9, regions[], COLUMN(AU$1)-COLUMN($A$1), FALSE), VLOOKUP($A9,raw[],COLUMN(AU$1)-COLUMN($A$1),FALSE))</f>
        <v>7.6193501220783055E-2</v>
      </c>
      <c r="AU9" s="72">
        <f>IF(VLOOKUP($A9,raw[],COLUMN(AV$1)-COLUMN($A$1),FALSE)=0, VLOOKUP($D9, regions[], COLUMN(AV$1)-COLUMN($A$1), FALSE), VLOOKUP($A9,raw[],COLUMN(AV$1)-COLUMN($A$1),FALSE))</f>
        <v>0.1006864161525354</v>
      </c>
      <c r="AV9" s="72">
        <f>IF(VLOOKUP($A9,raw[],COLUMN(AW$1)-COLUMN($A$1),FALSE)=0, VLOOKUP($D9, regions[], COLUMN(AW$1)-COLUMN($A$1), FALSE), VLOOKUP($A9,raw[],COLUMN(AW$1)-COLUMN($A$1),FALSE))</f>
        <v>0.12459803655517622</v>
      </c>
      <c r="AW9" s="72">
        <f>IF(VLOOKUP($A9,raw[],COLUMN(AX$1)-COLUMN($A$1),FALSE)=0, VLOOKUP($D9, regions[], COLUMN(AX$1)-COLUMN($A$1), FALSE), VLOOKUP($A9,raw[],COLUMN(AX$1)-COLUMN($A$1),FALSE))</f>
        <v>0.14122794249867238</v>
      </c>
      <c r="AX9" s="72">
        <f>IF(VLOOKUP($A9,raw[],COLUMN(AY$1)-COLUMN($A$1),FALSE)=0, VLOOKUP($D9, regions[], COLUMN(AY$1)-COLUMN($A$1), FALSE), VLOOKUP($A9,raw[],COLUMN(AY$1)-COLUMN($A$1),FALSE))</f>
        <v>72.150000000000006</v>
      </c>
      <c r="AY9" t="str">
        <f t="shared" si="0"/>
        <v>Yes</v>
      </c>
    </row>
    <row r="10" spans="1:51" x14ac:dyDescent="0.25">
      <c r="A10" s="53" t="s">
        <v>227</v>
      </c>
      <c r="B10" s="54" t="s">
        <v>228</v>
      </c>
      <c r="C10" s="54">
        <v>112</v>
      </c>
      <c r="D10" s="54" t="s">
        <v>201</v>
      </c>
      <c r="E10" s="54" t="s">
        <v>229</v>
      </c>
      <c r="F10" s="54" t="s">
        <v>203</v>
      </c>
      <c r="G10" s="54" t="s">
        <v>204</v>
      </c>
      <c r="H10" s="73">
        <f>VLOOKUP(lmics[[#This Row],[setting]],raw[],8,FALSE)</f>
        <v>9449321</v>
      </c>
      <c r="I10" s="73">
        <f>VLOOKUP(lmics[[#This Row],[setting]],raw[],9,FALSE)</f>
        <v>111879.96064</v>
      </c>
      <c r="J10" s="67">
        <f>IF(VLOOKUP($A10,raw[],COLUMN(J$1),FALSE)=0, VLOOKUP($D10, regions[], COLUMN(J$1), FALSE), VLOOKUP($A10,raw[],COLUMN(J$1),FALSE))</f>
        <v>0.999</v>
      </c>
      <c r="K10" s="77">
        <f>VLOOKUP($A10, raw[], 11, FALSE)</f>
        <v>0.97</v>
      </c>
      <c r="L10" s="77">
        <f>VLOOKUP($A10, raw[], 12, FALSE)</f>
        <v>0.97</v>
      </c>
      <c r="M10" s="77">
        <f>IF(VLOOKUP($A10,raw[],COLUMN(M$1),FALSE)=0, VLOOKUP($D10, regions[], COLUMN(M$1), FALSE), VLOOKUP($A10,raw[],COLUMN(M$1),FALSE))</f>
        <v>9.4899999999999998E-2</v>
      </c>
      <c r="N10" s="68">
        <f>IF(VLOOKUP($A10,raw[],COLUMN(N$1),FALSE)=0, VLOOKUP($D10, regions[], COLUMN(N$1), FALSE), VLOOKUP($A10,raw[],COLUMN(N$1),FALSE))</f>
        <v>0.28713486462847726</v>
      </c>
      <c r="O10" s="67">
        <f>IF(VLOOKUP($A10,raw[],COLUMN(O$1),FALSE)=0, VLOOKUP($D10, regions[], COLUMN(O$1), FALSE), VLOOKUP($A10,raw[],COLUMN(O$1),FALSE))</f>
        <v>0.8</v>
      </c>
      <c r="P10" s="68">
        <f>IF(VLOOKUP($A10,raw[],COLUMN(P$1),FALSE)=0, VLOOKUP($D10, regions[], COLUMN(P$1), FALSE), VLOOKUP($A10,raw[],COLUMN(P$1),FALSE))</f>
        <v>0.17499999999999999</v>
      </c>
      <c r="Q10" s="70">
        <f>IF(VLOOKUP($A10,raw[],COLUMN(Q$1),FALSE)=0, VLOOKUP($D10, regions[], COLUMN(Q$1), FALSE), VLOOKUP($A10,raw[],COLUMN(Q$1),FALSE))</f>
        <v>10.22220744814547</v>
      </c>
      <c r="R10" s="70">
        <f>IF(VLOOKUP($A10,raw[],COLUMN(R$1),FALSE)=0, VLOOKUP($D10, regions[], COLUMN(R$1), FALSE), VLOOKUP($A10,raw[],COLUMN(R$1),FALSE))</f>
        <v>32.547587448145471</v>
      </c>
      <c r="S10" s="70">
        <f>IF(VLOOKUP($A10,raw[],COLUMN(S$1),FALSE)=0, VLOOKUP($D10, regions[], COLUMN(S$1), FALSE), VLOOKUP($A10,raw[],COLUMN(S$1),FALSE))</f>
        <v>92.997384482043358</v>
      </c>
      <c r="T10" s="70">
        <f>IF(VLOOKUP($A10,raw[],COLUMN(U$1)-COLUMN($A$1),FALSE)=0, VLOOKUP($D10, regions[], COLUMN(U$1)-COLUMN($A$1), FALSE), VLOOKUP($A10,raw[],COLUMN(U$1)-COLUMN($A$1),FALSE))</f>
        <v>109.25140232094563</v>
      </c>
      <c r="U10" s="70">
        <f>IF(VLOOKUP($A10,raw[],COLUMN(V$1)-COLUMN($A$1),FALSE)=0, VLOOKUP($D10, regions[], COLUMN(V$1)-COLUMN($A$1), FALSE), VLOOKUP($A10,raw[],COLUMN(V$1)-COLUMN($A$1),FALSE))</f>
        <v>101.78790089549014</v>
      </c>
      <c r="V10" s="70">
        <f>IF(VLOOKUP($A10,raw[],COLUMN(W$1)-COLUMN($A$1),FALSE)=0, VLOOKUP($D10, regions[], COLUMN(W$1)-COLUMN($A$1), FALSE), VLOOKUP($A10,raw[],COLUMN(W$1)-COLUMN($A$1),FALSE))</f>
        <v>5.4991995046009343</v>
      </c>
      <c r="W10" s="70">
        <f>IF(VLOOKUP($A10,raw[],COLUMN(X$1)-COLUMN($A$1),FALSE)=0, VLOOKUP($D10, regions[], COLUMN(X$1)-COLUMN($A$1), FALSE), VLOOKUP($A10,raw[],COLUMN(X$1)-COLUMN($A$1),FALSE))</f>
        <v>9.5691995046009346</v>
      </c>
      <c r="X10" s="70">
        <f>IF(VLOOKUP($A10,raw[],COLUMN(Y$1)-COLUMN($A$1),FALSE)=0, VLOOKUP($D10, regions[], COLUMN(Y$1)-COLUMN($A$1), FALSE), VLOOKUP($A10,raw[],COLUMN(Y$1)-COLUMN($A$1),FALSE))</f>
        <v>5.0780297175745597</v>
      </c>
      <c r="Y10" s="70">
        <f>IF(VLOOKUP($A10,raw[],COLUMN(Z$1)-COLUMN($A$1),FALSE)=0, VLOOKUP($D10, regions[], COLUMN(Z$1)-COLUMN($A$1), FALSE), VLOOKUP($A10,raw[],COLUMN(Z$1)-COLUMN($A$1),FALSE))</f>
        <v>9.1480297175745591</v>
      </c>
      <c r="Z10" s="70">
        <f>IF(VLOOKUP($A10,raw[],COLUMN(AA$1)-COLUMN($A$1),FALSE)=0, VLOOKUP($D10, regions[], COLUMN(AA$1)-COLUMN($A$1), FALSE), VLOOKUP($A10,raw[],COLUMN(AA$1)-COLUMN($A$1),FALSE))</f>
        <v>9.1400408493060343</v>
      </c>
      <c r="AA10" s="70">
        <f>IF(VLOOKUP($A10,raw[],COLUMN(AB$1)-COLUMN($A$1),FALSE)=0, VLOOKUP($D10, regions[], COLUMN(AB$1)-COLUMN($A$1), FALSE), VLOOKUP($A10,raw[],COLUMN(AB$1)-COLUMN($A$1),FALSE))</f>
        <v>5.7081156161213604</v>
      </c>
      <c r="AB10" s="70">
        <f>IF(VLOOKUP($A10,raw[],COLUMN(AC$1)-COLUMN($A$1),FALSE)=0, VLOOKUP($D10, regions[], COLUMN(AC$1)-COLUMN($A$1), FALSE), VLOOKUP($A10,raw[],COLUMN(AC$1)-COLUMN($A$1),FALSE))</f>
        <v>9.7781156161213616</v>
      </c>
      <c r="AC10" s="72">
        <f>IF(VLOOKUP($A10,raw[],COLUMN(AD$1)-COLUMN($A$1),FALSE)=0, VLOOKUP($D10, regions[], COLUMN(AD$1)-COLUMN($A$1), FALSE), VLOOKUP($A10,raw[],COLUMN(AD$1)-COLUMN($A$1),FALSE))</f>
        <v>2.965920000000042E-3</v>
      </c>
      <c r="AD10" s="72">
        <f>IF(VLOOKUP($A10,raw[],COLUMN(AE$1)-COLUMN($A$1),FALSE)=0, VLOOKUP($D10, regions[], COLUMN(AE$1)-COLUMN($A$1), FALSE), VLOOKUP($A10,raw[],COLUMN(AE$1)-COLUMN($A$1),FALSE))</f>
        <v>2.1812945451173097E-4</v>
      </c>
      <c r="AE10" s="72">
        <f>IF(VLOOKUP($A10,raw[],COLUMN(AF$1)-COLUMN($A$1),FALSE)=0, VLOOKUP($D10, regions[], COLUMN(AF$1)-COLUMN($A$1), FALSE), VLOOKUP($A10,raw[],COLUMN(AF$1)-COLUMN($A$1),FALSE))</f>
        <v>1.386980248184975E-4</v>
      </c>
      <c r="AF10" s="72">
        <f>IF(VLOOKUP($A10,raw[],COLUMN(AG$1)-COLUMN($A$1),FALSE)=0, VLOOKUP($D10, regions[], COLUMN(AG$1)-COLUMN($A$1), FALSE), VLOOKUP($A10,raw[],COLUMN(AG$1)-COLUMN($A$1),FALSE))</f>
        <v>1.3168610083894215E-4</v>
      </c>
      <c r="AG10" s="72">
        <f>IF(VLOOKUP($A10,raw[],COLUMN(AH$1)-COLUMN($A$1),FALSE)=0, VLOOKUP($D10, regions[], COLUMN(AH$1)-COLUMN($A$1), FALSE), VLOOKUP($A10,raw[],COLUMN(AH$1)-COLUMN($A$1),FALSE))</f>
        <v>3.5169653717617841E-4</v>
      </c>
      <c r="AH10" s="72">
        <f>IF(VLOOKUP($A10,raw[],COLUMN(AI$1)-COLUMN($A$1),FALSE)=0, VLOOKUP($D10, regions[], COLUMN(AI$1)-COLUMN($A$1), FALSE), VLOOKUP($A10,raw[],COLUMN(AI$1)-COLUMN($A$1),FALSE))</f>
        <v>5.987260697524903E-4</v>
      </c>
      <c r="AI10" s="72">
        <f>IF(VLOOKUP($A10,raw[],COLUMN(AJ$1)-COLUMN($A$1),FALSE)=0, VLOOKUP($D10, regions[], COLUMN(AJ$1)-COLUMN($A$1), FALSE), VLOOKUP($A10,raw[],COLUMN(AJ$1)-COLUMN($A$1),FALSE))</f>
        <v>8.7460441447060428E-4</v>
      </c>
      <c r="AJ10" s="72">
        <f>IF(VLOOKUP($A10,raw[],COLUMN(AK$1)-COLUMN($A$1),FALSE)=0, VLOOKUP($D10, regions[], COLUMN(AK$1)-COLUMN($A$1), FALSE), VLOOKUP($A10,raw[],COLUMN(AK$1)-COLUMN($A$1),FALSE))</f>
        <v>1.4330866848499505E-3</v>
      </c>
      <c r="AK10" s="72">
        <f>IF(VLOOKUP($A10,raw[],COLUMN(AL$1)-COLUMN($A$1),FALSE)=0, VLOOKUP($D10, regions[], COLUMN(AL$1)-COLUMN($A$1), FALSE), VLOOKUP($A10,raw[],COLUMN(AL$1)-COLUMN($A$1),FALSE))</f>
        <v>2.2944909907093732E-3</v>
      </c>
      <c r="AL10" s="72">
        <f>IF(VLOOKUP($A10,raw[],COLUMN(AM$1)-COLUMN($A$1),FALSE)=0, VLOOKUP($D10, regions[], COLUMN(AM$1)-COLUMN($A$1), FALSE), VLOOKUP($A10,raw[],COLUMN(AM$1)-COLUMN($A$1),FALSE))</f>
        <v>3.3156186518019663E-3</v>
      </c>
      <c r="AM10" s="72">
        <f>IF(VLOOKUP($A10,raw[],COLUMN(AN$1)-COLUMN($A$1),FALSE)=0, VLOOKUP($D10, regions[], COLUMN(AN$1)-COLUMN($A$1), FALSE), VLOOKUP($A10,raw[],COLUMN(AN$1)-COLUMN($A$1),FALSE))</f>
        <v>4.9758308884574175E-3</v>
      </c>
      <c r="AN10" s="72">
        <f>IF(VLOOKUP($A10,raw[],COLUMN(AO$1)-COLUMN($A$1),FALSE)=0, VLOOKUP($D10, regions[], COLUMN(AO$1)-COLUMN($A$1), FALSE), VLOOKUP($A10,raw[],COLUMN(AO$1)-COLUMN($A$1),FALSE))</f>
        <v>7.303794833465097E-3</v>
      </c>
      <c r="AO10" s="72">
        <f>IF(VLOOKUP($A10,raw[],COLUMN(AP$1)-COLUMN($A$1),FALSE)=0, VLOOKUP($D10, regions[], COLUMN(AP$1)-COLUMN($A$1), FALSE), VLOOKUP($A10,raw[],COLUMN(AP$1)-COLUMN($A$1),FALSE))</f>
        <v>1.0865495846746462E-2</v>
      </c>
      <c r="AP10" s="72">
        <f>IF(VLOOKUP($A10,raw[],COLUMN(AQ$1)-COLUMN($A$1),FALSE)=0, VLOOKUP($D10, regions[], COLUMN(AQ$1)-COLUMN($A$1), FALSE), VLOOKUP($A10,raw[],COLUMN(AQ$1)-COLUMN($A$1),FALSE))</f>
        <v>1.6436042866597753E-2</v>
      </c>
      <c r="AQ10" s="72">
        <f>IF(VLOOKUP($A10,raw[],COLUMN(AR$1)-COLUMN($A$1),FALSE)=0, VLOOKUP($D10, regions[], COLUMN(AR$1)-COLUMN($A$1), FALSE), VLOOKUP($A10,raw[],COLUMN(AR$1)-COLUMN($A$1),FALSE))</f>
        <v>2.3166982628810194E-2</v>
      </c>
      <c r="AR10" s="72">
        <f>IF(VLOOKUP($A10,raw[],COLUMN(AS$1)-COLUMN($A$1),FALSE)=0, VLOOKUP($D10, regions[], COLUMN(AS$1)-COLUMN($A$1), FALSE), VLOOKUP($A10,raw[],COLUMN(AS$1)-COLUMN($A$1),FALSE))</f>
        <v>3.328192282230763E-2</v>
      </c>
      <c r="AS10" s="72">
        <f>IF(VLOOKUP($A10,raw[],COLUMN(AT$1)-COLUMN($A$1),FALSE)=0, VLOOKUP($D10, regions[], COLUMN(AT$1)-COLUMN($A$1), FALSE), VLOOKUP($A10,raw[],COLUMN(AT$1)-COLUMN($A$1),FALSE))</f>
        <v>5.0327355600297066E-2</v>
      </c>
      <c r="AT10" s="72">
        <f>IF(VLOOKUP($A10,raw[],COLUMN(AU$1)-COLUMN($A$1),FALSE)=0, VLOOKUP($D10, regions[], COLUMN(AU$1)-COLUMN($A$1), FALSE), VLOOKUP($A10,raw[],COLUMN(AU$1)-COLUMN($A$1),FALSE))</f>
        <v>7.7358215440379449E-2</v>
      </c>
      <c r="AU10" s="72">
        <f>IF(VLOOKUP($A10,raw[],COLUMN(AV$1)-COLUMN($A$1),FALSE)=0, VLOOKUP($D10, regions[], COLUMN(AV$1)-COLUMN($A$1), FALSE), VLOOKUP($A10,raw[],COLUMN(AV$1)-COLUMN($A$1),FALSE))</f>
        <v>0.10976028096120835</v>
      </c>
      <c r="AV10" s="72">
        <f>IF(VLOOKUP($A10,raw[],COLUMN(AW$1)-COLUMN($A$1),FALSE)=0, VLOOKUP($D10, regions[], COLUMN(AW$1)-COLUMN($A$1), FALSE), VLOOKUP($A10,raw[],COLUMN(AW$1)-COLUMN($A$1),FALSE))</f>
        <v>0.14532450263334859</v>
      </c>
      <c r="AW10" s="72">
        <f>IF(VLOOKUP($A10,raw[],COLUMN(AX$1)-COLUMN($A$1),FALSE)=0, VLOOKUP($D10, regions[], COLUMN(AX$1)-COLUMN($A$1), FALSE), VLOOKUP($A10,raw[],COLUMN(AX$1)-COLUMN($A$1),FALSE))</f>
        <v>0.17200342448771944</v>
      </c>
      <c r="AX10" s="72">
        <f>IF(VLOOKUP($A10,raw[],COLUMN(AY$1)-COLUMN($A$1),FALSE)=0, VLOOKUP($D10, regions[], COLUMN(AY$1)-COLUMN($A$1), FALSE), VLOOKUP($A10,raw[],COLUMN(AY$1)-COLUMN($A$1),FALSE))</f>
        <v>74.489999999999995</v>
      </c>
      <c r="AY10" t="str">
        <f t="shared" si="0"/>
        <v>No</v>
      </c>
    </row>
    <row r="11" spans="1:51" x14ac:dyDescent="0.25">
      <c r="A11" s="55" t="s">
        <v>230</v>
      </c>
      <c r="B11" s="56" t="s">
        <v>231</v>
      </c>
      <c r="C11" s="56">
        <v>84</v>
      </c>
      <c r="D11" s="56" t="s">
        <v>215</v>
      </c>
      <c r="E11" s="56" t="s">
        <v>232</v>
      </c>
      <c r="F11" s="56" t="s">
        <v>217</v>
      </c>
      <c r="G11" s="56" t="s">
        <v>204</v>
      </c>
      <c r="H11" s="74">
        <f>VLOOKUP(lmics[[#This Row],[setting]],raw[],8,FALSE)</f>
        <v>397621</v>
      </c>
      <c r="I11" s="74">
        <f>VLOOKUP(lmics[[#This Row],[setting]],raw[],9,FALSE)</f>
        <v>8305.5074480000003</v>
      </c>
      <c r="J11" s="67">
        <f>IF(VLOOKUP($A11,raw[],COLUMN(J$1),FALSE)=0, VLOOKUP($D11, regions[], COLUMN(J$1), FALSE), VLOOKUP($A11,raw[],COLUMN(J$1),FALSE))</f>
        <v>0.96400000000000008</v>
      </c>
      <c r="K11" s="77">
        <f>VLOOKUP($A11, raw[], 11, FALSE)</f>
        <v>0.67</v>
      </c>
      <c r="L11" s="77">
        <f>VLOOKUP($A11, raw[], 12, FALSE)</f>
        <v>0.79</v>
      </c>
      <c r="M11" s="77">
        <f>IF(VLOOKUP($A11,raw[],COLUMN(M$1),FALSE)=0, VLOOKUP($D11, regions[], COLUMN(M$1), FALSE), VLOOKUP($A11,raw[],COLUMN(M$1),FALSE))</f>
        <v>3.3799999999999997E-2</v>
      </c>
      <c r="N11" s="68">
        <f>IF(VLOOKUP($A11,raw[],COLUMN(N$1),FALSE)=0, VLOOKUP($D11, regions[], COLUMN(N$1), FALSE), VLOOKUP($A11,raw[],COLUMN(N$1),FALSE))</f>
        <v>0.3153977532060992</v>
      </c>
      <c r="O11" s="67">
        <f>IF(VLOOKUP($A11,raw[],COLUMN(O$1),FALSE)=0, VLOOKUP($D11, regions[], COLUMN(O$1), FALSE), VLOOKUP($A11,raw[],COLUMN(O$1),FALSE))</f>
        <v>0.8</v>
      </c>
      <c r="P11" s="68">
        <f>IF(VLOOKUP($A11,raw[],COLUMN(P$1),FALSE)=0, VLOOKUP($D11, regions[], COLUMN(P$1), FALSE), VLOOKUP($A11,raw[],COLUMN(P$1),FALSE))</f>
        <v>0.17499999999999999</v>
      </c>
      <c r="Q11" s="70">
        <f>IF(VLOOKUP($A11,raw[],COLUMN(Q$1),FALSE)=0, VLOOKUP($D11, regions[], COLUMN(Q$1), FALSE), VLOOKUP($A11,raw[],COLUMN(Q$1),FALSE))</f>
        <v>9.0621276496830205</v>
      </c>
      <c r="R11" s="70">
        <f>IF(VLOOKUP($A11,raw[],COLUMN(R$1),FALSE)=0, VLOOKUP($D11, regions[], COLUMN(R$1), FALSE), VLOOKUP($A11,raw[],COLUMN(R$1),FALSE))</f>
        <v>31.387507649683023</v>
      </c>
      <c r="S11" s="70">
        <f>IF(VLOOKUP($A11,raw[],COLUMN(S$1),FALSE)=0, VLOOKUP($D11, regions[], COLUMN(S$1), FALSE), VLOOKUP($A11,raw[],COLUMN(S$1),FALSE))</f>
        <v>81.917230941929887</v>
      </c>
      <c r="T11" s="70">
        <f>IF(VLOOKUP($A11,raw[],COLUMN(U$1)-COLUMN($A$1),FALSE)=0, VLOOKUP($D11, regions[], COLUMN(U$1)-COLUMN($A$1), FALSE), VLOOKUP($A11,raw[],COLUMN(U$1)-COLUMN($A$1),FALSE))</f>
        <v>93.008197116263062</v>
      </c>
      <c r="U11" s="70">
        <f>IF(VLOOKUP($A11,raw[],COLUMN(V$1)-COLUMN($A$1),FALSE)=0, VLOOKUP($D11, regions[], COLUMN(V$1)-COLUMN($A$1), FALSE), VLOOKUP($A11,raw[],COLUMN(V$1)-COLUMN($A$1),FALSE))</f>
        <v>87.915459882168534</v>
      </c>
      <c r="V11" s="70">
        <f>IF(VLOOKUP($A11,raw[],COLUMN(W$1)-COLUMN($A$1),FALSE)=0, VLOOKUP($D11, regions[], COLUMN(W$1)-COLUMN($A$1), FALSE), VLOOKUP($A11,raw[],COLUMN(W$1)-COLUMN($A$1),FALSE))</f>
        <v>10.011238018434733</v>
      </c>
      <c r="W11" s="70">
        <f>IF(VLOOKUP($A11,raw[],COLUMN(X$1)-COLUMN($A$1),FALSE)=0, VLOOKUP($D11, regions[], COLUMN(X$1)-COLUMN($A$1), FALSE), VLOOKUP($A11,raw[],COLUMN(X$1)-COLUMN($A$1),FALSE))</f>
        <v>10.031238018434733</v>
      </c>
      <c r="X11" s="70">
        <f>IF(VLOOKUP($A11,raw[],COLUMN(Y$1)-COLUMN($A$1),FALSE)=0, VLOOKUP($D11, regions[], COLUMN(Y$1)-COLUMN($A$1), FALSE), VLOOKUP($A11,raw[],COLUMN(Y$1)-COLUMN($A$1),FALSE))</f>
        <v>9.5856472802948591</v>
      </c>
      <c r="Y11" s="70">
        <f>IF(VLOOKUP($A11,raw[],COLUMN(Z$1)-COLUMN($A$1),FALSE)=0, VLOOKUP($D11, regions[], COLUMN(Z$1)-COLUMN($A$1), FALSE), VLOOKUP($A11,raw[],COLUMN(Z$1)-COLUMN($A$1),FALSE))</f>
        <v>9.6056472802948587</v>
      </c>
      <c r="Z11" s="70">
        <f>IF(VLOOKUP($A11,raw[],COLUMN(AA$1)-COLUMN($A$1),FALSE)=0, VLOOKUP($D11, regions[], COLUMN(AA$1)-COLUMN($A$1), FALSE), VLOOKUP($A11,raw[],COLUMN(AA$1)-COLUMN($A$1),FALSE))</f>
        <v>9.5955514612075792</v>
      </c>
      <c r="AA11" s="70">
        <f>IF(VLOOKUP($A11,raw[],COLUMN(AB$1)-COLUMN($A$1),FALSE)=0, VLOOKUP($D11, regions[], COLUMN(AB$1)-COLUMN($A$1), FALSE), VLOOKUP($A11,raw[],COLUMN(AB$1)-COLUMN($A$1),FALSE))</f>
        <v>10.221730295134755</v>
      </c>
      <c r="AB11" s="70">
        <f>IF(VLOOKUP($A11,raw[],COLUMN(AC$1)-COLUMN($A$1),FALSE)=0, VLOOKUP($D11, regions[], COLUMN(AC$1)-COLUMN($A$1), FALSE), VLOOKUP($A11,raw[],COLUMN(AC$1)-COLUMN($A$1),FALSE))</f>
        <v>10.241730295134754</v>
      </c>
      <c r="AC11" s="72">
        <f>IF(VLOOKUP($A11,raw[],COLUMN(AD$1)-COLUMN($A$1),FALSE)=0, VLOOKUP($D11, regions[], COLUMN(AD$1)-COLUMN($A$1), FALSE), VLOOKUP($A11,raw[],COLUMN(AD$1)-COLUMN($A$1),FALSE))</f>
        <v>1.2816070000000035E-2</v>
      </c>
      <c r="AD11" s="72">
        <f>IF(VLOOKUP($A11,raw[],COLUMN(AE$1)-COLUMN($A$1),FALSE)=0, VLOOKUP($D11, regions[], COLUMN(AE$1)-COLUMN($A$1), FALSE), VLOOKUP($A11,raw[],COLUMN(AE$1)-COLUMN($A$1),FALSE))</f>
        <v>5.2839444013232247E-4</v>
      </c>
      <c r="AE11" s="72">
        <f>IF(VLOOKUP($A11,raw[],COLUMN(AF$1)-COLUMN($A$1),FALSE)=0, VLOOKUP($D11, regions[], COLUMN(AF$1)-COLUMN($A$1), FALSE), VLOOKUP($A11,raw[],COLUMN(AF$1)-COLUMN($A$1),FALSE))</f>
        <v>3.0433131569198077E-4</v>
      </c>
      <c r="AF11" s="72">
        <f>IF(VLOOKUP($A11,raw[],COLUMN(AG$1)-COLUMN($A$1),FALSE)=0, VLOOKUP($D11, regions[], COLUMN(AG$1)-COLUMN($A$1), FALSE), VLOOKUP($A11,raw[],COLUMN(AG$1)-COLUMN($A$1),FALSE))</f>
        <v>3.30102184177905E-4</v>
      </c>
      <c r="AG11" s="72">
        <f>IF(VLOOKUP($A11,raw[],COLUMN(AH$1)-COLUMN($A$1),FALSE)=0, VLOOKUP($D11, regions[], COLUMN(AH$1)-COLUMN($A$1), FALSE), VLOOKUP($A11,raw[],COLUMN(AH$1)-COLUMN($A$1),FALSE))</f>
        <v>9.9336946473442696E-4</v>
      </c>
      <c r="AH11" s="72">
        <f>IF(VLOOKUP($A11,raw[],COLUMN(AI$1)-COLUMN($A$1),FALSE)=0, VLOOKUP($D11, regions[], COLUMN(AI$1)-COLUMN($A$1), FALSE), VLOOKUP($A11,raw[],COLUMN(AI$1)-COLUMN($A$1),FALSE))</f>
        <v>1.5584234821144477E-3</v>
      </c>
      <c r="AI11" s="72">
        <f>IF(VLOOKUP($A11,raw[],COLUMN(AJ$1)-COLUMN($A$1),FALSE)=0, VLOOKUP($D11, regions[], COLUMN(AJ$1)-COLUMN($A$1), FALSE), VLOOKUP($A11,raw[],COLUMN(AJ$1)-COLUMN($A$1),FALSE))</f>
        <v>2.3286180141758603E-3</v>
      </c>
      <c r="AJ11" s="72">
        <f>IF(VLOOKUP($A11,raw[],COLUMN(AK$1)-COLUMN($A$1),FALSE)=0, VLOOKUP($D11, regions[], COLUMN(AK$1)-COLUMN($A$1), FALSE), VLOOKUP($A11,raw[],COLUMN(AK$1)-COLUMN($A$1),FALSE))</f>
        <v>2.7513090350750114E-3</v>
      </c>
      <c r="AK11" s="72">
        <f>IF(VLOOKUP($A11,raw[],COLUMN(AL$1)-COLUMN($A$1),FALSE)=0, VLOOKUP($D11, regions[], COLUMN(AL$1)-COLUMN($A$1), FALSE), VLOOKUP($A11,raw[],COLUMN(AL$1)-COLUMN($A$1),FALSE))</f>
        <v>2.8670260585765784E-3</v>
      </c>
      <c r="AL11" s="72">
        <f>IF(VLOOKUP($A11,raw[],COLUMN(AM$1)-COLUMN($A$1),FALSE)=0, VLOOKUP($D11, regions[], COLUMN(AM$1)-COLUMN($A$1), FALSE), VLOOKUP($A11,raw[],COLUMN(AM$1)-COLUMN($A$1),FALSE))</f>
        <v>3.5152753041282894E-3</v>
      </c>
      <c r="AM11" s="72">
        <f>IF(VLOOKUP($A11,raw[],COLUMN(AN$1)-COLUMN($A$1),FALSE)=0, VLOOKUP($D11, regions[], COLUMN(AN$1)-COLUMN($A$1), FALSE), VLOOKUP($A11,raw[],COLUMN(AN$1)-COLUMN($A$1),FALSE))</f>
        <v>4.8447417606571758E-3</v>
      </c>
      <c r="AN11" s="72">
        <f>IF(VLOOKUP($A11,raw[],COLUMN(AO$1)-COLUMN($A$1),FALSE)=0, VLOOKUP($D11, regions[], COLUMN(AO$1)-COLUMN($A$1), FALSE), VLOOKUP($A11,raw[],COLUMN(AO$1)-COLUMN($A$1),FALSE))</f>
        <v>6.7217168056650269E-3</v>
      </c>
      <c r="AO11" s="72">
        <f>IF(VLOOKUP($A11,raw[],COLUMN(AP$1)-COLUMN($A$1),FALSE)=0, VLOOKUP($D11, regions[], COLUMN(AP$1)-COLUMN($A$1), FALSE), VLOOKUP($A11,raw[],COLUMN(AP$1)-COLUMN($A$1),FALSE))</f>
        <v>1.0577857985131261E-2</v>
      </c>
      <c r="AP11" s="72">
        <f>IF(VLOOKUP($A11,raw[],COLUMN(AQ$1)-COLUMN($A$1),FALSE)=0, VLOOKUP($D11, regions[], COLUMN(AQ$1)-COLUMN($A$1), FALSE), VLOOKUP($A11,raw[],COLUMN(AQ$1)-COLUMN($A$1),FALSE))</f>
        <v>1.4086050361921973E-2</v>
      </c>
      <c r="AQ11" s="72">
        <f>IF(VLOOKUP($A11,raw[],COLUMN(AR$1)-COLUMN($A$1),FALSE)=0, VLOOKUP($D11, regions[], COLUMN(AR$1)-COLUMN($A$1), FALSE), VLOOKUP($A11,raw[],COLUMN(AR$1)-COLUMN($A$1),FALSE))</f>
        <v>1.9026925168537715E-2</v>
      </c>
      <c r="AR11" s="72">
        <f>IF(VLOOKUP($A11,raw[],COLUMN(AS$1)-COLUMN($A$1),FALSE)=0, VLOOKUP($D11, regions[], COLUMN(AS$1)-COLUMN($A$1), FALSE), VLOOKUP($A11,raw[],COLUMN(AS$1)-COLUMN($A$1),FALSE))</f>
        <v>2.6552083204686317E-2</v>
      </c>
      <c r="AS11" s="72">
        <f>IF(VLOOKUP($A11,raw[],COLUMN(AT$1)-COLUMN($A$1),FALSE)=0, VLOOKUP($D11, regions[], COLUMN(AT$1)-COLUMN($A$1), FALSE), VLOOKUP($A11,raw[],COLUMN(AT$1)-COLUMN($A$1),FALSE))</f>
        <v>3.867017588830339E-2</v>
      </c>
      <c r="AT11" s="72">
        <f>IF(VLOOKUP($A11,raw[],COLUMN(AU$1)-COLUMN($A$1),FALSE)=0, VLOOKUP($D11, regions[], COLUMN(AU$1)-COLUMN($A$1), FALSE), VLOOKUP($A11,raw[],COLUMN(AU$1)-COLUMN($A$1),FALSE))</f>
        <v>6.118915184078795E-2</v>
      </c>
      <c r="AU11" s="72">
        <f>IF(VLOOKUP($A11,raw[],COLUMN(AV$1)-COLUMN($A$1),FALSE)=0, VLOOKUP($D11, regions[], COLUMN(AV$1)-COLUMN($A$1), FALSE), VLOOKUP($A11,raw[],COLUMN(AV$1)-COLUMN($A$1),FALSE))</f>
        <v>8.5259662158690394E-2</v>
      </c>
      <c r="AV11" s="72">
        <f>IF(VLOOKUP($A11,raw[],COLUMN(AW$1)-COLUMN($A$1),FALSE)=0, VLOOKUP($D11, regions[], COLUMN(AW$1)-COLUMN($A$1), FALSE), VLOOKUP($A11,raw[],COLUMN(AW$1)-COLUMN($A$1),FALSE))</f>
        <v>0.10937780472241215</v>
      </c>
      <c r="AW11" s="72">
        <f>IF(VLOOKUP($A11,raw[],COLUMN(AX$1)-COLUMN($A$1),FALSE)=0, VLOOKUP($D11, regions[], COLUMN(AX$1)-COLUMN($A$1), FALSE), VLOOKUP($A11,raw[],COLUMN(AX$1)-COLUMN($A$1),FALSE))</f>
        <v>0.15112605195352843</v>
      </c>
      <c r="AX11" s="72">
        <f>IF(VLOOKUP($A11,raw[],COLUMN(AY$1)-COLUMN($A$1),FALSE)=0, VLOOKUP($D11, regions[], COLUMN(AY$1)-COLUMN($A$1), FALSE), VLOOKUP($A11,raw[],COLUMN(AY$1)-COLUMN($A$1),FALSE))</f>
        <v>74.37</v>
      </c>
      <c r="AY11" t="str">
        <f t="shared" si="0"/>
        <v>No</v>
      </c>
    </row>
    <row r="12" spans="1:51" x14ac:dyDescent="0.25">
      <c r="A12" s="53" t="s">
        <v>233</v>
      </c>
      <c r="B12" s="54" t="s">
        <v>234</v>
      </c>
      <c r="C12" s="54">
        <v>204</v>
      </c>
      <c r="D12" s="54" t="s">
        <v>207</v>
      </c>
      <c r="E12" s="54" t="s">
        <v>235</v>
      </c>
      <c r="F12" s="54" t="s">
        <v>211</v>
      </c>
      <c r="G12" s="54" t="s">
        <v>198</v>
      </c>
      <c r="H12" s="73">
        <f>VLOOKUP(lmics[[#This Row],[setting]],raw[],8,FALSE)</f>
        <v>12123198</v>
      </c>
      <c r="I12" s="73">
        <f>VLOOKUP(lmics[[#This Row],[setting]],raw[],9,FALSE)</f>
        <v>441296.53039800003</v>
      </c>
      <c r="J12" s="67">
        <f>IF(VLOOKUP($A12,raw[],COLUMN(J$1),FALSE)=0, VLOOKUP($D12, regions[], COLUMN(J$1), FALSE), VLOOKUP($A12,raw[],COLUMN(J$1),FALSE))</f>
        <v>0.83900000000000008</v>
      </c>
      <c r="K12" s="77">
        <f>VLOOKUP($A12, raw[], 11, FALSE)</f>
        <v>0.21</v>
      </c>
      <c r="L12" s="77">
        <f>VLOOKUP($A12, raw[], 12, FALSE)</f>
        <v>0.72</v>
      </c>
      <c r="M12" s="77">
        <f>IF(VLOOKUP($A12,raw[],COLUMN(M$1),FALSE)=0, VLOOKUP($D12, regions[], COLUMN(M$1), FALSE), VLOOKUP($A12,raw[],COLUMN(M$1),FALSE))</f>
        <v>9.2600000000000002E-2</v>
      </c>
      <c r="N12" s="68">
        <f>IF(VLOOKUP($A12,raw[],COLUMN(N$1),FALSE)=0, VLOOKUP($D12, regions[], COLUMN(N$1), FALSE), VLOOKUP($A12,raw[],COLUMN(N$1),FALSE))</f>
        <v>0.29308008391498708</v>
      </c>
      <c r="O12" s="67">
        <f>IF(VLOOKUP($A12,raw[],COLUMN(O$1),FALSE)=0, VLOOKUP($D12, regions[], COLUMN(O$1), FALSE), VLOOKUP($A12,raw[],COLUMN(O$1),FALSE))</f>
        <v>0.38300000000000001</v>
      </c>
      <c r="P12" s="68">
        <f>IF(VLOOKUP($A12,raw[],COLUMN(P$1),FALSE)=0, VLOOKUP($D12, regions[], COLUMN(P$1), FALSE), VLOOKUP($A12,raw[],COLUMN(P$1),FALSE))</f>
        <v>4.8000000000000001E-2</v>
      </c>
      <c r="Q12" s="70">
        <f>IF(VLOOKUP($A12,raw[],COLUMN(Q$1),FALSE)=0, VLOOKUP($D12, regions[], COLUMN(Q$1), FALSE), VLOOKUP($A12,raw[],COLUMN(Q$1),FALSE))</f>
        <v>3.3030626370135003</v>
      </c>
      <c r="R12" s="70">
        <f>IF(VLOOKUP($A12,raw[],COLUMN(R$1),FALSE)=0, VLOOKUP($D12, regions[], COLUMN(R$1), FALSE), VLOOKUP($A12,raw[],COLUMN(R$1),FALSE))</f>
        <v>25.628442637013503</v>
      </c>
      <c r="S12" s="70">
        <f>IF(VLOOKUP($A12,raw[],COLUMN(S$1),FALSE)=0, VLOOKUP($D12, regions[], COLUMN(S$1), FALSE), VLOOKUP($A12,raw[],COLUMN(S$1),FALSE))</f>
        <v>57.036581248415985</v>
      </c>
      <c r="T12" s="70">
        <f>IF(VLOOKUP($A12,raw[],COLUMN(U$1)-COLUMN($A$1),FALSE)=0, VLOOKUP($D12, regions[], COLUMN(U$1)-COLUMN($A$1), FALSE), VLOOKUP($A12,raw[],COLUMN(U$1)-COLUMN($A$1),FALSE))</f>
        <v>58.175430917695685</v>
      </c>
      <c r="U12" s="70">
        <f>IF(VLOOKUP($A12,raw[],COLUMN(V$1)-COLUMN($A$1),FALSE)=0, VLOOKUP($D12, regions[], COLUMN(V$1)-COLUMN($A$1), FALSE), VLOOKUP($A12,raw[],COLUMN(V$1)-COLUMN($A$1),FALSE))</f>
        <v>57.65249522177777</v>
      </c>
      <c r="V12" s="70">
        <f>IF(VLOOKUP($A12,raw[],COLUMN(W$1)-COLUMN($A$1),FALSE)=0, VLOOKUP($D12, regions[], COLUMN(W$1)-COLUMN($A$1), FALSE), VLOOKUP($A12,raw[],COLUMN(W$1)-COLUMN($A$1),FALSE))</f>
        <v>1.9300375613961838</v>
      </c>
      <c r="W12" s="70">
        <f>IF(VLOOKUP($A12,raw[],COLUMN(X$1)-COLUMN($A$1),FALSE)=0, VLOOKUP($D12, regions[], COLUMN(X$1)-COLUMN($A$1), FALSE), VLOOKUP($A12,raw[],COLUMN(X$1)-COLUMN($A$1),FALSE))</f>
        <v>6.7600375613961834</v>
      </c>
      <c r="X12" s="70">
        <f>IF(VLOOKUP($A12,raw[],COLUMN(Y$1)-COLUMN($A$1),FALSE)=0, VLOOKUP($D12, regions[], COLUMN(Y$1)-COLUMN($A$1), FALSE), VLOOKUP($A12,raw[],COLUMN(Y$1)-COLUMN($A$1),FALSE))</f>
        <v>1.5215716116666336</v>
      </c>
      <c r="Y12" s="70">
        <f>IF(VLOOKUP($A12,raw[],COLUMN(Z$1)-COLUMN($A$1),FALSE)=0, VLOOKUP($D12, regions[], COLUMN(Z$1)-COLUMN($A$1), FALSE), VLOOKUP($A12,raw[],COLUMN(Z$1)-COLUMN($A$1),FALSE))</f>
        <v>6.3515716116666336</v>
      </c>
      <c r="Z12" s="70">
        <f>IF(VLOOKUP($A12,raw[],COLUMN(AA$1)-COLUMN($A$1),FALSE)=0, VLOOKUP($D12, regions[], COLUMN(AA$1)-COLUMN($A$1), FALSE), VLOOKUP($A12,raw[],COLUMN(AA$1)-COLUMN($A$1),FALSE))</f>
        <v>6.348616041254953</v>
      </c>
      <c r="AA12" s="70">
        <f>IF(VLOOKUP($A12,raw[],COLUMN(AB$1)-COLUMN($A$1),FALSE)=0, VLOOKUP($D12, regions[], COLUMN(AB$1)-COLUMN($A$1), FALSE), VLOOKUP($A12,raw[],COLUMN(AB$1)-COLUMN($A$1),FALSE))</f>
        <v>2.1344244787499163</v>
      </c>
      <c r="AB12" s="70">
        <f>IF(VLOOKUP($A12,raw[],COLUMN(AC$1)-COLUMN($A$1),FALSE)=0, VLOOKUP($D12, regions[], COLUMN(AC$1)-COLUMN($A$1), FALSE), VLOOKUP($A12,raw[],COLUMN(AC$1)-COLUMN($A$1),FALSE))</f>
        <v>6.9644244787499163</v>
      </c>
      <c r="AC12" s="72">
        <f>IF(VLOOKUP($A12,raw[],COLUMN(AD$1)-COLUMN($A$1),FALSE)=0, VLOOKUP($D12, regions[], COLUMN(AD$1)-COLUMN($A$1), FALSE), VLOOKUP($A12,raw[],COLUMN(AD$1)-COLUMN($A$1),FALSE))</f>
        <v>6.1164949999999954E-2</v>
      </c>
      <c r="AD12" s="72">
        <f>IF(VLOOKUP($A12,raw[],COLUMN(AE$1)-COLUMN($A$1),FALSE)=0, VLOOKUP($D12, regions[], COLUMN(AE$1)-COLUMN($A$1), FALSE), VLOOKUP($A12,raw[],COLUMN(AE$1)-COLUMN($A$1),FALSE))</f>
        <v>9.1920966308192444E-3</v>
      </c>
      <c r="AE12" s="72">
        <f>IF(VLOOKUP($A12,raw[],COLUMN(AF$1)-COLUMN($A$1),FALSE)=0, VLOOKUP($D12, regions[], COLUMN(AF$1)-COLUMN($A$1), FALSE), VLOOKUP($A12,raw[],COLUMN(AF$1)-COLUMN($A$1),FALSE))</f>
        <v>3.0964875536814694E-3</v>
      </c>
      <c r="AF12" s="72">
        <f>IF(VLOOKUP($A12,raw[],COLUMN(AG$1)-COLUMN($A$1),FALSE)=0, VLOOKUP($D12, regions[], COLUMN(AG$1)-COLUMN($A$1), FALSE), VLOOKUP($A12,raw[],COLUMN(AG$1)-COLUMN($A$1),FALSE))</f>
        <v>1.83242869242432E-3</v>
      </c>
      <c r="AG12" s="72">
        <f>IF(VLOOKUP($A12,raw[],COLUMN(AH$1)-COLUMN($A$1),FALSE)=0, VLOOKUP($D12, regions[], COLUMN(AH$1)-COLUMN($A$1), FALSE), VLOOKUP($A12,raw[],COLUMN(AH$1)-COLUMN($A$1),FALSE))</f>
        <v>2.463276961685093E-3</v>
      </c>
      <c r="AH12" s="72">
        <f>IF(VLOOKUP($A12,raw[],COLUMN(AI$1)-COLUMN($A$1),FALSE)=0, VLOOKUP($D12, regions[], COLUMN(AI$1)-COLUMN($A$1), FALSE), VLOOKUP($A12,raw[],COLUMN(AI$1)-COLUMN($A$1),FALSE))</f>
        <v>3.3343019710225666E-3</v>
      </c>
      <c r="AI12" s="72">
        <f>IF(VLOOKUP($A12,raw[],COLUMN(AJ$1)-COLUMN($A$1),FALSE)=0, VLOOKUP($D12, regions[], COLUMN(AJ$1)-COLUMN($A$1), FALSE), VLOOKUP($A12,raw[],COLUMN(AJ$1)-COLUMN($A$1),FALSE))</f>
        <v>3.6652593795521776E-3</v>
      </c>
      <c r="AJ12" s="72">
        <f>IF(VLOOKUP($A12,raw[],COLUMN(AK$1)-COLUMN($A$1),FALSE)=0, VLOOKUP($D12, regions[], COLUMN(AK$1)-COLUMN($A$1), FALSE), VLOOKUP($A12,raw[],COLUMN(AK$1)-COLUMN($A$1),FALSE))</f>
        <v>4.0444612807645271E-3</v>
      </c>
      <c r="AK12" s="72">
        <f>IF(VLOOKUP($A12,raw[],COLUMN(AL$1)-COLUMN($A$1),FALSE)=0, VLOOKUP($D12, regions[], COLUMN(AL$1)-COLUMN($A$1), FALSE), VLOOKUP($A12,raw[],COLUMN(AL$1)-COLUMN($A$1),FALSE))</f>
        <v>4.6082345686252989E-3</v>
      </c>
      <c r="AL12" s="72">
        <f>IF(VLOOKUP($A12,raw[],COLUMN(AM$1)-COLUMN($A$1),FALSE)=0, VLOOKUP($D12, regions[], COLUMN(AM$1)-COLUMN($A$1), FALSE), VLOOKUP($A12,raw[],COLUMN(AM$1)-COLUMN($A$1),FALSE))</f>
        <v>5.694718856478747E-3</v>
      </c>
      <c r="AM12" s="72">
        <f>IF(VLOOKUP($A12,raw[],COLUMN(AN$1)-COLUMN($A$1),FALSE)=0, VLOOKUP($D12, regions[], COLUMN(AN$1)-COLUMN($A$1), FALSE), VLOOKUP($A12,raw[],COLUMN(AN$1)-COLUMN($A$1),FALSE))</f>
        <v>6.9182841363716755E-3</v>
      </c>
      <c r="AN12" s="72">
        <f>IF(VLOOKUP($A12,raw[],COLUMN(AO$1)-COLUMN($A$1),FALSE)=0, VLOOKUP($D12, regions[], COLUMN(AO$1)-COLUMN($A$1), FALSE), VLOOKUP($A12,raw[],COLUMN(AO$1)-COLUMN($A$1),FALSE))</f>
        <v>9.6187640858853684E-3</v>
      </c>
      <c r="AO12" s="72">
        <f>IF(VLOOKUP($A12,raw[],COLUMN(AP$1)-COLUMN($A$1),FALSE)=0, VLOOKUP($D12, regions[], COLUMN(AP$1)-COLUMN($A$1), FALSE), VLOOKUP($A12,raw[],COLUMN(AP$1)-COLUMN($A$1),FALSE))</f>
        <v>1.2864543277523127E-2</v>
      </c>
      <c r="AP12" s="72">
        <f>IF(VLOOKUP($A12,raw[],COLUMN(AQ$1)-COLUMN($A$1),FALSE)=0, VLOOKUP($D12, regions[], COLUMN(AQ$1)-COLUMN($A$1), FALSE), VLOOKUP($A12,raw[],COLUMN(AQ$1)-COLUMN($A$1),FALSE))</f>
        <v>1.9340131777017523E-2</v>
      </c>
      <c r="AQ12" s="72">
        <f>IF(VLOOKUP($A12,raw[],COLUMN(AR$1)-COLUMN($A$1),FALSE)=0, VLOOKUP($D12, regions[], COLUMN(AR$1)-COLUMN($A$1), FALSE), VLOOKUP($A12,raw[],COLUMN(AR$1)-COLUMN($A$1),FALSE))</f>
        <v>2.948365902483838E-2</v>
      </c>
      <c r="AR12" s="72">
        <f>IF(VLOOKUP($A12,raw[],COLUMN(AS$1)-COLUMN($A$1),FALSE)=0, VLOOKUP($D12, regions[], COLUMN(AS$1)-COLUMN($A$1), FALSE), VLOOKUP($A12,raw[],COLUMN(AS$1)-COLUMN($A$1),FALSE))</f>
        <v>4.5251196999489859E-2</v>
      </c>
      <c r="AS12" s="72">
        <f>IF(VLOOKUP($A12,raw[],COLUMN(AT$1)-COLUMN($A$1),FALSE)=0, VLOOKUP($D12, regions[], COLUMN(AT$1)-COLUMN($A$1), FALSE), VLOOKUP($A12,raw[],COLUMN(AT$1)-COLUMN($A$1),FALSE))</f>
        <v>6.7740549247238033E-2</v>
      </c>
      <c r="AT12" s="72">
        <f>IF(VLOOKUP($A12,raw[],COLUMN(AU$1)-COLUMN($A$1),FALSE)=0, VLOOKUP($D12, regions[], COLUMN(AU$1)-COLUMN($A$1), FALSE), VLOOKUP($A12,raw[],COLUMN(AU$1)-COLUMN($A$1),FALSE))</f>
        <v>9.7565677481811094E-2</v>
      </c>
      <c r="AU12" s="72">
        <f>IF(VLOOKUP($A12,raw[],COLUMN(AV$1)-COLUMN($A$1),FALSE)=0, VLOOKUP($D12, regions[], COLUMN(AV$1)-COLUMN($A$1), FALSE), VLOOKUP($A12,raw[],COLUMN(AV$1)-COLUMN($A$1),FALSE))</f>
        <v>0.12954423249216701</v>
      </c>
      <c r="AV12" s="72">
        <f>IF(VLOOKUP($A12,raw[],COLUMN(AW$1)-COLUMN($A$1),FALSE)=0, VLOOKUP($D12, regions[], COLUMN(AW$1)-COLUMN($A$1), FALSE), VLOOKUP($A12,raw[],COLUMN(AW$1)-COLUMN($A$1),FALSE))</f>
        <v>0.15740319463492428</v>
      </c>
      <c r="AW12" s="72">
        <f>IF(VLOOKUP($A12,raw[],COLUMN(AX$1)-COLUMN($A$1),FALSE)=0, VLOOKUP($D12, regions[], COLUMN(AX$1)-COLUMN($A$1), FALSE), VLOOKUP($A12,raw[],COLUMN(AX$1)-COLUMN($A$1),FALSE))</f>
        <v>0.17611156213301282</v>
      </c>
      <c r="AX12" s="72">
        <f>IF(VLOOKUP($A12,raw[],COLUMN(AY$1)-COLUMN($A$1),FALSE)=0, VLOOKUP($D12, regions[], COLUMN(AY$1)-COLUMN($A$1), FALSE), VLOOKUP($A12,raw[],COLUMN(AY$1)-COLUMN($A$1),FALSE))</f>
        <v>61.302999999999997</v>
      </c>
      <c r="AY12" t="str">
        <f t="shared" si="0"/>
        <v>No</v>
      </c>
    </row>
    <row r="13" spans="1:51" x14ac:dyDescent="0.25">
      <c r="A13" s="55" t="s">
        <v>236</v>
      </c>
      <c r="B13" s="56" t="s">
        <v>237</v>
      </c>
      <c r="C13" s="56">
        <v>64</v>
      </c>
      <c r="D13" s="56" t="s">
        <v>225</v>
      </c>
      <c r="E13" s="56" t="s">
        <v>226</v>
      </c>
      <c r="F13" s="56" t="s">
        <v>226</v>
      </c>
      <c r="G13" s="56" t="s">
        <v>212</v>
      </c>
      <c r="H13" s="74">
        <f>VLOOKUP(lmics[[#This Row],[setting]],raw[],8,FALSE)</f>
        <v>771612</v>
      </c>
      <c r="I13" s="74">
        <f>VLOOKUP(lmics[[#This Row],[setting]],raw[],9,FALSE)</f>
        <v>13497.037104000001</v>
      </c>
      <c r="J13" s="67">
        <f>IF(VLOOKUP($A13,raw[],COLUMN(J$1),FALSE)=0, VLOOKUP($D13, regions[], COLUMN(J$1), FALSE), VLOOKUP($A13,raw[],COLUMN(J$1),FALSE))</f>
        <v>0.73799999999999999</v>
      </c>
      <c r="K13" s="77">
        <f>VLOOKUP($A13, raw[], 11, FALSE)</f>
        <v>0.85</v>
      </c>
      <c r="L13" s="77">
        <f>VLOOKUP($A13, raw[], 12, FALSE)</f>
        <v>0.96</v>
      </c>
      <c r="M13" s="77">
        <f>IF(VLOOKUP($A13,raw[],COLUMN(M$1),FALSE)=0, VLOOKUP($D13, regions[], COLUMN(M$1), FALSE), VLOOKUP($A13,raw[],COLUMN(M$1),FALSE))</f>
        <v>3.32E-2</v>
      </c>
      <c r="N13" s="68">
        <f>IF(VLOOKUP($A13,raw[],COLUMN(N$1),FALSE)=0, VLOOKUP($D13, regions[], COLUMN(N$1), FALSE), VLOOKUP($A13,raw[],COLUMN(N$1),FALSE))</f>
        <v>0.26254910100193679</v>
      </c>
      <c r="O13" s="67">
        <f>IF(VLOOKUP($A13,raw[],COLUMN(O$1),FALSE)=0, VLOOKUP($D13, regions[], COLUMN(O$1), FALSE), VLOOKUP($A13,raw[],COLUMN(O$1),FALSE))</f>
        <v>0.8</v>
      </c>
      <c r="P13" s="68">
        <f>IF(VLOOKUP($A13,raw[],COLUMN(P$1),FALSE)=0, VLOOKUP($D13, regions[], COLUMN(P$1), FALSE), VLOOKUP($A13,raw[],COLUMN(P$1),FALSE))</f>
        <v>0.17499999999999999</v>
      </c>
      <c r="Q13" s="70">
        <f>IF(VLOOKUP($A13,raw[],COLUMN(Q$1),FALSE)=0, VLOOKUP($D13, regions[], COLUMN(Q$1), FALSE), VLOOKUP($A13,raw[],COLUMN(Q$1),FALSE))</f>
        <v>5.37141268718117</v>
      </c>
      <c r="R13" s="70">
        <f>IF(VLOOKUP($A13,raw[],COLUMN(R$1),FALSE)=0, VLOOKUP($D13, regions[], COLUMN(R$1), FALSE), VLOOKUP($A13,raw[],COLUMN(R$1),FALSE))</f>
        <v>27.696792687181173</v>
      </c>
      <c r="S13" s="70">
        <f>IF(VLOOKUP($A13,raw[],COLUMN(S$1),FALSE)=0, VLOOKUP($D13, regions[], COLUMN(S$1), FALSE), VLOOKUP($A13,raw[],COLUMN(S$1),FALSE))</f>
        <v>66.167442498240433</v>
      </c>
      <c r="T13" s="70">
        <f>IF(VLOOKUP($A13,raw[],COLUMN(U$1)-COLUMN($A$1),FALSE)=0, VLOOKUP($D13, regions[], COLUMN(U$1)-COLUMN($A$1), FALSE), VLOOKUP($A13,raw[],COLUMN(U$1)-COLUMN($A$1),FALSE))</f>
        <v>70.982082404071036</v>
      </c>
      <c r="U13" s="70">
        <f>IF(VLOOKUP($A13,raw[],COLUMN(V$1)-COLUMN($A$1),FALSE)=0, VLOOKUP($D13, regions[], COLUMN(V$1)-COLUMN($A$1), FALSE), VLOOKUP($A13,raw[],COLUMN(V$1)-COLUMN($A$1),FALSE))</f>
        <v>68.7713015278364</v>
      </c>
      <c r="V13" s="70">
        <f>IF(VLOOKUP($A13,raw[],COLUMN(W$1)-COLUMN($A$1),FALSE)=0, VLOOKUP($D13, regions[], COLUMN(W$1)-COLUMN($A$1), FALSE), VLOOKUP($A13,raw[],COLUMN(W$1)-COLUMN($A$1),FALSE))</f>
        <v>7.9881021511622698</v>
      </c>
      <c r="W13" s="70">
        <f>IF(VLOOKUP($A13,raw[],COLUMN(X$1)-COLUMN($A$1),FALSE)=0, VLOOKUP($D13, regions[], COLUMN(X$1)-COLUMN($A$1), FALSE), VLOOKUP($A13,raw[],COLUMN(X$1)-COLUMN($A$1),FALSE))</f>
        <v>9.7979496121705338</v>
      </c>
      <c r="X13" s="70">
        <f>IF(VLOOKUP($A13,raw[],COLUMN(Y$1)-COLUMN($A$1),FALSE)=0, VLOOKUP($D13, regions[], COLUMN(Y$1)-COLUMN($A$1), FALSE), VLOOKUP($A13,raw[],COLUMN(Y$1)-COLUMN($A$1),FALSE))</f>
        <v>7.5696696937758636</v>
      </c>
      <c r="Y13" s="70">
        <f>IF(VLOOKUP($A13,raw[],COLUMN(Z$1)-COLUMN($A$1),FALSE)=0, VLOOKUP($D13, regions[], COLUMN(Z$1)-COLUMN($A$1), FALSE), VLOOKUP($A13,raw[],COLUMN(Z$1)-COLUMN($A$1),FALSE))</f>
        <v>9.3795171547841285</v>
      </c>
      <c r="Z13" s="70">
        <f>IF(VLOOKUP($A13,raw[],COLUMN(AA$1)-COLUMN($A$1),FALSE)=0, VLOOKUP($D13, regions[], COLUMN(AA$1)-COLUMN($A$1), FALSE), VLOOKUP($A13,raw[],COLUMN(AA$1)-COLUMN($A$1),FALSE))</f>
        <v>9.3725920991139784</v>
      </c>
      <c r="AA13" s="70">
        <f>IF(VLOOKUP($A13,raw[],COLUMN(AB$1)-COLUMN($A$1),FALSE)=0, VLOOKUP($D13, regions[], COLUMN(AB$1)-COLUMN($A$1), FALSE), VLOOKUP($A13,raw[],COLUMN(AB$1)-COLUMN($A$1),FALSE))</f>
        <v>8.1960423451588813</v>
      </c>
      <c r="AB13" s="70">
        <f>IF(VLOOKUP($A13,raw[],COLUMN(AC$1)-COLUMN($A$1),FALSE)=0, VLOOKUP($D13, regions[], COLUMN(AC$1)-COLUMN($A$1), FALSE), VLOOKUP($A13,raw[],COLUMN(AC$1)-COLUMN($A$1),FALSE))</f>
        <v>10.005889806167145</v>
      </c>
      <c r="AC13" s="72">
        <f>IF(VLOOKUP($A13,raw[],COLUMN(AD$1)-COLUMN($A$1),FALSE)=0, VLOOKUP($D13, regions[], COLUMN(AD$1)-COLUMN($A$1), FALSE), VLOOKUP($A13,raw[],COLUMN(AD$1)-COLUMN($A$1),FALSE))</f>
        <v>2.4070130000000065E-2</v>
      </c>
      <c r="AD13" s="72">
        <f>IF(VLOOKUP($A13,raw[],COLUMN(AE$1)-COLUMN($A$1),FALSE)=0, VLOOKUP($D13, regions[], COLUMN(AE$1)-COLUMN($A$1), FALSE), VLOOKUP($A13,raw[],COLUMN(AE$1)-COLUMN($A$1),FALSE))</f>
        <v>1.4172022422061688E-3</v>
      </c>
      <c r="AE13" s="72">
        <f>IF(VLOOKUP($A13,raw[],COLUMN(AF$1)-COLUMN($A$1),FALSE)=0, VLOOKUP($D13, regions[], COLUMN(AF$1)-COLUMN($A$1), FALSE), VLOOKUP($A13,raw[],COLUMN(AF$1)-COLUMN($A$1),FALSE))</f>
        <v>7.7363966030787946E-4</v>
      </c>
      <c r="AF13" s="72">
        <f>IF(VLOOKUP($A13,raw[],COLUMN(AG$1)-COLUMN($A$1),FALSE)=0, VLOOKUP($D13, regions[], COLUMN(AG$1)-COLUMN($A$1), FALSE), VLOOKUP($A13,raw[],COLUMN(AG$1)-COLUMN($A$1),FALSE))</f>
        <v>6.2697757691140463E-4</v>
      </c>
      <c r="AG13" s="72">
        <f>IF(VLOOKUP($A13,raw[],COLUMN(AH$1)-COLUMN($A$1),FALSE)=0, VLOOKUP($D13, regions[], COLUMN(AH$1)-COLUMN($A$1), FALSE), VLOOKUP($A13,raw[],COLUMN(AH$1)-COLUMN($A$1),FALSE))</f>
        <v>8.483255994234341E-4</v>
      </c>
      <c r="AH13" s="72">
        <f>IF(VLOOKUP($A13,raw[],COLUMN(AI$1)-COLUMN($A$1),FALSE)=0, VLOOKUP($D13, regions[], COLUMN(AI$1)-COLUMN($A$1), FALSE), VLOOKUP($A13,raw[],COLUMN(AI$1)-COLUMN($A$1),FALSE))</f>
        <v>1.3815089011482156E-3</v>
      </c>
      <c r="AI13" s="72">
        <f>IF(VLOOKUP($A13,raw[],COLUMN(AJ$1)-COLUMN($A$1),FALSE)=0, VLOOKUP($D13, regions[], COLUMN(AJ$1)-COLUMN($A$1), FALSE), VLOOKUP($A13,raw[],COLUMN(AJ$1)-COLUMN($A$1),FALSE))</f>
        <v>1.9994181120536001E-3</v>
      </c>
      <c r="AJ13" s="72">
        <f>IF(VLOOKUP($A13,raw[],COLUMN(AK$1)-COLUMN($A$1),FALSE)=0, VLOOKUP($D13, regions[], COLUMN(AK$1)-COLUMN($A$1), FALSE), VLOOKUP($A13,raw[],COLUMN(AK$1)-COLUMN($A$1),FALSE))</f>
        <v>2.8979871281534348E-3</v>
      </c>
      <c r="AK13" s="72">
        <f>IF(VLOOKUP($A13,raw[],COLUMN(AL$1)-COLUMN($A$1),FALSE)=0, VLOOKUP($D13, regions[], COLUMN(AL$1)-COLUMN($A$1), FALSE), VLOOKUP($A13,raw[],COLUMN(AL$1)-COLUMN($A$1),FALSE))</f>
        <v>3.9402642111488967E-3</v>
      </c>
      <c r="AL13" s="72">
        <f>IF(VLOOKUP($A13,raw[],COLUMN(AM$1)-COLUMN($A$1),FALSE)=0, VLOOKUP($D13, regions[], COLUMN(AM$1)-COLUMN($A$1), FALSE), VLOOKUP($A13,raw[],COLUMN(AM$1)-COLUMN($A$1),FALSE))</f>
        <v>5.1523072116535949E-3</v>
      </c>
      <c r="AM13" s="72">
        <f>IF(VLOOKUP($A13,raw[],COLUMN(AN$1)-COLUMN($A$1),FALSE)=0, VLOOKUP($D13, regions[], COLUMN(AN$1)-COLUMN($A$1), FALSE), VLOOKUP($A13,raw[],COLUMN(AN$1)-COLUMN($A$1),FALSE))</f>
        <v>6.6891671323214023E-3</v>
      </c>
      <c r="AN13" s="72">
        <f>IF(VLOOKUP($A13,raw[],COLUMN(AO$1)-COLUMN($A$1),FALSE)=0, VLOOKUP($D13, regions[], COLUMN(AO$1)-COLUMN($A$1), FALSE), VLOOKUP($A13,raw[],COLUMN(AO$1)-COLUMN($A$1),FALSE))</f>
        <v>8.7964781237764387E-3</v>
      </c>
      <c r="AO13" s="72">
        <f>IF(VLOOKUP($A13,raw[],COLUMN(AP$1)-COLUMN($A$1),FALSE)=0, VLOOKUP($D13, regions[], COLUMN(AP$1)-COLUMN($A$1), FALSE), VLOOKUP($A13,raw[],COLUMN(AP$1)-COLUMN($A$1),FALSE))</f>
        <v>1.1914330293210212E-2</v>
      </c>
      <c r="AP13" s="72">
        <f>IF(VLOOKUP($A13,raw[],COLUMN(AQ$1)-COLUMN($A$1),FALSE)=0, VLOOKUP($D13, regions[], COLUMN(AQ$1)-COLUMN($A$1), FALSE), VLOOKUP($A13,raw[],COLUMN(AQ$1)-COLUMN($A$1),FALSE))</f>
        <v>1.5987378758992074E-2</v>
      </c>
      <c r="AQ13" s="72">
        <f>IF(VLOOKUP($A13,raw[],COLUMN(AR$1)-COLUMN($A$1),FALSE)=0, VLOOKUP($D13, regions[], COLUMN(AR$1)-COLUMN($A$1), FALSE), VLOOKUP($A13,raw[],COLUMN(AR$1)-COLUMN($A$1),FALSE))</f>
        <v>2.2371298753324709E-2</v>
      </c>
      <c r="AR13" s="72">
        <f>IF(VLOOKUP($A13,raw[],COLUMN(AS$1)-COLUMN($A$1),FALSE)=0, VLOOKUP($D13, regions[], COLUMN(AS$1)-COLUMN($A$1), FALSE), VLOOKUP($A13,raw[],COLUMN(AS$1)-COLUMN($A$1),FALSE))</f>
        <v>3.1664751710371884E-2</v>
      </c>
      <c r="AS13" s="72">
        <f>IF(VLOOKUP($A13,raw[],COLUMN(AT$1)-COLUMN($A$1),FALSE)=0, VLOOKUP($D13, regions[], COLUMN(AT$1)-COLUMN($A$1), FALSE), VLOOKUP($A13,raw[],COLUMN(AT$1)-COLUMN($A$1),FALSE))</f>
        <v>4.5224866527438595E-2</v>
      </c>
      <c r="AT13" s="72">
        <f>IF(VLOOKUP($A13,raw[],COLUMN(AU$1)-COLUMN($A$1),FALSE)=0, VLOOKUP($D13, regions[], COLUMN(AU$1)-COLUMN($A$1), FALSE), VLOOKUP($A13,raw[],COLUMN(AU$1)-COLUMN($A$1),FALSE))</f>
        <v>6.3852175373826578E-2</v>
      </c>
      <c r="AU13" s="72">
        <f>IF(VLOOKUP($A13,raw[],COLUMN(AV$1)-COLUMN($A$1),FALSE)=0, VLOOKUP($D13, regions[], COLUMN(AV$1)-COLUMN($A$1), FALSE), VLOOKUP($A13,raw[],COLUMN(AV$1)-COLUMN($A$1),FALSE))</f>
        <v>8.4138014119133742E-2</v>
      </c>
      <c r="AV13" s="72">
        <f>IF(VLOOKUP($A13,raw[],COLUMN(AW$1)-COLUMN($A$1),FALSE)=0, VLOOKUP($D13, regions[], COLUMN(AW$1)-COLUMN($A$1), FALSE), VLOOKUP($A13,raw[],COLUMN(AW$1)-COLUMN($A$1),FALSE))</f>
        <v>0.10757180391387827</v>
      </c>
      <c r="AW13" s="72">
        <f>IF(VLOOKUP($A13,raw[],COLUMN(AX$1)-COLUMN($A$1),FALSE)=0, VLOOKUP($D13, regions[], COLUMN(AX$1)-COLUMN($A$1), FALSE), VLOOKUP($A13,raw[],COLUMN(AX$1)-COLUMN($A$1),FALSE))</f>
        <v>0.13047884280399449</v>
      </c>
      <c r="AX13" s="72">
        <f>IF(VLOOKUP($A13,raw[],COLUMN(AY$1)-COLUMN($A$1),FALSE)=0, VLOOKUP($D13, regions[], COLUMN(AY$1)-COLUMN($A$1), FALSE), VLOOKUP($A13,raw[],COLUMN(AY$1)-COLUMN($A$1),FALSE))</f>
        <v>71.283000000000001</v>
      </c>
      <c r="AY13" t="str">
        <f t="shared" si="0"/>
        <v>No</v>
      </c>
    </row>
    <row r="14" spans="1:51" x14ac:dyDescent="0.25">
      <c r="A14" s="53" t="s">
        <v>238</v>
      </c>
      <c r="B14" s="54" t="s">
        <v>239</v>
      </c>
      <c r="C14" s="54">
        <v>68</v>
      </c>
      <c r="D14" s="54" t="s">
        <v>215</v>
      </c>
      <c r="E14" s="54" t="s">
        <v>240</v>
      </c>
      <c r="F14" s="54" t="s">
        <v>217</v>
      </c>
      <c r="G14" s="54" t="s">
        <v>212</v>
      </c>
      <c r="H14" s="73">
        <f>VLOOKUP(lmics[[#This Row],[setting]],raw[],8,FALSE)</f>
        <v>11673029</v>
      </c>
      <c r="I14" s="73">
        <f>VLOOKUP(lmics[[#This Row],[setting]],raw[],9,FALSE)</f>
        <v>255429.22057800004</v>
      </c>
      <c r="J14" s="67">
        <f>IF(VLOOKUP($A14,raw[],COLUMN(J$1),FALSE)=0, VLOOKUP($D14, regions[], COLUMN(J$1), FALSE), VLOOKUP($A14,raw[],COLUMN(J$1),FALSE))</f>
        <v>0.877</v>
      </c>
      <c r="K14" s="77">
        <f>VLOOKUP($A14, raw[], 11, FALSE)</f>
        <v>0</v>
      </c>
      <c r="L14" s="77">
        <f>VLOOKUP($A14, raw[], 12, FALSE)</f>
        <v>0.68</v>
      </c>
      <c r="M14" s="77">
        <f>IF(VLOOKUP($A14,raw[],COLUMN(M$1),FALSE)=0, VLOOKUP($D14, regions[], COLUMN(M$1), FALSE), VLOOKUP($A14,raw[],COLUMN(M$1),FALSE))</f>
        <v>5.8999999999999999E-3</v>
      </c>
      <c r="N14" s="68">
        <f>IF(VLOOKUP($A14,raw[],COLUMN(N$1),FALSE)=0, VLOOKUP($D14, regions[], COLUMN(N$1), FALSE), VLOOKUP($A14,raw[],COLUMN(N$1),FALSE))</f>
        <v>0.30395745525404161</v>
      </c>
      <c r="O14" s="67">
        <f>IF(VLOOKUP($A14,raw[],COLUMN(O$1),FALSE)=0, VLOOKUP($D14, regions[], COLUMN(O$1), FALSE), VLOOKUP($A14,raw[],COLUMN(O$1),FALSE))</f>
        <v>0.8</v>
      </c>
      <c r="P14" s="68">
        <f>IF(VLOOKUP($A14,raw[],COLUMN(P$1),FALSE)=0, VLOOKUP($D14, regions[], COLUMN(P$1), FALSE), VLOOKUP($A14,raw[],COLUMN(P$1),FALSE))</f>
        <v>0.17499999999999999</v>
      </c>
      <c r="Q14" s="70">
        <f>IF(VLOOKUP($A14,raw[],COLUMN(Q$1),FALSE)=0, VLOOKUP($D14, regions[], COLUMN(Q$1), FALSE), VLOOKUP($A14,raw[],COLUMN(Q$1),FALSE))</f>
        <v>5.1554444511581101</v>
      </c>
      <c r="R14" s="70">
        <f>IF(VLOOKUP($A14,raw[],COLUMN(R$1),FALSE)=0, VLOOKUP($D14, regions[], COLUMN(R$1), FALSE), VLOOKUP($A14,raw[],COLUMN(R$1),FALSE))</f>
        <v>27.480824451158114</v>
      </c>
      <c r="S14" s="70">
        <f>IF(VLOOKUP($A14,raw[],COLUMN(S$1),FALSE)=0, VLOOKUP($D14, regions[], COLUMN(S$1), FALSE), VLOOKUP($A14,raw[],COLUMN(S$1),FALSE))</f>
        <v>64.828178960087726</v>
      </c>
      <c r="T14" s="70">
        <f>IF(VLOOKUP($A14,raw[],COLUMN(U$1)-COLUMN($A$1),FALSE)=0, VLOOKUP($D14, regions[], COLUMN(U$1)-COLUMN($A$1), FALSE), VLOOKUP($A14,raw[],COLUMN(U$1)-COLUMN($A$1),FALSE))</f>
        <v>69.058182921619604</v>
      </c>
      <c r="U14" s="70">
        <f>IF(VLOOKUP($A14,raw[],COLUMN(V$1)-COLUMN($A$1),FALSE)=0, VLOOKUP($D14, regions[], COLUMN(V$1)-COLUMN($A$1), FALSE), VLOOKUP($A14,raw[],COLUMN(V$1)-COLUMN($A$1),FALSE))</f>
        <v>67.1158545133774</v>
      </c>
      <c r="V14" s="70">
        <f>IF(VLOOKUP($A14,raw[],COLUMN(W$1)-COLUMN($A$1),FALSE)=0, VLOOKUP($D14, regions[], COLUMN(W$1)-COLUMN($A$1), FALSE), VLOOKUP($A14,raw[],COLUMN(W$1)-COLUMN($A$1),FALSE))</f>
        <v>3.1582848524386273</v>
      </c>
      <c r="W14" s="70">
        <f>IF(VLOOKUP($A14,raw[],COLUMN(X$1)-COLUMN($A$1),FALSE)=0, VLOOKUP($D14, regions[], COLUMN(X$1)-COLUMN($A$1), FALSE), VLOOKUP($A14,raw[],COLUMN(X$1)-COLUMN($A$1),FALSE))</f>
        <v>3.1782848524386274</v>
      </c>
      <c r="X14" s="70">
        <f>IF(VLOOKUP($A14,raw[],COLUMN(Y$1)-COLUMN($A$1),FALSE)=0, VLOOKUP($D14, regions[], COLUMN(Y$1)-COLUMN($A$1), FALSE), VLOOKUP($A14,raw[],COLUMN(Y$1)-COLUMN($A$1),FALSE))</f>
        <v>2.7378872765000741</v>
      </c>
      <c r="Y14" s="70">
        <f>IF(VLOOKUP($A14,raw[],COLUMN(Z$1)-COLUMN($A$1),FALSE)=0, VLOOKUP($D14, regions[], COLUMN(Z$1)-COLUMN($A$1), FALSE), VLOOKUP($A14,raw[],COLUMN(Z$1)-COLUMN($A$1),FALSE))</f>
        <v>2.7578872765000741</v>
      </c>
      <c r="Z14" s="70">
        <f>IF(VLOOKUP($A14,raw[],COLUMN(AA$1)-COLUMN($A$1),FALSE)=0, VLOOKUP($D14, regions[], COLUMN(AA$1)-COLUMN($A$1), FALSE), VLOOKUP($A14,raw[],COLUMN(AA$1)-COLUMN($A$1),FALSE))</f>
        <v>2.7496030957423834</v>
      </c>
      <c r="AA14" s="70">
        <f>IF(VLOOKUP($A14,raw[],COLUMN(AB$1)-COLUMN($A$1),FALSE)=0, VLOOKUP($D14, regions[], COLUMN(AB$1)-COLUMN($A$1), FALSE), VLOOKUP($A14,raw[],COLUMN(AB$1)-COLUMN($A$1),FALSE))</f>
        <v>3.366925653919048</v>
      </c>
      <c r="AB14" s="70">
        <f>IF(VLOOKUP($A14,raw[],COLUMN(AC$1)-COLUMN($A$1),FALSE)=0, VLOOKUP($D14, regions[], COLUMN(AC$1)-COLUMN($A$1), FALSE), VLOOKUP($A14,raw[],COLUMN(AC$1)-COLUMN($A$1),FALSE))</f>
        <v>3.386925653919048</v>
      </c>
      <c r="AC14" s="72">
        <f>IF(VLOOKUP($A14,raw[],COLUMN(AD$1)-COLUMN($A$1),FALSE)=0, VLOOKUP($D14, regions[], COLUMN(AD$1)-COLUMN($A$1), FALSE), VLOOKUP($A14,raw[],COLUMN(AD$1)-COLUMN($A$1),FALSE))</f>
        <v>2.9709100000000033E-2</v>
      </c>
      <c r="AD14" s="72">
        <f>IF(VLOOKUP($A14,raw[],COLUMN(AE$1)-COLUMN($A$1),FALSE)=0, VLOOKUP($D14, regions[], COLUMN(AE$1)-COLUMN($A$1), FALSE), VLOOKUP($A14,raw[],COLUMN(AE$1)-COLUMN($A$1),FALSE))</f>
        <v>4.897193717883979E-3</v>
      </c>
      <c r="AE14" s="72">
        <f>IF(VLOOKUP($A14,raw[],COLUMN(AF$1)-COLUMN($A$1),FALSE)=0, VLOOKUP($D14, regions[], COLUMN(AF$1)-COLUMN($A$1), FALSE), VLOOKUP($A14,raw[],COLUMN(AF$1)-COLUMN($A$1),FALSE))</f>
        <v>1.3668198739663531E-3</v>
      </c>
      <c r="AF14" s="72">
        <f>IF(VLOOKUP($A14,raw[],COLUMN(AG$1)-COLUMN($A$1),FALSE)=0, VLOOKUP($D14, regions[], COLUMN(AG$1)-COLUMN($A$1), FALSE), VLOOKUP($A14,raw[],COLUMN(AG$1)-COLUMN($A$1),FALSE))</f>
        <v>8.0145182980234653E-4</v>
      </c>
      <c r="AG14" s="72">
        <f>IF(VLOOKUP($A14,raw[],COLUMN(AH$1)-COLUMN($A$1),FALSE)=0, VLOOKUP($D14, regions[], COLUMN(AH$1)-COLUMN($A$1), FALSE), VLOOKUP($A14,raw[],COLUMN(AH$1)-COLUMN($A$1),FALSE))</f>
        <v>1.5902899917005938E-3</v>
      </c>
      <c r="AH14" s="72">
        <f>IF(VLOOKUP($A14,raw[],COLUMN(AI$1)-COLUMN($A$1),FALSE)=0, VLOOKUP($D14, regions[], COLUMN(AI$1)-COLUMN($A$1), FALSE), VLOOKUP($A14,raw[],COLUMN(AI$1)-COLUMN($A$1),FALSE))</f>
        <v>2.2167108166616686E-3</v>
      </c>
      <c r="AI14" s="72">
        <f>IF(VLOOKUP($A14,raw[],COLUMN(AJ$1)-COLUMN($A$1),FALSE)=0, VLOOKUP($D14, regions[], COLUMN(AJ$1)-COLUMN($A$1), FALSE), VLOOKUP($A14,raw[],COLUMN(AJ$1)-COLUMN($A$1),FALSE))</f>
        <v>2.3808256434544035E-3</v>
      </c>
      <c r="AJ14" s="72">
        <f>IF(VLOOKUP($A14,raw[],COLUMN(AK$1)-COLUMN($A$1),FALSE)=0, VLOOKUP($D14, regions[], COLUMN(AK$1)-COLUMN($A$1), FALSE), VLOOKUP($A14,raw[],COLUMN(AK$1)-COLUMN($A$1),FALSE))</f>
        <v>2.7017673416474927E-3</v>
      </c>
      <c r="AK14" s="72">
        <f>IF(VLOOKUP($A14,raw[],COLUMN(AL$1)-COLUMN($A$1),FALSE)=0, VLOOKUP($D14, regions[], COLUMN(AL$1)-COLUMN($A$1), FALSE), VLOOKUP($A14,raw[],COLUMN(AL$1)-COLUMN($A$1),FALSE))</f>
        <v>3.4050648103696583E-3</v>
      </c>
      <c r="AL14" s="72">
        <f>IF(VLOOKUP($A14,raw[],COLUMN(AM$1)-COLUMN($A$1),FALSE)=0, VLOOKUP($D14, regions[], COLUMN(AM$1)-COLUMN($A$1), FALSE), VLOOKUP($A14,raw[],COLUMN(AM$1)-COLUMN($A$1),FALSE))</f>
        <v>4.0223318978457098E-3</v>
      </c>
      <c r="AM14" s="72">
        <f>IF(VLOOKUP($A14,raw[],COLUMN(AN$1)-COLUMN($A$1),FALSE)=0, VLOOKUP($D14, regions[], COLUMN(AN$1)-COLUMN($A$1), FALSE), VLOOKUP($A14,raw[],COLUMN(AN$1)-COLUMN($A$1),FALSE))</f>
        <v>5.4458134444849886E-3</v>
      </c>
      <c r="AN14" s="72">
        <f>IF(VLOOKUP($A14,raw[],COLUMN(AO$1)-COLUMN($A$1),FALSE)=0, VLOOKUP($D14, regions[], COLUMN(AO$1)-COLUMN($A$1), FALSE), VLOOKUP($A14,raw[],COLUMN(AO$1)-COLUMN($A$1),FALSE))</f>
        <v>7.3660074965235349E-3</v>
      </c>
      <c r="AO14" s="72">
        <f>IF(VLOOKUP($A14,raw[],COLUMN(AP$1)-COLUMN($A$1),FALSE)=0, VLOOKUP($D14, regions[], COLUMN(AP$1)-COLUMN($A$1), FALSE), VLOOKUP($A14,raw[],COLUMN(AP$1)-COLUMN($A$1),FALSE))</f>
        <v>1.0344997560068297E-2</v>
      </c>
      <c r="AP14" s="72">
        <f>IF(VLOOKUP($A14,raw[],COLUMN(AQ$1)-COLUMN($A$1),FALSE)=0, VLOOKUP($D14, regions[], COLUMN(AQ$1)-COLUMN($A$1), FALSE), VLOOKUP($A14,raw[],COLUMN(AQ$1)-COLUMN($A$1),FALSE))</f>
        <v>1.5273457306002375E-2</v>
      </c>
      <c r="AQ14" s="72">
        <f>IF(VLOOKUP($A14,raw[],COLUMN(AR$1)-COLUMN($A$1),FALSE)=0, VLOOKUP($D14, regions[], COLUMN(AR$1)-COLUMN($A$1), FALSE), VLOOKUP($A14,raw[],COLUMN(AR$1)-COLUMN($A$1),FALSE))</f>
        <v>2.021988914621773E-2</v>
      </c>
      <c r="AR14" s="72">
        <f>IF(VLOOKUP($A14,raw[],COLUMN(AS$1)-COLUMN($A$1),FALSE)=0, VLOOKUP($D14, regions[], COLUMN(AS$1)-COLUMN($A$1), FALSE), VLOOKUP($A14,raw[],COLUMN(AS$1)-COLUMN($A$1),FALSE))</f>
        <v>2.6226459693234751E-2</v>
      </c>
      <c r="AS14" s="72">
        <f>IF(VLOOKUP($A14,raw[],COLUMN(AT$1)-COLUMN($A$1),FALSE)=0, VLOOKUP($D14, regions[], COLUMN(AT$1)-COLUMN($A$1), FALSE), VLOOKUP($A14,raw[],COLUMN(AT$1)-COLUMN($A$1),FALSE))</f>
        <v>3.7707929298066836E-2</v>
      </c>
      <c r="AT14" s="72">
        <f>IF(VLOOKUP($A14,raw[],COLUMN(AU$1)-COLUMN($A$1),FALSE)=0, VLOOKUP($D14, regions[], COLUMN(AU$1)-COLUMN($A$1), FALSE), VLOOKUP($A14,raw[],COLUMN(AU$1)-COLUMN($A$1),FALSE))</f>
        <v>5.3415839354835411E-2</v>
      </c>
      <c r="AU14" s="72">
        <f>IF(VLOOKUP($A14,raw[],COLUMN(AV$1)-COLUMN($A$1),FALSE)=0, VLOOKUP($D14, regions[], COLUMN(AV$1)-COLUMN($A$1), FALSE), VLOOKUP($A14,raw[],COLUMN(AV$1)-COLUMN($A$1),FALSE))</f>
        <v>7.5058941457281939E-2</v>
      </c>
      <c r="AV14" s="72">
        <f>IF(VLOOKUP($A14,raw[],COLUMN(AW$1)-COLUMN($A$1),FALSE)=0, VLOOKUP($D14, regions[], COLUMN(AW$1)-COLUMN($A$1), FALSE), VLOOKUP($A14,raw[],COLUMN(AW$1)-COLUMN($A$1),FALSE))</f>
        <v>0.10012328168132084</v>
      </c>
      <c r="AW14" s="72">
        <f>IF(VLOOKUP($A14,raw[],COLUMN(AX$1)-COLUMN($A$1),FALSE)=0, VLOOKUP($D14, regions[], COLUMN(AX$1)-COLUMN($A$1), FALSE), VLOOKUP($A14,raw[],COLUMN(AX$1)-COLUMN($A$1),FALSE))</f>
        <v>0.12450695537268339</v>
      </c>
      <c r="AX14" s="72">
        <f>IF(VLOOKUP($A14,raw[],COLUMN(AY$1)-COLUMN($A$1),FALSE)=0, VLOOKUP($D14, regions[], COLUMN(AY$1)-COLUMN($A$1), FALSE), VLOOKUP($A14,raw[],COLUMN(AY$1)-COLUMN($A$1),FALSE))</f>
        <v>71.081999999999994</v>
      </c>
      <c r="AY14" t="str">
        <f t="shared" si="0"/>
        <v>Yes</v>
      </c>
    </row>
    <row r="15" spans="1:51" x14ac:dyDescent="0.25">
      <c r="A15" s="55" t="s">
        <v>241</v>
      </c>
      <c r="B15" s="56" t="s">
        <v>242</v>
      </c>
      <c r="C15" s="56">
        <v>70</v>
      </c>
      <c r="D15" s="56" t="s">
        <v>201</v>
      </c>
      <c r="E15" s="56" t="s">
        <v>202</v>
      </c>
      <c r="F15" s="56" t="s">
        <v>203</v>
      </c>
      <c r="G15" s="56" t="s">
        <v>204</v>
      </c>
      <c r="H15" s="74">
        <f>VLOOKUP(lmics[[#This Row],[setting]],raw[],8,FALSE)</f>
        <v>3280815</v>
      </c>
      <c r="I15" s="74">
        <f>VLOOKUP(lmics[[#This Row],[setting]],raw[],9,FALSE)</f>
        <v>26882.998110000004</v>
      </c>
      <c r="J15" s="67">
        <f>IF(VLOOKUP($A15,raw[],COLUMN(J$1),FALSE)=0, VLOOKUP($D15, regions[], COLUMN(J$1), FALSE), VLOOKUP($A15,raw[],COLUMN(J$1),FALSE))</f>
        <v>0.997</v>
      </c>
      <c r="K15" s="77">
        <f>VLOOKUP($A15, raw[], 11, FALSE)</f>
        <v>0</v>
      </c>
      <c r="L15" s="77">
        <f>VLOOKUP($A15, raw[], 12, FALSE)</f>
        <v>0.8</v>
      </c>
      <c r="M15" s="77">
        <f>IF(VLOOKUP($A15,raw[],COLUMN(M$1),FALSE)=0, VLOOKUP($D15, regions[], COLUMN(M$1), FALSE), VLOOKUP($A15,raw[],COLUMN(M$1),FALSE))</f>
        <v>3.1099999999999999E-2</v>
      </c>
      <c r="N15" s="68">
        <f>IF(VLOOKUP($A15,raw[],COLUMN(N$1),FALSE)=0, VLOOKUP($D15, regions[], COLUMN(N$1), FALSE), VLOOKUP($A15,raw[],COLUMN(N$1),FALSE))</f>
        <v>0.28477767915605673</v>
      </c>
      <c r="O15" s="67">
        <f>IF(VLOOKUP($A15,raw[],COLUMN(O$1),FALSE)=0, VLOOKUP($D15, regions[], COLUMN(O$1), FALSE), VLOOKUP($A15,raw[],COLUMN(O$1),FALSE))</f>
        <v>0.8</v>
      </c>
      <c r="P15" s="68">
        <f>IF(VLOOKUP($A15,raw[],COLUMN(P$1),FALSE)=0, VLOOKUP($D15, regions[], COLUMN(P$1), FALSE), VLOOKUP($A15,raw[],COLUMN(P$1),FALSE))</f>
        <v>0.17499999999999999</v>
      </c>
      <c r="Q15" s="70">
        <f>IF(VLOOKUP($A15,raw[],COLUMN(Q$1),FALSE)=0, VLOOKUP($D15, regions[], COLUMN(Q$1), FALSE), VLOOKUP($A15,raw[],COLUMN(Q$1),FALSE))</f>
        <v>9.139398722725911</v>
      </c>
      <c r="R15" s="70">
        <f>IF(VLOOKUP($A15,raw[],COLUMN(R$1),FALSE)=0, VLOOKUP($D15, regions[], COLUMN(R$1), FALSE), VLOOKUP($A15,raw[],COLUMN(R$1),FALSE))</f>
        <v>31.464778722725914</v>
      </c>
      <c r="S15" s="70">
        <f>IF(VLOOKUP($A15,raw[],COLUMN(S$1),FALSE)=0, VLOOKUP($D15, regions[], COLUMN(S$1), FALSE), VLOOKUP($A15,raw[],COLUMN(S$1),FALSE))</f>
        <v>83.367800930056632</v>
      </c>
      <c r="T15" s="70">
        <f>IF(VLOOKUP($A15,raw[],COLUMN(U$1)-COLUMN($A$1),FALSE)=0, VLOOKUP($D15, regions[], COLUMN(U$1)-COLUMN($A$1), FALSE), VLOOKUP($A15,raw[],COLUMN(U$1)-COLUMN($A$1),FALSE))</f>
        <v>95.173521191318059</v>
      </c>
      <c r="U15" s="70">
        <f>IF(VLOOKUP($A15,raw[],COLUMN(V$1)-COLUMN($A$1),FALSE)=0, VLOOKUP($D15, regions[], COLUMN(V$1)-COLUMN($A$1), FALSE), VLOOKUP($A15,raw[],COLUMN(V$1)-COLUMN($A$1),FALSE))</f>
        <v>89.752583988482783</v>
      </c>
      <c r="V15" s="70">
        <f>IF(VLOOKUP($A15,raw[],COLUMN(W$1)-COLUMN($A$1),FALSE)=0, VLOOKUP($D15, regions[], COLUMN(W$1)-COLUMN($A$1), FALSE), VLOOKUP($A15,raw[],COLUMN(W$1)-COLUMN($A$1),FALSE))</f>
        <v>3.4562201088169573</v>
      </c>
      <c r="W15" s="70">
        <f>IF(VLOOKUP($A15,raw[],COLUMN(X$1)-COLUMN($A$1),FALSE)=0, VLOOKUP($D15, regions[], COLUMN(X$1)-COLUMN($A$1), FALSE), VLOOKUP($A15,raw[],COLUMN(X$1)-COLUMN($A$1),FALSE))</f>
        <v>7.5262201088169576</v>
      </c>
      <c r="X15" s="70">
        <f>IF(VLOOKUP($A15,raw[],COLUMN(Y$1)-COLUMN($A$1),FALSE)=0, VLOOKUP($D15, regions[], COLUMN(Y$1)-COLUMN($A$1), FALSE), VLOOKUP($A15,raw[],COLUMN(Y$1)-COLUMN($A$1),FALSE))</f>
        <v>3.0363215568375357</v>
      </c>
      <c r="Y15" s="70">
        <f>IF(VLOOKUP($A15,raw[],COLUMN(Z$1)-COLUMN($A$1),FALSE)=0, VLOOKUP($D15, regions[], COLUMN(Z$1)-COLUMN($A$1), FALSE), VLOOKUP($A15,raw[],COLUMN(Z$1)-COLUMN($A$1),FALSE))</f>
        <v>7.1063215568375355</v>
      </c>
      <c r="Z15" s="70">
        <f>IF(VLOOKUP($A15,raw[],COLUMN(AA$1)-COLUMN($A$1),FALSE)=0, VLOOKUP($D15, regions[], COLUMN(AA$1)-COLUMN($A$1), FALSE), VLOOKUP($A15,raw[],COLUMN(AA$1)-COLUMN($A$1),FALSE))</f>
        <v>7.0989277244228752</v>
      </c>
      <c r="AA15" s="70">
        <f>IF(VLOOKUP($A15,raw[],COLUMN(AB$1)-COLUMN($A$1),FALSE)=0, VLOOKUP($D15, regions[], COLUMN(AB$1)-COLUMN($A$1), FALSE), VLOOKUP($A15,raw[],COLUMN(AB$1)-COLUMN($A$1),FALSE))</f>
        <v>3.6646829974076005</v>
      </c>
      <c r="AB15" s="70">
        <f>IF(VLOOKUP($A15,raw[],COLUMN(AC$1)-COLUMN($A$1),FALSE)=0, VLOOKUP($D15, regions[], COLUMN(AC$1)-COLUMN($A$1), FALSE), VLOOKUP($A15,raw[],COLUMN(AC$1)-COLUMN($A$1),FALSE))</f>
        <v>7.7346829974076012</v>
      </c>
      <c r="AC15" s="72">
        <f>IF(VLOOKUP($A15,raw[],COLUMN(AD$1)-COLUMN($A$1),FALSE)=0, VLOOKUP($D15, regions[], COLUMN(AD$1)-COLUMN($A$1), FALSE), VLOOKUP($A15,raw[],COLUMN(AD$1)-COLUMN($A$1),FALSE))</f>
        <v>6.0063199999999782E-3</v>
      </c>
      <c r="AD15" s="72">
        <f>IF(VLOOKUP($A15,raw[],COLUMN(AE$1)-COLUMN($A$1),FALSE)=0, VLOOKUP($D15, regions[], COLUMN(AE$1)-COLUMN($A$1), FALSE), VLOOKUP($A15,raw[],COLUMN(AE$1)-COLUMN($A$1),FALSE))</f>
        <v>1.9382668509522699E-4</v>
      </c>
      <c r="AE15" s="72">
        <f>IF(VLOOKUP($A15,raw[],COLUMN(AF$1)-COLUMN($A$1),FALSE)=0, VLOOKUP($D15, regions[], COLUMN(AF$1)-COLUMN($A$1), FALSE), VLOOKUP($A15,raw[],COLUMN(AF$1)-COLUMN($A$1),FALSE))</f>
        <v>7.8816134579568219E-5</v>
      </c>
      <c r="AF15" s="72">
        <f>IF(VLOOKUP($A15,raw[],COLUMN(AG$1)-COLUMN($A$1),FALSE)=0, VLOOKUP($D15, regions[], COLUMN(AG$1)-COLUMN($A$1), FALSE), VLOOKUP($A15,raw[],COLUMN(AG$1)-COLUMN($A$1),FALSE))</f>
        <v>1.4236250855910915E-4</v>
      </c>
      <c r="AG15" s="72">
        <f>IF(VLOOKUP($A15,raw[],COLUMN(AH$1)-COLUMN($A$1),FALSE)=0, VLOOKUP($D15, regions[], COLUMN(AH$1)-COLUMN($A$1), FALSE), VLOOKUP($A15,raw[],COLUMN(AH$1)-COLUMN($A$1),FALSE))</f>
        <v>2.3216834662481817E-4</v>
      </c>
      <c r="AH15" s="72">
        <f>IF(VLOOKUP($A15,raw[],COLUMN(AI$1)-COLUMN($A$1),FALSE)=0, VLOOKUP($D15, regions[], COLUMN(AI$1)-COLUMN($A$1), FALSE), VLOOKUP($A15,raw[],COLUMN(AI$1)-COLUMN($A$1),FALSE))</f>
        <v>3.5394296885179403E-4</v>
      </c>
      <c r="AI15" s="72">
        <f>IF(VLOOKUP($A15,raw[],COLUMN(AJ$1)-COLUMN($A$1),FALSE)=0, VLOOKUP($D15, regions[], COLUMN(AJ$1)-COLUMN($A$1), FALSE), VLOOKUP($A15,raw[],COLUMN(AJ$1)-COLUMN($A$1),FALSE))</f>
        <v>4.1900509701857375E-4</v>
      </c>
      <c r="AJ15" s="72">
        <f>IF(VLOOKUP($A15,raw[],COLUMN(AK$1)-COLUMN($A$1),FALSE)=0, VLOOKUP($D15, regions[], COLUMN(AK$1)-COLUMN($A$1), FALSE), VLOOKUP($A15,raw[],COLUMN(AK$1)-COLUMN($A$1),FALSE))</f>
        <v>6.3276490838450202E-4</v>
      </c>
      <c r="AK15" s="72">
        <f>IF(VLOOKUP($A15,raw[],COLUMN(AL$1)-COLUMN($A$1),FALSE)=0, VLOOKUP($D15, regions[], COLUMN(AL$1)-COLUMN($A$1), FALSE), VLOOKUP($A15,raw[],COLUMN(AL$1)-COLUMN($A$1),FALSE))</f>
        <v>8.7107643029025658E-4</v>
      </c>
      <c r="AL15" s="72">
        <f>IF(VLOOKUP($A15,raw[],COLUMN(AM$1)-COLUMN($A$1),FALSE)=0, VLOOKUP($D15, regions[], COLUMN(AM$1)-COLUMN($A$1), FALSE), VLOOKUP($A15,raw[],COLUMN(AM$1)-COLUMN($A$1),FALSE))</f>
        <v>1.4272141124412998E-3</v>
      </c>
      <c r="AM15" s="72">
        <f>IF(VLOOKUP($A15,raw[],COLUMN(AN$1)-COLUMN($A$1),FALSE)=0, VLOOKUP($D15, regions[], COLUMN(AN$1)-COLUMN($A$1), FALSE), VLOOKUP($A15,raw[],COLUMN(AN$1)-COLUMN($A$1),FALSE))</f>
        <v>2.5831558042264573E-3</v>
      </c>
      <c r="AN15" s="72">
        <f>IF(VLOOKUP($A15,raw[],COLUMN(AO$1)-COLUMN($A$1),FALSE)=0, VLOOKUP($D15, regions[], COLUMN(AO$1)-COLUMN($A$1), FALSE), VLOOKUP($A15,raw[],COLUMN(AO$1)-COLUMN($A$1),FALSE))</f>
        <v>4.5597254547808585E-3</v>
      </c>
      <c r="AO15" s="72">
        <f>IF(VLOOKUP($A15,raw[],COLUMN(AP$1)-COLUMN($A$1),FALSE)=0, VLOOKUP($D15, regions[], COLUMN(AP$1)-COLUMN($A$1), FALSE), VLOOKUP($A15,raw[],COLUMN(AP$1)-COLUMN($A$1),FALSE))</f>
        <v>7.2805632907693195E-3</v>
      </c>
      <c r="AP15" s="72">
        <f>IF(VLOOKUP($A15,raw[],COLUMN(AQ$1)-COLUMN($A$1),FALSE)=0, VLOOKUP($D15, regions[], COLUMN(AQ$1)-COLUMN($A$1), FALSE), VLOOKUP($A15,raw[],COLUMN(AQ$1)-COLUMN($A$1),FALSE))</f>
        <v>1.1803545063804526E-2</v>
      </c>
      <c r="AQ15" s="72">
        <f>IF(VLOOKUP($A15,raw[],COLUMN(AR$1)-COLUMN($A$1),FALSE)=0, VLOOKUP($D15, regions[], COLUMN(AR$1)-COLUMN($A$1), FALSE), VLOOKUP($A15,raw[],COLUMN(AR$1)-COLUMN($A$1),FALSE))</f>
        <v>1.8687882479733471E-2</v>
      </c>
      <c r="AR15" s="72">
        <f>IF(VLOOKUP($A15,raw[],COLUMN(AS$1)-COLUMN($A$1),FALSE)=0, VLOOKUP($D15, regions[], COLUMN(AS$1)-COLUMN($A$1), FALSE), VLOOKUP($A15,raw[],COLUMN(AS$1)-COLUMN($A$1),FALSE))</f>
        <v>3.0730713953492684E-2</v>
      </c>
      <c r="AS15" s="72">
        <f>IF(VLOOKUP($A15,raw[],COLUMN(AT$1)-COLUMN($A$1),FALSE)=0, VLOOKUP($D15, regions[], COLUMN(AT$1)-COLUMN($A$1), FALSE), VLOOKUP($A15,raw[],COLUMN(AT$1)-COLUMN($A$1),FALSE))</f>
        <v>5.0403647743064516E-2</v>
      </c>
      <c r="AT15" s="72">
        <f>IF(VLOOKUP($A15,raw[],COLUMN(AU$1)-COLUMN($A$1),FALSE)=0, VLOOKUP($D15, regions[], COLUMN(AU$1)-COLUMN($A$1), FALSE), VLOOKUP($A15,raw[],COLUMN(AU$1)-COLUMN($A$1),FALSE))</f>
        <v>7.5853994123620261E-2</v>
      </c>
      <c r="AU15" s="72">
        <f>IF(VLOOKUP($A15,raw[],COLUMN(AV$1)-COLUMN($A$1),FALSE)=0, VLOOKUP($D15, regions[], COLUMN(AV$1)-COLUMN($A$1), FALSE), VLOOKUP($A15,raw[],COLUMN(AV$1)-COLUMN($A$1),FALSE))</f>
        <v>0.1080398902564598</v>
      </c>
      <c r="AV15" s="72">
        <f>IF(VLOOKUP($A15,raw[],COLUMN(AW$1)-COLUMN($A$1),FALSE)=0, VLOOKUP($D15, regions[], COLUMN(AW$1)-COLUMN($A$1), FALSE), VLOOKUP($A15,raw[],COLUMN(AW$1)-COLUMN($A$1),FALSE))</f>
        <v>0.14120156540971807</v>
      </c>
      <c r="AW15" s="72">
        <f>IF(VLOOKUP($A15,raw[],COLUMN(AX$1)-COLUMN($A$1),FALSE)=0, VLOOKUP($D15, regions[], COLUMN(AX$1)-COLUMN($A$1), FALSE), VLOOKUP($A15,raw[],COLUMN(AX$1)-COLUMN($A$1),FALSE))</f>
        <v>0.1682036960272317</v>
      </c>
      <c r="AX15" s="72">
        <f>IF(VLOOKUP($A15,raw[],COLUMN(AY$1)-COLUMN($A$1),FALSE)=0, VLOOKUP($D15, regions[], COLUMN(AY$1)-COLUMN($A$1), FALSE), VLOOKUP($A15,raw[],COLUMN(AY$1)-COLUMN($A$1),FALSE))</f>
        <v>77.176000000000002</v>
      </c>
      <c r="AY15" t="str">
        <f t="shared" si="0"/>
        <v>Yes</v>
      </c>
    </row>
    <row r="16" spans="1:51" x14ac:dyDescent="0.25">
      <c r="A16" s="53" t="s">
        <v>243</v>
      </c>
      <c r="B16" s="54" t="s">
        <v>244</v>
      </c>
      <c r="C16" s="54">
        <v>72</v>
      </c>
      <c r="D16" s="54" t="s">
        <v>207</v>
      </c>
      <c r="E16" s="54" t="s">
        <v>245</v>
      </c>
      <c r="F16" s="54" t="s">
        <v>211</v>
      </c>
      <c r="G16" s="54" t="s">
        <v>204</v>
      </c>
      <c r="H16" s="73">
        <f>VLOOKUP(lmics[[#This Row],[setting]],raw[],8,FALSE)</f>
        <v>2351625</v>
      </c>
      <c r="I16" s="73">
        <f>VLOOKUP(lmics[[#This Row],[setting]],raw[],9,FALSE)</f>
        <v>59056.358625000001</v>
      </c>
      <c r="J16" s="67">
        <f>IF(VLOOKUP($A16,raw[],COLUMN(J$1),FALSE)=0, VLOOKUP($D16, regions[], COLUMN(J$1), FALSE), VLOOKUP($A16,raw[],COLUMN(J$1),FALSE))</f>
        <v>0.997</v>
      </c>
      <c r="K16" s="77">
        <f>VLOOKUP($A16, raw[], 11, FALSE)</f>
        <v>0</v>
      </c>
      <c r="L16" s="77">
        <f>VLOOKUP($A16, raw[], 12, FALSE)</f>
        <v>0.95</v>
      </c>
      <c r="M16" s="77">
        <f>IF(VLOOKUP($A16,raw[],COLUMN(M$1),FALSE)=0, VLOOKUP($D16, regions[], COLUMN(M$1), FALSE), VLOOKUP($A16,raw[],COLUMN(M$1),FALSE))</f>
        <v>8.0000000000000002E-3</v>
      </c>
      <c r="N16" s="68">
        <f>IF(VLOOKUP($A16,raw[],COLUMN(N$1),FALSE)=0, VLOOKUP($D16, regions[], COLUMN(N$1), FALSE), VLOOKUP($A16,raw[],COLUMN(N$1),FALSE))</f>
        <v>0.25755155919454675</v>
      </c>
      <c r="O16" s="67">
        <f>IF(VLOOKUP($A16,raw[],COLUMN(O$1),FALSE)=0, VLOOKUP($D16, regions[], COLUMN(O$1), FALSE), VLOOKUP($A16,raw[],COLUMN(O$1),FALSE))</f>
        <v>0.38300000000000001</v>
      </c>
      <c r="P16" s="68">
        <f>IF(VLOOKUP($A16,raw[],COLUMN(P$1),FALSE)=0, VLOOKUP($D16, regions[], COLUMN(P$1), FALSE), VLOOKUP($A16,raw[],COLUMN(P$1),FALSE))</f>
        <v>4.8000000000000001E-2</v>
      </c>
      <c r="Q16" s="70">
        <f>IF(VLOOKUP($A16,raw[],COLUMN(Q$1),FALSE)=0, VLOOKUP($D16, regions[], COLUMN(Q$1), FALSE), VLOOKUP($A16,raw[],COLUMN(Q$1),FALSE))</f>
        <v>14.1289945917285</v>
      </c>
      <c r="R16" s="70">
        <f>IF(VLOOKUP($A16,raw[],COLUMN(R$1),FALSE)=0, VLOOKUP($D16, regions[], COLUMN(R$1), FALSE), VLOOKUP($A16,raw[],COLUMN(R$1),FALSE))</f>
        <v>36.454374591728502</v>
      </c>
      <c r="S16" s="70">
        <f>IF(VLOOKUP($A16,raw[],COLUMN(S$1),FALSE)=0, VLOOKUP($D16, regions[], COLUMN(S$1), FALSE), VLOOKUP($A16,raw[],COLUMN(S$1),FALSE))</f>
        <v>112.26849673029878</v>
      </c>
      <c r="T16" s="70">
        <f>IF(VLOOKUP($A16,raw[],COLUMN(U$1)-COLUMN($A$1),FALSE)=0, VLOOKUP($D16, regions[], COLUMN(U$1)-COLUMN($A$1), FALSE), VLOOKUP($A16,raw[],COLUMN(U$1)-COLUMN($A$1),FALSE))</f>
        <v>136.5191087853905</v>
      </c>
      <c r="U16" s="70">
        <f>IF(VLOOKUP($A16,raw[],COLUMN(V$1)-COLUMN($A$1),FALSE)=0, VLOOKUP($D16, regions[], COLUMN(V$1)-COLUMN($A$1), FALSE), VLOOKUP($A16,raw[],COLUMN(V$1)-COLUMN($A$1),FALSE))</f>
        <v>125.38374032232937</v>
      </c>
      <c r="V16" s="70">
        <f>IF(VLOOKUP($A16,raw[],COLUMN(W$1)-COLUMN($A$1),FALSE)=0, VLOOKUP($D16, regions[], COLUMN(W$1)-COLUMN($A$1), FALSE), VLOOKUP($A16,raw[],COLUMN(W$1)-COLUMN($A$1),FALSE))</f>
        <v>7.4656735232810334</v>
      </c>
      <c r="W16" s="70">
        <f>IF(VLOOKUP($A16,raw[],COLUMN(X$1)-COLUMN($A$1),FALSE)=0, VLOOKUP($D16, regions[], COLUMN(X$1)-COLUMN($A$1), FALSE), VLOOKUP($A16,raw[],COLUMN(X$1)-COLUMN($A$1),FALSE))</f>
        <v>12.295673523281033</v>
      </c>
      <c r="X16" s="70">
        <f>IF(VLOOKUP($A16,raw[],COLUMN(Y$1)-COLUMN($A$1),FALSE)=0, VLOOKUP($D16, regions[], COLUMN(Y$1)-COLUMN($A$1), FALSE), VLOOKUP($A16,raw[],COLUMN(Y$1)-COLUMN($A$1),FALSE))</f>
        <v>7.0455520160009852</v>
      </c>
      <c r="Y16" s="70">
        <f>IF(VLOOKUP($A16,raw[],COLUMN(Z$1)-COLUMN($A$1),FALSE)=0, VLOOKUP($D16, regions[], COLUMN(Z$1)-COLUMN($A$1), FALSE), VLOOKUP($A16,raw[],COLUMN(Z$1)-COLUMN($A$1),FALSE))</f>
        <v>11.875552016000984</v>
      </c>
      <c r="Z16" s="70">
        <f>IF(VLOOKUP($A16,raw[],COLUMN(AA$1)-COLUMN($A$1),FALSE)=0, VLOOKUP($D16, regions[], COLUMN(AA$1)-COLUMN($A$1), FALSE), VLOOKUP($A16,raw[],COLUMN(AA$1)-COLUMN($A$1),FALSE))</f>
        <v>11.86845749557471</v>
      </c>
      <c r="AA16" s="70">
        <f>IF(VLOOKUP($A16,raw[],COLUMN(AB$1)-COLUMN($A$1),FALSE)=0, VLOOKUP($D16, regions[], COLUMN(AB$1)-COLUMN($A$1), FALSE), VLOOKUP($A16,raw[],COLUMN(AB$1)-COLUMN($A$1),FALSE))</f>
        <v>7.6742159002832038</v>
      </c>
      <c r="AB16" s="70">
        <f>IF(VLOOKUP($A16,raw[],COLUMN(AC$1)-COLUMN($A$1),FALSE)=0, VLOOKUP($D16, regions[], COLUMN(AC$1)-COLUMN($A$1), FALSE), VLOOKUP($A16,raw[],COLUMN(AC$1)-COLUMN($A$1),FALSE))</f>
        <v>12.504215900283203</v>
      </c>
      <c r="AC16" s="72">
        <f>IF(VLOOKUP($A16,raw[],COLUMN(AD$1)-COLUMN($A$1),FALSE)=0, VLOOKUP($D16, regions[], COLUMN(AD$1)-COLUMN($A$1), FALSE), VLOOKUP($A16,raw[],COLUMN(AD$1)-COLUMN($A$1),FALSE))</f>
        <v>3.0160739999999932E-2</v>
      </c>
      <c r="AD16" s="72">
        <f>IF(VLOOKUP($A16,raw[],COLUMN(AE$1)-COLUMN($A$1),FALSE)=0, VLOOKUP($D16, regions[], COLUMN(AE$1)-COLUMN($A$1), FALSE), VLOOKUP($A16,raw[],COLUMN(AE$1)-COLUMN($A$1),FALSE))</f>
        <v>2.0156072048475504E-3</v>
      </c>
      <c r="AE16" s="72">
        <f>IF(VLOOKUP($A16,raw[],COLUMN(AF$1)-COLUMN($A$1),FALSE)=0, VLOOKUP($D16, regions[], COLUMN(AF$1)-COLUMN($A$1), FALSE), VLOOKUP($A16,raw[],COLUMN(AF$1)-COLUMN($A$1),FALSE))</f>
        <v>5.2198706887591855E-4</v>
      </c>
      <c r="AF16" s="72">
        <f>IF(VLOOKUP($A16,raw[],COLUMN(AG$1)-COLUMN($A$1),FALSE)=0, VLOOKUP($D16, regions[], COLUMN(AG$1)-COLUMN($A$1), FALSE), VLOOKUP($A16,raw[],COLUMN(AG$1)-COLUMN($A$1),FALSE))</f>
        <v>4.3840538932199332E-4</v>
      </c>
      <c r="AG16" s="72">
        <f>IF(VLOOKUP($A16,raw[],COLUMN(AH$1)-COLUMN($A$1),FALSE)=0, VLOOKUP($D16, regions[], COLUMN(AH$1)-COLUMN($A$1), FALSE), VLOOKUP($A16,raw[],COLUMN(AH$1)-COLUMN($A$1),FALSE))</f>
        <v>7.8506094886064942E-4</v>
      </c>
      <c r="AH16" s="72">
        <f>IF(VLOOKUP($A16,raw[],COLUMN(AI$1)-COLUMN($A$1),FALSE)=0, VLOOKUP($D16, regions[], COLUMN(AI$1)-COLUMN($A$1), FALSE), VLOOKUP($A16,raw[],COLUMN(AI$1)-COLUMN($A$1),FALSE))</f>
        <v>1.3829633814185711E-3</v>
      </c>
      <c r="AI16" s="72">
        <f>IF(VLOOKUP($A16,raw[],COLUMN(AJ$1)-COLUMN($A$1),FALSE)=0, VLOOKUP($D16, regions[], COLUMN(AJ$1)-COLUMN($A$1), FALSE), VLOOKUP($A16,raw[],COLUMN(AJ$1)-COLUMN($A$1),FALSE))</f>
        <v>2.2022662689883169E-3</v>
      </c>
      <c r="AJ16" s="72">
        <f>IF(VLOOKUP($A16,raw[],COLUMN(AK$1)-COLUMN($A$1),FALSE)=0, VLOOKUP($D16, regions[], COLUMN(AK$1)-COLUMN($A$1), FALSE), VLOOKUP($A16,raw[],COLUMN(AK$1)-COLUMN($A$1),FALSE))</f>
        <v>3.1381645842773185E-3</v>
      </c>
      <c r="AK16" s="72">
        <f>IF(VLOOKUP($A16,raw[],COLUMN(AL$1)-COLUMN($A$1),FALSE)=0, VLOOKUP($D16, regions[], COLUMN(AL$1)-COLUMN($A$1), FALSE), VLOOKUP($A16,raw[],COLUMN(AL$1)-COLUMN($A$1),FALSE))</f>
        <v>4.5169997243930081E-3</v>
      </c>
      <c r="AL16" s="72">
        <f>IF(VLOOKUP($A16,raw[],COLUMN(AM$1)-COLUMN($A$1),FALSE)=0, VLOOKUP($D16, regions[], COLUMN(AM$1)-COLUMN($A$1), FALSE), VLOOKUP($A16,raw[],COLUMN(AM$1)-COLUMN($A$1),FALSE))</f>
        <v>5.6268078527099679E-3</v>
      </c>
      <c r="AM16" s="72">
        <f>IF(VLOOKUP($A16,raw[],COLUMN(AN$1)-COLUMN($A$1),FALSE)=0, VLOOKUP($D16, regions[], COLUMN(AN$1)-COLUMN($A$1), FALSE), VLOOKUP($A16,raw[],COLUMN(AN$1)-COLUMN($A$1),FALSE))</f>
        <v>7.0094243114026374E-3</v>
      </c>
      <c r="AN16" s="72">
        <f>IF(VLOOKUP($A16,raw[],COLUMN(AO$1)-COLUMN($A$1),FALSE)=0, VLOOKUP($D16, regions[], COLUMN(AO$1)-COLUMN($A$1), FALSE), VLOOKUP($A16,raw[],COLUMN(AO$1)-COLUMN($A$1),FALSE))</f>
        <v>8.962636173207186E-3</v>
      </c>
      <c r="AO16" s="72">
        <f>IF(VLOOKUP($A16,raw[],COLUMN(AP$1)-COLUMN($A$1),FALSE)=0, VLOOKUP($D16, regions[], COLUMN(AP$1)-COLUMN($A$1), FALSE), VLOOKUP($A16,raw[],COLUMN(AP$1)-COLUMN($A$1),FALSE))</f>
        <v>1.1197285644061732E-2</v>
      </c>
      <c r="AP16" s="72">
        <f>IF(VLOOKUP($A16,raw[],COLUMN(AQ$1)-COLUMN($A$1),FALSE)=0, VLOOKUP($D16, regions[], COLUMN(AQ$1)-COLUMN($A$1), FALSE), VLOOKUP($A16,raw[],COLUMN(AQ$1)-COLUMN($A$1),FALSE))</f>
        <v>1.5649063132168003E-2</v>
      </c>
      <c r="AQ16" s="72">
        <f>IF(VLOOKUP($A16,raw[],COLUMN(AR$1)-COLUMN($A$1),FALSE)=0, VLOOKUP($D16, regions[], COLUMN(AR$1)-COLUMN($A$1), FALSE), VLOOKUP($A16,raw[],COLUMN(AR$1)-COLUMN($A$1),FALSE))</f>
        <v>2.3495641099233546E-2</v>
      </c>
      <c r="AR16" s="72">
        <f>IF(VLOOKUP($A16,raw[],COLUMN(AS$1)-COLUMN($A$1),FALSE)=0, VLOOKUP($D16, regions[], COLUMN(AS$1)-COLUMN($A$1), FALSE), VLOOKUP($A16,raw[],COLUMN(AS$1)-COLUMN($A$1),FALSE))</f>
        <v>3.5985853599522818E-2</v>
      </c>
      <c r="AS16" s="72">
        <f>IF(VLOOKUP($A16,raw[],COLUMN(AT$1)-COLUMN($A$1),FALSE)=0, VLOOKUP($D16, regions[], COLUMN(AT$1)-COLUMN($A$1), FALSE), VLOOKUP($A16,raw[],COLUMN(AT$1)-COLUMN($A$1),FALSE))</f>
        <v>5.4975598922963879E-2</v>
      </c>
      <c r="AT16" s="72">
        <f>IF(VLOOKUP($A16,raw[],COLUMN(AU$1)-COLUMN($A$1),FALSE)=0, VLOOKUP($D16, regions[], COLUMN(AU$1)-COLUMN($A$1), FALSE), VLOOKUP($A16,raw[],COLUMN(AU$1)-COLUMN($A$1),FALSE))</f>
        <v>8.5568510513363741E-2</v>
      </c>
      <c r="AU16" s="72">
        <f>IF(VLOOKUP($A16,raw[],COLUMN(AV$1)-COLUMN($A$1),FALSE)=0, VLOOKUP($D16, regions[], COLUMN(AV$1)-COLUMN($A$1), FALSE), VLOOKUP($A16,raw[],COLUMN(AV$1)-COLUMN($A$1),FALSE))</f>
        <v>0.12580420791353883</v>
      </c>
      <c r="AV16" s="72">
        <f>IF(VLOOKUP($A16,raw[],COLUMN(AW$1)-COLUMN($A$1),FALSE)=0, VLOOKUP($D16, regions[], COLUMN(AW$1)-COLUMN($A$1), FALSE), VLOOKUP($A16,raw[],COLUMN(AW$1)-COLUMN($A$1),FALSE))</f>
        <v>0.16400218688819299</v>
      </c>
      <c r="AW16" s="72">
        <f>IF(VLOOKUP($A16,raw[],COLUMN(AX$1)-COLUMN($A$1),FALSE)=0, VLOOKUP($D16, regions[], COLUMN(AX$1)-COLUMN($A$1), FALSE), VLOOKUP($A16,raw[],COLUMN(AX$1)-COLUMN($A$1),FALSE))</f>
        <v>0.18242030187253114</v>
      </c>
      <c r="AX16" s="72">
        <f>IF(VLOOKUP($A16,raw[],COLUMN(AY$1)-COLUMN($A$1),FALSE)=0, VLOOKUP($D16, regions[], COLUMN(AY$1)-COLUMN($A$1), FALSE), VLOOKUP($A16,raw[],COLUMN(AY$1)-COLUMN($A$1),FALSE))</f>
        <v>69.094999999999999</v>
      </c>
      <c r="AY16" t="str">
        <f t="shared" si="0"/>
        <v>Yes</v>
      </c>
    </row>
    <row r="17" spans="1:51" x14ac:dyDescent="0.25">
      <c r="A17" s="55" t="s">
        <v>246</v>
      </c>
      <c r="B17" s="56" t="s">
        <v>247</v>
      </c>
      <c r="C17" s="56">
        <v>76</v>
      </c>
      <c r="D17" s="56" t="s">
        <v>215</v>
      </c>
      <c r="E17" s="56" t="s">
        <v>248</v>
      </c>
      <c r="F17" s="56" t="s">
        <v>217</v>
      </c>
      <c r="G17" s="56" t="s">
        <v>204</v>
      </c>
      <c r="H17" s="74">
        <f>VLOOKUP(lmics[[#This Row],[setting]],raw[],8,FALSE)</f>
        <v>212559409</v>
      </c>
      <c r="I17" s="74">
        <f>VLOOKUP(lmics[[#This Row],[setting]],raw[],9,FALSE)</f>
        <v>2991348.5628570002</v>
      </c>
      <c r="J17" s="67">
        <f>IF(VLOOKUP($A17,raw[],COLUMN(J$1),FALSE)=0, VLOOKUP($D17, regions[], COLUMN(J$1), FALSE), VLOOKUP($A17,raw[],COLUMN(J$1),FALSE))</f>
        <v>0.99099999999999999</v>
      </c>
      <c r="K17" s="77">
        <f>VLOOKUP($A17, raw[], 11, FALSE)</f>
        <v>0.63</v>
      </c>
      <c r="L17" s="77">
        <f>VLOOKUP($A17, raw[], 12, FALSE)</f>
        <v>0.77</v>
      </c>
      <c r="M17" s="77">
        <f>IF(VLOOKUP($A17,raw[],COLUMN(M$1),FALSE)=0, VLOOKUP($D17, regions[], COLUMN(M$1), FALSE), VLOOKUP($A17,raw[],COLUMN(M$1),FALSE))</f>
        <v>5.8999999999999999E-3</v>
      </c>
      <c r="N17" s="68">
        <f>IF(VLOOKUP($A17,raw[],COLUMN(N$1),FALSE)=0, VLOOKUP($D17, regions[], COLUMN(N$1), FALSE), VLOOKUP($A17,raw[],COLUMN(N$1),FALSE))</f>
        <v>0.30724885463432083</v>
      </c>
      <c r="O17" s="67">
        <f>IF(VLOOKUP($A17,raw[],COLUMN(O$1),FALSE)=0, VLOOKUP($D17, regions[], COLUMN(O$1), FALSE), VLOOKUP($A17,raw[],COLUMN(O$1),FALSE))</f>
        <v>0.8</v>
      </c>
      <c r="P17" s="68">
        <f>IF(VLOOKUP($A17,raw[],COLUMN(P$1),FALSE)=0, VLOOKUP($D17, regions[], COLUMN(P$1), FALSE), VLOOKUP($A17,raw[],COLUMN(P$1),FALSE))</f>
        <v>0.17499999999999999</v>
      </c>
      <c r="Q17" s="70">
        <f>IF(VLOOKUP($A17,raw[],COLUMN(Q$1),FALSE)=0, VLOOKUP($D17, regions[], COLUMN(Q$1), FALSE), VLOOKUP($A17,raw[],COLUMN(Q$1),FALSE))</f>
        <v>4.9740144041450804</v>
      </c>
      <c r="R17" s="70">
        <f>IF(VLOOKUP($A17,raw[],COLUMN(R$1),FALSE)=0, VLOOKUP($D17, regions[], COLUMN(R$1), FALSE), VLOOKUP($A17,raw[],COLUMN(R$1),FALSE))</f>
        <v>27.299394404145083</v>
      </c>
      <c r="S17" s="70">
        <f>IF(VLOOKUP($A17,raw[],COLUMN(S$1),FALSE)=0, VLOOKUP($D17, regions[], COLUMN(S$1), FALSE), VLOOKUP($A17,raw[],COLUMN(S$1),FALSE))</f>
        <v>66.260390963960702</v>
      </c>
      <c r="T17" s="70">
        <f>IF(VLOOKUP($A17,raw[],COLUMN(U$1)-COLUMN($A$1),FALSE)=0, VLOOKUP($D17, regions[], COLUMN(U$1)-COLUMN($A$1), FALSE), VLOOKUP($A17,raw[],COLUMN(U$1)-COLUMN($A$1),FALSE))</f>
        <v>71.330239214337468</v>
      </c>
      <c r="U17" s="70">
        <f>IF(VLOOKUP($A17,raw[],COLUMN(V$1)-COLUMN($A$1),FALSE)=0, VLOOKUP($D17, regions[], COLUMN(V$1)-COLUMN($A$1), FALSE), VLOOKUP($A17,raw[],COLUMN(V$1)-COLUMN($A$1),FALSE))</f>
        <v>69.002272060704414</v>
      </c>
      <c r="V17" s="70">
        <f>IF(VLOOKUP($A17,raw[],COLUMN(W$1)-COLUMN($A$1),FALSE)=0, VLOOKUP($D17, regions[], COLUMN(W$1)-COLUMN($A$1), FALSE), VLOOKUP($A17,raw[],COLUMN(W$1)-COLUMN($A$1),FALSE))</f>
        <v>2.4186789516513252</v>
      </c>
      <c r="W17" s="70">
        <f>IF(VLOOKUP($A17,raw[],COLUMN(X$1)-COLUMN($A$1),FALSE)=0, VLOOKUP($D17, regions[], COLUMN(X$1)-COLUMN($A$1), FALSE), VLOOKUP($A17,raw[],COLUMN(X$1)-COLUMN($A$1),FALSE))</f>
        <v>2.4386789516513252</v>
      </c>
      <c r="X17" s="70">
        <f>IF(VLOOKUP($A17,raw[],COLUMN(Y$1)-COLUMN($A$1),FALSE)=0, VLOOKUP($D17, regions[], COLUMN(Y$1)-COLUMN($A$1), FALSE), VLOOKUP($A17,raw[],COLUMN(Y$1)-COLUMN($A$1),FALSE))</f>
        <v>1.9969916927722777</v>
      </c>
      <c r="Y17" s="70">
        <f>IF(VLOOKUP($A17,raw[],COLUMN(Z$1)-COLUMN($A$1),FALSE)=0, VLOOKUP($D17, regions[], COLUMN(Z$1)-COLUMN($A$1), FALSE), VLOOKUP($A17,raw[],COLUMN(Z$1)-COLUMN($A$1),FALSE))</f>
        <v>2.0169916927722777</v>
      </c>
      <c r="Z17" s="70">
        <f>IF(VLOOKUP($A17,raw[],COLUMN(AA$1)-COLUMN($A$1),FALSE)=0, VLOOKUP($D17, regions[], COLUMN(AA$1)-COLUMN($A$1), FALSE), VLOOKUP($A17,raw[],COLUMN(AA$1)-COLUMN($A$1),FALSE))</f>
        <v>2.0091150901354493</v>
      </c>
      <c r="AA17" s="70">
        <f>IF(VLOOKUP($A17,raw[],COLUMN(AB$1)-COLUMN($A$1),FALSE)=0, VLOOKUP($D17, regions[], COLUMN(AB$1)-COLUMN($A$1), FALSE), VLOOKUP($A17,raw[],COLUMN(AB$1)-COLUMN($A$1),FALSE))</f>
        <v>2.6277795531366177</v>
      </c>
      <c r="AB17" s="70">
        <f>IF(VLOOKUP($A17,raw[],COLUMN(AC$1)-COLUMN($A$1),FALSE)=0, VLOOKUP($D17, regions[], COLUMN(AC$1)-COLUMN($A$1), FALSE), VLOOKUP($A17,raw[],COLUMN(AC$1)-COLUMN($A$1),FALSE))</f>
        <v>2.6477795531366177</v>
      </c>
      <c r="AC17" s="72">
        <f>IF(VLOOKUP($A17,raw[],COLUMN(AD$1)-COLUMN($A$1),FALSE)=0, VLOOKUP($D17, regions[], COLUMN(AD$1)-COLUMN($A$1), FALSE), VLOOKUP($A17,raw[],COLUMN(AD$1)-COLUMN($A$1),FALSE))</f>
        <v>1.3017090000000026E-2</v>
      </c>
      <c r="AD17" s="72">
        <f>IF(VLOOKUP($A17,raw[],COLUMN(AE$1)-COLUMN($A$1),FALSE)=0, VLOOKUP($D17, regions[], COLUMN(AE$1)-COLUMN($A$1), FALSE), VLOOKUP($A17,raw[],COLUMN(AE$1)-COLUMN($A$1),FALSE))</f>
        <v>5.6547331706076689E-4</v>
      </c>
      <c r="AE17" s="72">
        <f>IF(VLOOKUP($A17,raw[],COLUMN(AF$1)-COLUMN($A$1),FALSE)=0, VLOOKUP($D17, regions[], COLUMN(AF$1)-COLUMN($A$1), FALSE), VLOOKUP($A17,raw[],COLUMN(AF$1)-COLUMN($A$1),FALSE))</f>
        <v>2.2605523840020086E-4</v>
      </c>
      <c r="AF17" s="72">
        <f>IF(VLOOKUP($A17,raw[],COLUMN(AG$1)-COLUMN($A$1),FALSE)=0, VLOOKUP($D17, regions[], COLUMN(AG$1)-COLUMN($A$1), FALSE), VLOOKUP($A17,raw[],COLUMN(AG$1)-COLUMN($A$1),FALSE))</f>
        <v>3.1057988826817137E-4</v>
      </c>
      <c r="AG17" s="72">
        <f>IF(VLOOKUP($A17,raw[],COLUMN(AH$1)-COLUMN($A$1),FALSE)=0, VLOOKUP($D17, regions[], COLUMN(AH$1)-COLUMN($A$1), FALSE), VLOOKUP($A17,raw[],COLUMN(AH$1)-COLUMN($A$1),FALSE))</f>
        <v>1.0834225044440882E-3</v>
      </c>
      <c r="AH17" s="72">
        <f>IF(VLOOKUP($A17,raw[],COLUMN(AI$1)-COLUMN($A$1),FALSE)=0, VLOOKUP($D17, regions[], COLUMN(AI$1)-COLUMN($A$1), FALSE), VLOOKUP($A17,raw[],COLUMN(AI$1)-COLUMN($A$1),FALSE))</f>
        <v>1.646481274941336E-3</v>
      </c>
      <c r="AI17" s="72">
        <f>IF(VLOOKUP($A17,raw[],COLUMN(AJ$1)-COLUMN($A$1),FALSE)=0, VLOOKUP($D17, regions[], COLUMN(AJ$1)-COLUMN($A$1), FALSE), VLOOKUP($A17,raw[],COLUMN(AJ$1)-COLUMN($A$1),FALSE))</f>
        <v>1.5739236317706482E-3</v>
      </c>
      <c r="AJ17" s="72">
        <f>IF(VLOOKUP($A17,raw[],COLUMN(AK$1)-COLUMN($A$1),FALSE)=0, VLOOKUP($D17, regions[], COLUMN(AK$1)-COLUMN($A$1), FALSE), VLOOKUP($A17,raw[],COLUMN(AK$1)-COLUMN($A$1),FALSE))</f>
        <v>1.8152815796892621E-3</v>
      </c>
      <c r="AK17" s="72">
        <f>IF(VLOOKUP($A17,raw[],COLUMN(AL$1)-COLUMN($A$1),FALSE)=0, VLOOKUP($D17, regions[], COLUMN(AL$1)-COLUMN($A$1), FALSE), VLOOKUP($A17,raw[],COLUMN(AL$1)-COLUMN($A$1),FALSE))</f>
        <v>2.2928846495734894E-3</v>
      </c>
      <c r="AL17" s="72">
        <f>IF(VLOOKUP($A17,raw[],COLUMN(AM$1)-COLUMN($A$1),FALSE)=0, VLOOKUP($D17, regions[], COLUMN(AM$1)-COLUMN($A$1), FALSE), VLOOKUP($A17,raw[],COLUMN(AM$1)-COLUMN($A$1),FALSE))</f>
        <v>2.9492000185282218E-3</v>
      </c>
      <c r="AM17" s="72">
        <f>IF(VLOOKUP($A17,raw[],COLUMN(AN$1)-COLUMN($A$1),FALSE)=0, VLOOKUP($D17, regions[], COLUMN(AN$1)-COLUMN($A$1), FALSE), VLOOKUP($A17,raw[],COLUMN(AN$1)-COLUMN($A$1),FALSE))</f>
        <v>4.254119071000209E-3</v>
      </c>
      <c r="AN17" s="72">
        <f>IF(VLOOKUP($A17,raw[],COLUMN(AO$1)-COLUMN($A$1),FALSE)=0, VLOOKUP($D17, regions[], COLUMN(AO$1)-COLUMN($A$1), FALSE), VLOOKUP($A17,raw[],COLUMN(AO$1)-COLUMN($A$1),FALSE))</f>
        <v>6.0649824775330236E-3</v>
      </c>
      <c r="AO17" s="72">
        <f>IF(VLOOKUP($A17,raw[],COLUMN(AP$1)-COLUMN($A$1),FALSE)=0, VLOOKUP($D17, regions[], COLUMN(AP$1)-COLUMN($A$1), FALSE), VLOOKUP($A17,raw[],COLUMN(AP$1)-COLUMN($A$1),FALSE))</f>
        <v>8.5723717159903456E-3</v>
      </c>
      <c r="AP17" s="72">
        <f>IF(VLOOKUP($A17,raw[],COLUMN(AQ$1)-COLUMN($A$1),FALSE)=0, VLOOKUP($D17, regions[], COLUMN(AQ$1)-COLUMN($A$1), FALSE), VLOOKUP($A17,raw[],COLUMN(AQ$1)-COLUMN($A$1),FALSE))</f>
        <v>1.2759457491334723E-2</v>
      </c>
      <c r="AQ17" s="72">
        <f>IF(VLOOKUP($A17,raw[],COLUMN(AR$1)-COLUMN($A$1),FALSE)=0, VLOOKUP($D17, regions[], COLUMN(AR$1)-COLUMN($A$1), FALSE), VLOOKUP($A17,raw[],COLUMN(AR$1)-COLUMN($A$1),FALSE))</f>
        <v>1.8896658395500792E-2</v>
      </c>
      <c r="AR17" s="72">
        <f>IF(VLOOKUP($A17,raw[],COLUMN(AS$1)-COLUMN($A$1),FALSE)=0, VLOOKUP($D17, regions[], COLUMN(AS$1)-COLUMN($A$1), FALSE), VLOOKUP($A17,raw[],COLUMN(AS$1)-COLUMN($A$1),FALSE))</f>
        <v>2.6861635507597945E-2</v>
      </c>
      <c r="AS17" s="72">
        <f>IF(VLOOKUP($A17,raw[],COLUMN(AT$1)-COLUMN($A$1),FALSE)=0, VLOOKUP($D17, regions[], COLUMN(AT$1)-COLUMN($A$1), FALSE), VLOOKUP($A17,raw[],COLUMN(AT$1)-COLUMN($A$1),FALSE))</f>
        <v>4.0189189323367715E-2</v>
      </c>
      <c r="AT17" s="72">
        <f>IF(VLOOKUP($A17,raw[],COLUMN(AU$1)-COLUMN($A$1),FALSE)=0, VLOOKUP($D17, regions[], COLUMN(AU$1)-COLUMN($A$1), FALSE), VLOOKUP($A17,raw[],COLUMN(AU$1)-COLUMN($A$1),FALSE))</f>
        <v>5.8274971982341994E-2</v>
      </c>
      <c r="AU17" s="72">
        <f>IF(VLOOKUP($A17,raw[],COLUMN(AV$1)-COLUMN($A$1),FALSE)=0, VLOOKUP($D17, regions[], COLUMN(AV$1)-COLUMN($A$1), FALSE), VLOOKUP($A17,raw[],COLUMN(AV$1)-COLUMN($A$1),FALSE))</f>
        <v>8.0933496732912821E-2</v>
      </c>
      <c r="AV17" s="72">
        <f>IF(VLOOKUP($A17,raw[],COLUMN(AW$1)-COLUMN($A$1),FALSE)=0, VLOOKUP($D17, regions[], COLUMN(AW$1)-COLUMN($A$1), FALSE), VLOOKUP($A17,raw[],COLUMN(AW$1)-COLUMN($A$1),FALSE))</f>
        <v>0.10629084029109252</v>
      </c>
      <c r="AW17" s="72">
        <f>IF(VLOOKUP($A17,raw[],COLUMN(AX$1)-COLUMN($A$1),FALSE)=0, VLOOKUP($D17, regions[], COLUMN(AX$1)-COLUMN($A$1), FALSE), VLOOKUP($A17,raw[],COLUMN(AX$1)-COLUMN($A$1),FALSE))</f>
        <v>0.1376155916216682</v>
      </c>
      <c r="AX17" s="72">
        <f>IF(VLOOKUP($A17,raw[],COLUMN(AY$1)-COLUMN($A$1),FALSE)=0, VLOOKUP($D17, regions[], COLUMN(AY$1)-COLUMN($A$1), FALSE), VLOOKUP($A17,raw[],COLUMN(AY$1)-COLUMN($A$1),FALSE))</f>
        <v>75.561000000000007</v>
      </c>
      <c r="AY17" t="str">
        <f t="shared" si="0"/>
        <v>No</v>
      </c>
    </row>
    <row r="18" spans="1:51" x14ac:dyDescent="0.25">
      <c r="A18" s="53" t="s">
        <v>249</v>
      </c>
      <c r="B18" s="54" t="s">
        <v>250</v>
      </c>
      <c r="C18" s="54">
        <v>100</v>
      </c>
      <c r="D18" s="54" t="s">
        <v>201</v>
      </c>
      <c r="E18" s="54" t="s">
        <v>202</v>
      </c>
      <c r="F18" s="54" t="s">
        <v>203</v>
      </c>
      <c r="G18" s="54" t="s">
        <v>204</v>
      </c>
      <c r="H18" s="73">
        <f>VLOOKUP(lmics[[#This Row],[setting]],raw[],8,FALSE)</f>
        <v>6948445</v>
      </c>
      <c r="I18" s="73">
        <f>VLOOKUP(lmics[[#This Row],[setting]],raw[],9,FALSE)</f>
        <v>62230.27341999999</v>
      </c>
      <c r="J18" s="67">
        <f>IF(VLOOKUP($A18,raw[],COLUMN(J$1),FALSE)=0, VLOOKUP($D18, regions[], COLUMN(J$1), FALSE), VLOOKUP($A18,raw[],COLUMN(J$1),FALSE))</f>
        <v>0.997</v>
      </c>
      <c r="K18" s="77">
        <f>VLOOKUP($A18, raw[], 11, FALSE)</f>
        <v>0.98</v>
      </c>
      <c r="L18" s="77">
        <f>VLOOKUP($A18, raw[], 12, FALSE)</f>
        <v>0.91</v>
      </c>
      <c r="M18" s="77">
        <f>IF(VLOOKUP($A18,raw[],COLUMN(M$1),FALSE)=0, VLOOKUP($D18, regions[], COLUMN(M$1), FALSE), VLOOKUP($A18,raw[],COLUMN(M$1),FALSE))</f>
        <v>2.12E-2</v>
      </c>
      <c r="N18" s="68">
        <f>IF(VLOOKUP($A18,raw[],COLUMN(N$1),FALSE)=0, VLOOKUP($D18, regions[], COLUMN(N$1), FALSE), VLOOKUP($A18,raw[],COLUMN(N$1),FALSE))</f>
        <v>0.29457918010947859</v>
      </c>
      <c r="O18" s="67">
        <f>IF(VLOOKUP($A18,raw[],COLUMN(O$1),FALSE)=0, VLOOKUP($D18, regions[], COLUMN(O$1), FALSE), VLOOKUP($A18,raw[],COLUMN(O$1),FALSE))</f>
        <v>0.8</v>
      </c>
      <c r="P18" s="68">
        <f>IF(VLOOKUP($A18,raw[],COLUMN(P$1),FALSE)=0, VLOOKUP($D18, regions[], COLUMN(P$1), FALSE), VLOOKUP($A18,raw[],COLUMN(P$1),FALSE))</f>
        <v>0.17499999999999999</v>
      </c>
      <c r="Q18" s="70">
        <f>IF(VLOOKUP($A18,raw[],COLUMN(Q$1),FALSE)=0, VLOOKUP($D18, regions[], COLUMN(Q$1), FALSE), VLOOKUP($A18,raw[],COLUMN(Q$1),FALSE))</f>
        <v>11.789004116405639</v>
      </c>
      <c r="R18" s="70">
        <f>IF(VLOOKUP($A18,raw[],COLUMN(R$1),FALSE)=0, VLOOKUP($D18, regions[], COLUMN(R$1), FALSE), VLOOKUP($A18,raw[],COLUMN(R$1),FALSE))</f>
        <v>34.114384116405645</v>
      </c>
      <c r="S18" s="70">
        <f>IF(VLOOKUP($A18,raw[],COLUMN(S$1),FALSE)=0, VLOOKUP($D18, regions[], COLUMN(S$1), FALSE), VLOOKUP($A18,raw[],COLUMN(S$1),FALSE))</f>
        <v>100.47300147114967</v>
      </c>
      <c r="T18" s="70">
        <f>IF(VLOOKUP($A18,raw[],COLUMN(U$1)-COLUMN($A$1),FALSE)=0, VLOOKUP($D18, regions[], COLUMN(U$1)-COLUMN($A$1), FALSE), VLOOKUP($A18,raw[],COLUMN(U$1)-COLUMN($A$1),FALSE))</f>
        <v>119.80235376700196</v>
      </c>
      <c r="U18" s="70">
        <f>IF(VLOOKUP($A18,raw[],COLUMN(V$1)-COLUMN($A$1),FALSE)=0, VLOOKUP($D18, regions[], COLUMN(V$1)-COLUMN($A$1), FALSE), VLOOKUP($A18,raw[],COLUMN(V$1)-COLUMN($A$1),FALSE))</f>
        <v>110.92672376320421</v>
      </c>
      <c r="V18" s="70">
        <f>IF(VLOOKUP($A18,raw[],COLUMN(W$1)-COLUMN($A$1),FALSE)=0, VLOOKUP($D18, regions[], COLUMN(W$1)-COLUMN($A$1), FALSE), VLOOKUP($A18,raw[],COLUMN(W$1)-COLUMN($A$1),FALSE))</f>
        <v>5.5843417295371287</v>
      </c>
      <c r="W18" s="70">
        <f>IF(VLOOKUP($A18,raw[],COLUMN(X$1)-COLUMN($A$1),FALSE)=0, VLOOKUP($D18, regions[], COLUMN(X$1)-COLUMN($A$1), FALSE), VLOOKUP($A18,raw[],COLUMN(X$1)-COLUMN($A$1),FALSE))</f>
        <v>9.6543417295371299</v>
      </c>
      <c r="X18" s="70">
        <f>IF(VLOOKUP($A18,raw[],COLUMN(Y$1)-COLUMN($A$1),FALSE)=0, VLOOKUP($D18, regions[], COLUMN(Y$1)-COLUMN($A$1), FALSE), VLOOKUP($A18,raw[],COLUMN(Y$1)-COLUMN($A$1),FALSE))</f>
        <v>5.1507826549868918</v>
      </c>
      <c r="Y18" s="70">
        <f>IF(VLOOKUP($A18,raw[],COLUMN(Z$1)-COLUMN($A$1),FALSE)=0, VLOOKUP($D18, regions[], COLUMN(Z$1)-COLUMN($A$1), FALSE), VLOOKUP($A18,raw[],COLUMN(Z$1)-COLUMN($A$1),FALSE))</f>
        <v>9.2207826549868912</v>
      </c>
      <c r="Z18" s="70">
        <f>IF(VLOOKUP($A18,raw[],COLUMN(AA$1)-COLUMN($A$1),FALSE)=0, VLOOKUP($D18, regions[], COLUMN(AA$1)-COLUMN($A$1), FALSE), VLOOKUP($A18,raw[],COLUMN(AA$1)-COLUMN($A$1),FALSE))</f>
        <v>9.2074496742911194</v>
      </c>
      <c r="AA18" s="70">
        <f>IF(VLOOKUP($A18,raw[],COLUMN(AB$1)-COLUMN($A$1),FALSE)=0, VLOOKUP($D18, regions[], COLUMN(AB$1)-COLUMN($A$1), FALSE), VLOOKUP($A18,raw[],COLUMN(AB$1)-COLUMN($A$1),FALSE))</f>
        <v>5.7976748913921501</v>
      </c>
      <c r="AB18" s="70">
        <f>IF(VLOOKUP($A18,raw[],COLUMN(AC$1)-COLUMN($A$1),FALSE)=0, VLOOKUP($D18, regions[], COLUMN(AC$1)-COLUMN($A$1), FALSE), VLOOKUP($A18,raw[],COLUMN(AC$1)-COLUMN($A$1),FALSE))</f>
        <v>9.8676748913921504</v>
      </c>
      <c r="AC18" s="72">
        <f>IF(VLOOKUP($A18,raw[],COLUMN(AD$1)-COLUMN($A$1),FALSE)=0, VLOOKUP($D18, regions[], COLUMN(AD$1)-COLUMN($A$1), FALSE), VLOOKUP($A18,raw[],COLUMN(AD$1)-COLUMN($A$1),FALSE))</f>
        <v>6.2872199999999432E-3</v>
      </c>
      <c r="AD18" s="72">
        <f>IF(VLOOKUP($A18,raw[],COLUMN(AE$1)-COLUMN($A$1),FALSE)=0, VLOOKUP($D18, regions[], COLUMN(AE$1)-COLUMN($A$1), FALSE), VLOOKUP($A18,raw[],COLUMN(AE$1)-COLUMN($A$1),FALSE))</f>
        <v>2.9419466659171174E-4</v>
      </c>
      <c r="AE18" s="72">
        <f>IF(VLOOKUP($A18,raw[],COLUMN(AF$1)-COLUMN($A$1),FALSE)=0, VLOOKUP($D18, regions[], COLUMN(AF$1)-COLUMN($A$1), FALSE), VLOOKUP($A18,raw[],COLUMN(AF$1)-COLUMN($A$1),FALSE))</f>
        <v>1.4199479841383962E-4</v>
      </c>
      <c r="AF18" s="72">
        <f>IF(VLOOKUP($A18,raw[],COLUMN(AG$1)-COLUMN($A$1),FALSE)=0, VLOOKUP($D18, regions[], COLUMN(AG$1)-COLUMN($A$1), FALSE), VLOOKUP($A18,raw[],COLUMN(AG$1)-COLUMN($A$1),FALSE))</f>
        <v>1.6836809920065034E-4</v>
      </c>
      <c r="AG18" s="72">
        <f>IF(VLOOKUP($A18,raw[],COLUMN(AH$1)-COLUMN($A$1),FALSE)=0, VLOOKUP($D18, regions[], COLUMN(AH$1)-COLUMN($A$1), FALSE), VLOOKUP($A18,raw[],COLUMN(AH$1)-COLUMN($A$1),FALSE))</f>
        <v>4.41219319301264E-4</v>
      </c>
      <c r="AH18" s="72">
        <f>IF(VLOOKUP($A18,raw[],COLUMN(AI$1)-COLUMN($A$1),FALSE)=0, VLOOKUP($D18, regions[], COLUMN(AI$1)-COLUMN($A$1), FALSE), VLOOKUP($A18,raw[],COLUMN(AI$1)-COLUMN($A$1),FALSE))</f>
        <v>5.8236631127583406E-4</v>
      </c>
      <c r="AI18" s="72">
        <f>IF(VLOOKUP($A18,raw[],COLUMN(AJ$1)-COLUMN($A$1),FALSE)=0, VLOOKUP($D18, regions[], COLUMN(AJ$1)-COLUMN($A$1), FALSE), VLOOKUP($A18,raw[],COLUMN(AJ$1)-COLUMN($A$1),FALSE))</f>
        <v>6.8015417152451484E-4</v>
      </c>
      <c r="AJ18" s="72">
        <f>IF(VLOOKUP($A18,raw[],COLUMN(AK$1)-COLUMN($A$1),FALSE)=0, VLOOKUP($D18, regions[], COLUMN(AK$1)-COLUMN($A$1), FALSE), VLOOKUP($A18,raw[],COLUMN(AK$1)-COLUMN($A$1),FALSE))</f>
        <v>9.7709788609903043E-4</v>
      </c>
      <c r="AK18" s="72">
        <f>IF(VLOOKUP($A18,raw[],COLUMN(AL$1)-COLUMN($A$1),FALSE)=0, VLOOKUP($D18, regions[], COLUMN(AL$1)-COLUMN($A$1), FALSE), VLOOKUP($A18,raw[],COLUMN(AL$1)-COLUMN($A$1),FALSE))</f>
        <v>1.451836741961423E-3</v>
      </c>
      <c r="AL18" s="72">
        <f>IF(VLOOKUP($A18,raw[],COLUMN(AM$1)-COLUMN($A$1),FALSE)=0, VLOOKUP($D18, regions[], COLUMN(AM$1)-COLUMN($A$1), FALSE), VLOOKUP($A18,raw[],COLUMN(AM$1)-COLUMN($A$1),FALSE))</f>
        <v>2.4327225167702225E-3</v>
      </c>
      <c r="AM18" s="72">
        <f>IF(VLOOKUP($A18,raw[],COLUMN(AN$1)-COLUMN($A$1),FALSE)=0, VLOOKUP($D18, regions[], COLUMN(AN$1)-COLUMN($A$1), FALSE), VLOOKUP($A18,raw[],COLUMN(AN$1)-COLUMN($A$1),FALSE))</f>
        <v>4.3091716106383278E-3</v>
      </c>
      <c r="AN18" s="72">
        <f>IF(VLOOKUP($A18,raw[],COLUMN(AO$1)-COLUMN($A$1),FALSE)=0, VLOOKUP($D18, regions[], COLUMN(AO$1)-COLUMN($A$1), FALSE), VLOOKUP($A18,raw[],COLUMN(AO$1)-COLUMN($A$1),FALSE))</f>
        <v>7.0797041205687443E-3</v>
      </c>
      <c r="AO18" s="72">
        <f>IF(VLOOKUP($A18,raw[],COLUMN(AP$1)-COLUMN($A$1),FALSE)=0, VLOOKUP($D18, regions[], COLUMN(AP$1)-COLUMN($A$1), FALSE), VLOOKUP($A18,raw[],COLUMN(AP$1)-COLUMN($A$1),FALSE))</f>
        <v>1.0891843655815784E-2</v>
      </c>
      <c r="AP18" s="72">
        <f>IF(VLOOKUP($A18,raw[],COLUMN(AQ$1)-COLUMN($A$1),FALSE)=0, VLOOKUP($D18, regions[], COLUMN(AQ$1)-COLUMN($A$1), FALSE), VLOOKUP($A18,raw[],COLUMN(AQ$1)-COLUMN($A$1),FALSE))</f>
        <v>1.5697542549870307E-2</v>
      </c>
      <c r="AQ18" s="72">
        <f>IF(VLOOKUP($A18,raw[],COLUMN(AR$1)-COLUMN($A$1),FALSE)=0, VLOOKUP($D18, regions[], COLUMN(AR$1)-COLUMN($A$1), FALSE), VLOOKUP($A18,raw[],COLUMN(AR$1)-COLUMN($A$1),FALSE))</f>
        <v>2.1988035741056983E-2</v>
      </c>
      <c r="AR18" s="72">
        <f>IF(VLOOKUP($A18,raw[],COLUMN(AS$1)-COLUMN($A$1),FALSE)=0, VLOOKUP($D18, regions[], COLUMN(AS$1)-COLUMN($A$1), FALSE), VLOOKUP($A18,raw[],COLUMN(AS$1)-COLUMN($A$1),FALSE))</f>
        <v>3.1315833409297673E-2</v>
      </c>
      <c r="AS18" s="72">
        <f>IF(VLOOKUP($A18,raw[],COLUMN(AT$1)-COLUMN($A$1),FALSE)=0, VLOOKUP($D18, regions[], COLUMN(AT$1)-COLUMN($A$1), FALSE), VLOOKUP($A18,raw[],COLUMN(AT$1)-COLUMN($A$1),FALSE))</f>
        <v>4.7939476495177831E-2</v>
      </c>
      <c r="AT18" s="72">
        <f>IF(VLOOKUP($A18,raw[],COLUMN(AU$1)-COLUMN($A$1),FALSE)=0, VLOOKUP($D18, regions[], COLUMN(AU$1)-COLUMN($A$1), FALSE), VLOOKUP($A18,raw[],COLUMN(AU$1)-COLUMN($A$1),FALSE))</f>
        <v>7.7214375970854052E-2</v>
      </c>
      <c r="AU18" s="72">
        <f>IF(VLOOKUP($A18,raw[],COLUMN(AV$1)-COLUMN($A$1),FALSE)=0, VLOOKUP($D18, regions[], COLUMN(AV$1)-COLUMN($A$1), FALSE), VLOOKUP($A18,raw[],COLUMN(AV$1)-COLUMN($A$1),FALSE))</f>
        <v>0.12904744450444883</v>
      </c>
      <c r="AV18" s="72">
        <f>IF(VLOOKUP($A18,raw[],COLUMN(AW$1)-COLUMN($A$1),FALSE)=0, VLOOKUP($D18, regions[], COLUMN(AW$1)-COLUMN($A$1), FALSE), VLOOKUP($A18,raw[],COLUMN(AW$1)-COLUMN($A$1),FALSE))</f>
        <v>0.15072573325399216</v>
      </c>
      <c r="AW18" s="72">
        <f>IF(VLOOKUP($A18,raw[],COLUMN(AX$1)-COLUMN($A$1),FALSE)=0, VLOOKUP($D18, regions[], COLUMN(AX$1)-COLUMN($A$1), FALSE), VLOOKUP($A18,raw[],COLUMN(AX$1)-COLUMN($A$1),FALSE))</f>
        <v>0.17740366801760049</v>
      </c>
      <c r="AX18" s="72">
        <f>IF(VLOOKUP($A18,raw[],COLUMN(AY$1)-COLUMN($A$1),FALSE)=0, VLOOKUP($D18, regions[], COLUMN(AY$1)-COLUMN($A$1), FALSE), VLOOKUP($A18,raw[],COLUMN(AY$1)-COLUMN($A$1),FALSE))</f>
        <v>74.846999999999994</v>
      </c>
      <c r="AY18" t="str">
        <f t="shared" si="0"/>
        <v>No</v>
      </c>
    </row>
    <row r="19" spans="1:51" x14ac:dyDescent="0.25">
      <c r="A19" s="55" t="s">
        <v>251</v>
      </c>
      <c r="B19" s="56" t="s">
        <v>252</v>
      </c>
      <c r="C19" s="56">
        <v>854</v>
      </c>
      <c r="D19" s="56" t="s">
        <v>207</v>
      </c>
      <c r="E19" s="56" t="s">
        <v>235</v>
      </c>
      <c r="F19" s="56" t="s">
        <v>211</v>
      </c>
      <c r="G19" s="56" t="s">
        <v>198</v>
      </c>
      <c r="H19" s="74">
        <f>VLOOKUP(lmics[[#This Row],[setting]],raw[],8,FALSE)</f>
        <v>20903278</v>
      </c>
      <c r="I19" s="74">
        <f>VLOOKUP(lmics[[#This Row],[setting]],raw[],9,FALSE)</f>
        <v>798254.38026400004</v>
      </c>
      <c r="J19" s="67">
        <f>IF(VLOOKUP($A19,raw[],COLUMN(J$1),FALSE)=0, VLOOKUP($D19, regions[], COLUMN(J$1), FALSE), VLOOKUP($A19,raw[],COLUMN(J$1),FALSE))</f>
        <v>0.82200000000000006</v>
      </c>
      <c r="K19" s="77">
        <f>VLOOKUP($A19, raw[], 11, FALSE)</f>
        <v>0</v>
      </c>
      <c r="L19" s="77">
        <f>VLOOKUP($A19, raw[], 12, FALSE)</f>
        <v>0.91</v>
      </c>
      <c r="M19" s="77">
        <f>IF(VLOOKUP($A19,raw[],COLUMN(M$1),FALSE)=0, VLOOKUP($D19, regions[], COLUMN(M$1), FALSE), VLOOKUP($A19,raw[],COLUMN(M$1),FALSE))</f>
        <v>6.6000000000000003E-2</v>
      </c>
      <c r="N19" s="68">
        <f>IF(VLOOKUP($A19,raw[],COLUMN(N$1),FALSE)=0, VLOOKUP($D19, regions[], COLUMN(N$1), FALSE), VLOOKUP($A19,raw[],COLUMN(N$1),FALSE))</f>
        <v>0.29335469441802142</v>
      </c>
      <c r="O19" s="67">
        <f>IF(VLOOKUP($A19,raw[],COLUMN(O$1),FALSE)=0, VLOOKUP($D19, regions[], COLUMN(O$1), FALSE), VLOOKUP($A19,raw[],COLUMN(O$1),FALSE))</f>
        <v>0.38300000000000001</v>
      </c>
      <c r="P19" s="68">
        <f>IF(VLOOKUP($A19,raw[],COLUMN(P$1),FALSE)=0, VLOOKUP($D19, regions[], COLUMN(P$1), FALSE), VLOOKUP($A19,raw[],COLUMN(P$1),FALSE))</f>
        <v>4.8000000000000001E-2</v>
      </c>
      <c r="Q19" s="70">
        <f>IF(VLOOKUP($A19,raw[],COLUMN(Q$1),FALSE)=0, VLOOKUP($D19, regions[], COLUMN(Q$1), FALSE), VLOOKUP($A19,raw[],COLUMN(Q$1),FALSE))</f>
        <v>4.604183740861723</v>
      </c>
      <c r="R19" s="70">
        <f>IF(VLOOKUP($A19,raw[],COLUMN(R$1),FALSE)=0, VLOOKUP($D19, regions[], COLUMN(R$1), FALSE), VLOOKUP($A19,raw[],COLUMN(R$1),FALSE))</f>
        <v>26.929563740861724</v>
      </c>
      <c r="S19" s="70">
        <f>IF(VLOOKUP($A19,raw[],COLUMN(S$1),FALSE)=0, VLOOKUP($D19, regions[], COLUMN(S$1), FALSE), VLOOKUP($A19,raw[],COLUMN(S$1),FALSE))</f>
        <v>62.781228115348881</v>
      </c>
      <c r="T19" s="70">
        <f>IF(VLOOKUP($A19,raw[],COLUMN(U$1)-COLUMN($A$1),FALSE)=0, VLOOKUP($D19, regions[], COLUMN(U$1)-COLUMN($A$1), FALSE), VLOOKUP($A19,raw[],COLUMN(U$1)-COLUMN($A$1),FALSE))</f>
        <v>66.23277763798994</v>
      </c>
      <c r="U19" s="70">
        <f>IF(VLOOKUP($A19,raw[],COLUMN(V$1)-COLUMN($A$1),FALSE)=0, VLOOKUP($D19, regions[], COLUMN(V$1)-COLUMN($A$1), FALSE), VLOOKUP($A19,raw[],COLUMN(V$1)-COLUMN($A$1),FALSE))</f>
        <v>64.647899053655777</v>
      </c>
      <c r="V19" s="70">
        <f>IF(VLOOKUP($A19,raw[],COLUMN(W$1)-COLUMN($A$1),FALSE)=0, VLOOKUP($D19, regions[], COLUMN(W$1)-COLUMN($A$1), FALSE), VLOOKUP($A19,raw[],COLUMN(W$1)-COLUMN($A$1),FALSE))</f>
        <v>2.4658937941500021</v>
      </c>
      <c r="W19" s="70">
        <f>IF(VLOOKUP($A19,raw[],COLUMN(X$1)-COLUMN($A$1),FALSE)=0, VLOOKUP($D19, regions[], COLUMN(X$1)-COLUMN($A$1), FALSE), VLOOKUP($A19,raw[],COLUMN(X$1)-COLUMN($A$1),FALSE))</f>
        <v>7.2958937941500022</v>
      </c>
      <c r="X19" s="70">
        <f>IF(VLOOKUP($A19,raw[],COLUMN(Y$1)-COLUMN($A$1),FALSE)=0, VLOOKUP($D19, regions[], COLUMN(Y$1)-COLUMN($A$1), FALSE), VLOOKUP($A19,raw[],COLUMN(Y$1)-COLUMN($A$1),FALSE))</f>
        <v>2.0574574895667275</v>
      </c>
      <c r="Y19" s="70">
        <f>IF(VLOOKUP($A19,raw[],COLUMN(Z$1)-COLUMN($A$1),FALSE)=0, VLOOKUP($D19, regions[], COLUMN(Z$1)-COLUMN($A$1), FALSE), VLOOKUP($A19,raw[],COLUMN(Z$1)-COLUMN($A$1),FALSE))</f>
        <v>6.887457489566728</v>
      </c>
      <c r="Z19" s="70">
        <f>IF(VLOOKUP($A19,raw[],COLUMN(AA$1)-COLUMN($A$1),FALSE)=0, VLOOKUP($D19, regions[], COLUMN(AA$1)-COLUMN($A$1), FALSE), VLOOKUP($A19,raw[],COLUMN(AA$1)-COLUMN($A$1),FALSE))</f>
        <v>6.8846170043761976</v>
      </c>
      <c r="AA19" s="70">
        <f>IF(VLOOKUP($A19,raw[],COLUMN(AB$1)-COLUMN($A$1),FALSE)=0, VLOOKUP($D19, regions[], COLUMN(AB$1)-COLUMN($A$1), FALSE), VLOOKUP($A19,raw[],COLUMN(AB$1)-COLUMN($A$1),FALSE))</f>
        <v>2.6702701423646276</v>
      </c>
      <c r="AB19" s="70">
        <f>IF(VLOOKUP($A19,raw[],COLUMN(AC$1)-COLUMN($A$1),FALSE)=0, VLOOKUP($D19, regions[], COLUMN(AC$1)-COLUMN($A$1), FALSE), VLOOKUP($A19,raw[],COLUMN(AC$1)-COLUMN($A$1),FALSE))</f>
        <v>7.5002701423646272</v>
      </c>
      <c r="AC19" s="72">
        <f>IF(VLOOKUP($A19,raw[],COLUMN(AD$1)-COLUMN($A$1),FALSE)=0, VLOOKUP($D19, regions[], COLUMN(AD$1)-COLUMN($A$1), FALSE), VLOOKUP($A19,raw[],COLUMN(AD$1)-COLUMN($A$1),FALSE))</f>
        <v>5.4227859999999926E-2</v>
      </c>
      <c r="AD19" s="72">
        <f>IF(VLOOKUP($A19,raw[],COLUMN(AE$1)-COLUMN($A$1),FALSE)=0, VLOOKUP($D19, regions[], COLUMN(AE$1)-COLUMN($A$1), FALSE), VLOOKUP($A19,raw[],COLUMN(AE$1)-COLUMN($A$1),FALSE))</f>
        <v>7.7985433150949057E-3</v>
      </c>
      <c r="AE19" s="72">
        <f>IF(VLOOKUP($A19,raw[],COLUMN(AF$1)-COLUMN($A$1),FALSE)=0, VLOOKUP($D19, regions[], COLUMN(AF$1)-COLUMN($A$1), FALSE), VLOOKUP($A19,raw[],COLUMN(AF$1)-COLUMN($A$1),FALSE))</f>
        <v>2.7098510180781272E-3</v>
      </c>
      <c r="AF19" s="72">
        <f>IF(VLOOKUP($A19,raw[],COLUMN(AG$1)-COLUMN($A$1),FALSE)=0, VLOOKUP($D19, regions[], COLUMN(AG$1)-COLUMN($A$1), FALSE), VLOOKUP($A19,raw[],COLUMN(AG$1)-COLUMN($A$1),FALSE))</f>
        <v>1.6109777987679034E-3</v>
      </c>
      <c r="AG19" s="72">
        <f>IF(VLOOKUP($A19,raw[],COLUMN(AH$1)-COLUMN($A$1),FALSE)=0, VLOOKUP($D19, regions[], COLUMN(AH$1)-COLUMN($A$1), FALSE), VLOOKUP($A19,raw[],COLUMN(AH$1)-COLUMN($A$1),FALSE))</f>
        <v>2.4565525709780954E-3</v>
      </c>
      <c r="AH19" s="72">
        <f>IF(VLOOKUP($A19,raw[],COLUMN(AI$1)-COLUMN($A$1),FALSE)=0, VLOOKUP($D19, regions[], COLUMN(AI$1)-COLUMN($A$1), FALSE), VLOOKUP($A19,raw[],COLUMN(AI$1)-COLUMN($A$1),FALSE))</f>
        <v>3.4406424856136286E-3</v>
      </c>
      <c r="AI19" s="72">
        <f>IF(VLOOKUP($A19,raw[],COLUMN(AJ$1)-COLUMN($A$1),FALSE)=0, VLOOKUP($D19, regions[], COLUMN(AJ$1)-COLUMN($A$1), FALSE), VLOOKUP($A19,raw[],COLUMN(AJ$1)-COLUMN($A$1),FALSE))</f>
        <v>3.6839859647303831E-3</v>
      </c>
      <c r="AJ19" s="72">
        <f>IF(VLOOKUP($A19,raw[],COLUMN(AK$1)-COLUMN($A$1),FALSE)=0, VLOOKUP($D19, regions[], COLUMN(AK$1)-COLUMN($A$1), FALSE), VLOOKUP($A19,raw[],COLUMN(AK$1)-COLUMN($A$1),FALSE))</f>
        <v>4.0687159913709147E-3</v>
      </c>
      <c r="AK19" s="72">
        <f>IF(VLOOKUP($A19,raw[],COLUMN(AL$1)-COLUMN($A$1),FALSE)=0, VLOOKUP($D19, regions[], COLUMN(AL$1)-COLUMN($A$1), FALSE), VLOOKUP($A19,raw[],COLUMN(AL$1)-COLUMN($A$1),FALSE))</f>
        <v>4.6667301775740718E-3</v>
      </c>
      <c r="AL19" s="72">
        <f>IF(VLOOKUP($A19,raw[],COLUMN(AM$1)-COLUMN($A$1),FALSE)=0, VLOOKUP($D19, regions[], COLUMN(AM$1)-COLUMN($A$1), FALSE), VLOOKUP($A19,raw[],COLUMN(AM$1)-COLUMN($A$1),FALSE))</f>
        <v>5.7359348761896311E-3</v>
      </c>
      <c r="AM19" s="72">
        <f>IF(VLOOKUP($A19,raw[],COLUMN(AN$1)-COLUMN($A$1),FALSE)=0, VLOOKUP($D19, regions[], COLUMN(AN$1)-COLUMN($A$1), FALSE), VLOOKUP($A19,raw[],COLUMN(AN$1)-COLUMN($A$1),FALSE))</f>
        <v>7.1848904155756791E-3</v>
      </c>
      <c r="AN19" s="72">
        <f>IF(VLOOKUP($A19,raw[],COLUMN(AO$1)-COLUMN($A$1),FALSE)=0, VLOOKUP($D19, regions[], COLUMN(AO$1)-COLUMN($A$1), FALSE), VLOOKUP($A19,raw[],COLUMN(AO$1)-COLUMN($A$1),FALSE))</f>
        <v>1.0079208538840959E-2</v>
      </c>
      <c r="AO19" s="72">
        <f>IF(VLOOKUP($A19,raw[],COLUMN(AP$1)-COLUMN($A$1),FALSE)=0, VLOOKUP($D19, regions[], COLUMN(AP$1)-COLUMN($A$1), FALSE), VLOOKUP($A19,raw[],COLUMN(AP$1)-COLUMN($A$1),FALSE))</f>
        <v>1.4324556284323308E-2</v>
      </c>
      <c r="AP19" s="72">
        <f>IF(VLOOKUP($A19,raw[],COLUMN(AQ$1)-COLUMN($A$1),FALSE)=0, VLOOKUP($D19, regions[], COLUMN(AQ$1)-COLUMN($A$1), FALSE), VLOOKUP($A19,raw[],COLUMN(AQ$1)-COLUMN($A$1),FALSE))</f>
        <v>2.2267003529747472E-2</v>
      </c>
      <c r="AQ19" s="72">
        <f>IF(VLOOKUP($A19,raw[],COLUMN(AR$1)-COLUMN($A$1),FALSE)=0, VLOOKUP($D19, regions[], COLUMN(AR$1)-COLUMN($A$1), FALSE), VLOOKUP($A19,raw[],COLUMN(AR$1)-COLUMN($A$1),FALSE))</f>
        <v>3.4331618474766817E-2</v>
      </c>
      <c r="AR19" s="72">
        <f>IF(VLOOKUP($A19,raw[],COLUMN(AS$1)-COLUMN($A$1),FALSE)=0, VLOOKUP($D19, regions[], COLUMN(AS$1)-COLUMN($A$1), FALSE), VLOOKUP($A19,raw[],COLUMN(AS$1)-COLUMN($A$1),FALSE))</f>
        <v>5.5031678246900514E-2</v>
      </c>
      <c r="AS19" s="72">
        <f>IF(VLOOKUP($A19,raw[],COLUMN(AT$1)-COLUMN($A$1),FALSE)=0, VLOOKUP($D19, regions[], COLUMN(AT$1)-COLUMN($A$1), FALSE), VLOOKUP($A19,raw[],COLUMN(AT$1)-COLUMN($A$1),FALSE))</f>
        <v>8.4597333790458251E-2</v>
      </c>
      <c r="AT19" s="72">
        <f>IF(VLOOKUP($A19,raw[],COLUMN(AU$1)-COLUMN($A$1),FALSE)=0, VLOOKUP($D19, regions[], COLUMN(AU$1)-COLUMN($A$1), FALSE), VLOOKUP($A19,raw[],COLUMN(AU$1)-COLUMN($A$1),FALSE))</f>
        <v>0.12093596991685143</v>
      </c>
      <c r="AU19" s="72">
        <f>IF(VLOOKUP($A19,raw[],COLUMN(AV$1)-COLUMN($A$1),FALSE)=0, VLOOKUP($D19, regions[], COLUMN(AV$1)-COLUMN($A$1), FALSE), VLOOKUP($A19,raw[],COLUMN(AV$1)-COLUMN($A$1),FALSE))</f>
        <v>0.153968715439502</v>
      </c>
      <c r="AV19" s="72">
        <f>IF(VLOOKUP($A19,raw[],COLUMN(AW$1)-COLUMN($A$1),FALSE)=0, VLOOKUP($D19, regions[], COLUMN(AW$1)-COLUMN($A$1), FALSE), VLOOKUP($A19,raw[],COLUMN(AW$1)-COLUMN($A$1),FALSE))</f>
        <v>0.17687638060945704</v>
      </c>
      <c r="AW19" s="72">
        <f>IF(VLOOKUP($A19,raw[],COLUMN(AX$1)-COLUMN($A$1),FALSE)=0, VLOOKUP($D19, regions[], COLUMN(AX$1)-COLUMN($A$1), FALSE), VLOOKUP($A19,raw[],COLUMN(AX$1)-COLUMN($A$1),FALSE))</f>
        <v>0.19401800579474437</v>
      </c>
      <c r="AX19" s="72">
        <f>IF(VLOOKUP($A19,raw[],COLUMN(AY$1)-COLUMN($A$1),FALSE)=0, VLOOKUP($D19, regions[], COLUMN(AY$1)-COLUMN($A$1), FALSE), VLOOKUP($A19,raw[],COLUMN(AY$1)-COLUMN($A$1),FALSE))</f>
        <v>60.917000000000002</v>
      </c>
      <c r="AY19" t="str">
        <f t="shared" si="0"/>
        <v>Yes</v>
      </c>
    </row>
    <row r="20" spans="1:51" x14ac:dyDescent="0.25">
      <c r="A20" s="53" t="s">
        <v>253</v>
      </c>
      <c r="B20" s="54" t="s">
        <v>254</v>
      </c>
      <c r="C20" s="54">
        <v>108</v>
      </c>
      <c r="D20" s="54" t="s">
        <v>207</v>
      </c>
      <c r="E20" s="54" t="s">
        <v>255</v>
      </c>
      <c r="F20" s="54" t="s">
        <v>211</v>
      </c>
      <c r="G20" s="54" t="s">
        <v>198</v>
      </c>
      <c r="H20" s="73">
        <f>VLOOKUP(lmics[[#This Row],[setting]],raw[],8,FALSE)</f>
        <v>11890781</v>
      </c>
      <c r="I20" s="73">
        <f>VLOOKUP(lmics[[#This Row],[setting]],raw[],9,FALSE)</f>
        <v>466796.38971700001</v>
      </c>
      <c r="J20" s="67">
        <f>IF(VLOOKUP($A20,raw[],COLUMN(J$1),FALSE)=0, VLOOKUP($D20, regions[], COLUMN(J$1), FALSE), VLOOKUP($A20,raw[],COLUMN(J$1),FALSE))</f>
        <v>0.83900000000000008</v>
      </c>
      <c r="K20" s="77">
        <f>VLOOKUP($A20, raw[], 11, FALSE)</f>
        <v>0</v>
      </c>
      <c r="L20" s="77">
        <f>VLOOKUP($A20, raw[], 12, FALSE)</f>
        <v>0.93</v>
      </c>
      <c r="M20" s="77">
        <f>IF(VLOOKUP($A20,raw[],COLUMN(M$1),FALSE)=0, VLOOKUP($D20, regions[], COLUMN(M$1), FALSE), VLOOKUP($A20,raw[],COLUMN(M$1),FALSE))</f>
        <v>5.5500000000000001E-2</v>
      </c>
      <c r="N20" s="68">
        <f>IF(VLOOKUP($A20,raw[],COLUMN(N$1),FALSE)=0, VLOOKUP($D20, regions[], COLUMN(N$1), FALSE), VLOOKUP($A20,raw[],COLUMN(N$1),FALSE))</f>
        <v>0.27469611022005852</v>
      </c>
      <c r="O20" s="67">
        <f>IF(VLOOKUP($A20,raw[],COLUMN(O$1),FALSE)=0, VLOOKUP($D20, regions[], COLUMN(O$1), FALSE), VLOOKUP($A20,raw[],COLUMN(O$1),FALSE))</f>
        <v>0.38300000000000001</v>
      </c>
      <c r="P20" s="68">
        <f>IF(VLOOKUP($A20,raw[],COLUMN(P$1),FALSE)=0, VLOOKUP($D20, regions[], COLUMN(P$1), FALSE), VLOOKUP($A20,raw[],COLUMN(P$1),FALSE))</f>
        <v>4.8000000000000001E-2</v>
      </c>
      <c r="Q20" s="70">
        <f>IF(VLOOKUP($A20,raw[],COLUMN(Q$1),FALSE)=0, VLOOKUP($D20, regions[], COLUMN(Q$1), FALSE), VLOOKUP($A20,raw[],COLUMN(Q$1),FALSE))</f>
        <v>2.333509863013699</v>
      </c>
      <c r="R20" s="70">
        <f>IF(VLOOKUP($A20,raw[],COLUMN(R$1),FALSE)=0, VLOOKUP($D20, regions[], COLUMN(R$1), FALSE), VLOOKUP($A20,raw[],COLUMN(R$1),FALSE))</f>
        <v>24.658889863013702</v>
      </c>
      <c r="S20" s="70">
        <f>IF(VLOOKUP($A20,raw[],COLUMN(S$1),FALSE)=0, VLOOKUP($D20, regions[], COLUMN(S$1), FALSE), VLOOKUP($A20,raw[],COLUMN(S$1),FALSE))</f>
        <v>54.284204080537677</v>
      </c>
      <c r="T20" s="70">
        <f>IF(VLOOKUP($A20,raw[],COLUMN(U$1)-COLUMN($A$1),FALSE)=0, VLOOKUP($D20, regions[], COLUMN(U$1)-COLUMN($A$1), FALSE), VLOOKUP($A20,raw[],COLUMN(U$1)-COLUMN($A$1),FALSE))</f>
        <v>54.495155964561924</v>
      </c>
      <c r="U20" s="70">
        <f>IF(VLOOKUP($A20,raw[],COLUMN(V$1)-COLUMN($A$1),FALSE)=0, VLOOKUP($D20, regions[], COLUMN(V$1)-COLUMN($A$1), FALSE), VLOOKUP($A20,raw[],COLUMN(V$1)-COLUMN($A$1),FALSE))</f>
        <v>54.39829131837277</v>
      </c>
      <c r="V20" s="70">
        <f>IF(VLOOKUP($A20,raw[],COLUMN(W$1)-COLUMN($A$1),FALSE)=0, VLOOKUP($D20, regions[], COLUMN(W$1)-COLUMN($A$1), FALSE), VLOOKUP($A20,raw[],COLUMN(W$1)-COLUMN($A$1),FALSE))</f>
        <v>2.2290672676519732</v>
      </c>
      <c r="W20" s="70">
        <f>IF(VLOOKUP($A20,raw[],COLUMN(X$1)-COLUMN($A$1),FALSE)=0, VLOOKUP($D20, regions[], COLUMN(X$1)-COLUMN($A$1), FALSE), VLOOKUP($A20,raw[],COLUMN(X$1)-COLUMN($A$1),FALSE))</f>
        <v>7.0590672676519732</v>
      </c>
      <c r="X20" s="70">
        <f>IF(VLOOKUP($A20,raw[],COLUMN(Y$1)-COLUMN($A$1),FALSE)=0, VLOOKUP($D20, regions[], COLUMN(Y$1)-COLUMN($A$1), FALSE), VLOOKUP($A20,raw[],COLUMN(Y$1)-COLUMN($A$1),FALSE))</f>
        <v>1.8259970827017029</v>
      </c>
      <c r="Y20" s="70">
        <f>IF(VLOOKUP($A20,raw[],COLUMN(Z$1)-COLUMN($A$1),FALSE)=0, VLOOKUP($D20, regions[], COLUMN(Z$1)-COLUMN($A$1), FALSE), VLOOKUP($A20,raw[],COLUMN(Z$1)-COLUMN($A$1),FALSE))</f>
        <v>6.6559970827017025</v>
      </c>
      <c r="Z20" s="70">
        <f>IF(VLOOKUP($A20,raw[],COLUMN(AA$1)-COLUMN($A$1),FALSE)=0, VLOOKUP($D20, regions[], COLUMN(AA$1)-COLUMN($A$1), FALSE), VLOOKUP($A20,raw[],COLUMN(AA$1)-COLUMN($A$1),FALSE))</f>
        <v>6.6551991017301058</v>
      </c>
      <c r="AA20" s="70">
        <f>IF(VLOOKUP($A20,raw[],COLUMN(AB$1)-COLUMN($A$1),FALSE)=0, VLOOKUP($D20, regions[], COLUMN(AB$1)-COLUMN($A$1), FALSE), VLOOKUP($A20,raw[],COLUMN(AB$1)-COLUMN($A$1),FALSE))</f>
        <v>2.4315304775626578</v>
      </c>
      <c r="AB20" s="70">
        <f>IF(VLOOKUP($A20,raw[],COLUMN(AC$1)-COLUMN($A$1),FALSE)=0, VLOOKUP($D20, regions[], COLUMN(AC$1)-COLUMN($A$1), FALSE), VLOOKUP($A20,raw[],COLUMN(AC$1)-COLUMN($A$1),FALSE))</f>
        <v>7.2615304775626583</v>
      </c>
      <c r="AC20" s="72">
        <f>IF(VLOOKUP($A20,raw[],COLUMN(AD$1)-COLUMN($A$1),FALSE)=0, VLOOKUP($D20, regions[], COLUMN(AD$1)-COLUMN($A$1), FALSE), VLOOKUP($A20,raw[],COLUMN(AD$1)-COLUMN($A$1),FALSE))</f>
        <v>4.245322E-2</v>
      </c>
      <c r="AD20" s="72">
        <f>IF(VLOOKUP($A20,raw[],COLUMN(AE$1)-COLUMN($A$1),FALSE)=0, VLOOKUP($D20, regions[], COLUMN(AE$1)-COLUMN($A$1), FALSE), VLOOKUP($A20,raw[],COLUMN(AE$1)-COLUMN($A$1),FALSE))</f>
        <v>5.2388458765429743E-3</v>
      </c>
      <c r="AE20" s="72">
        <f>IF(VLOOKUP($A20,raw[],COLUMN(AF$1)-COLUMN($A$1),FALSE)=0, VLOOKUP($D20, regions[], COLUMN(AF$1)-COLUMN($A$1), FALSE), VLOOKUP($A20,raw[],COLUMN(AF$1)-COLUMN($A$1),FALSE))</f>
        <v>4.006474712416051E-3</v>
      </c>
      <c r="AF20" s="72">
        <f>IF(VLOOKUP($A20,raw[],COLUMN(AG$1)-COLUMN($A$1),FALSE)=0, VLOOKUP($D20, regions[], COLUMN(AG$1)-COLUMN($A$1), FALSE), VLOOKUP($A20,raw[],COLUMN(AG$1)-COLUMN($A$1),FALSE))</f>
        <v>2.4991916576126484E-3</v>
      </c>
      <c r="AG20" s="72">
        <f>IF(VLOOKUP($A20,raw[],COLUMN(AH$1)-COLUMN($A$1),FALSE)=0, VLOOKUP($D20, regions[], COLUMN(AH$1)-COLUMN($A$1), FALSE), VLOOKUP($A20,raw[],COLUMN(AH$1)-COLUMN($A$1),FALSE))</f>
        <v>2.9437964950105862E-3</v>
      </c>
      <c r="AH20" s="72">
        <f>IF(VLOOKUP($A20,raw[],COLUMN(AI$1)-COLUMN($A$1),FALSE)=0, VLOOKUP($D20, regions[], COLUMN(AI$1)-COLUMN($A$1), FALSE), VLOOKUP($A20,raw[],COLUMN(AI$1)-COLUMN($A$1),FALSE))</f>
        <v>3.8451912617084071E-3</v>
      </c>
      <c r="AI20" s="72">
        <f>IF(VLOOKUP($A20,raw[],COLUMN(AJ$1)-COLUMN($A$1),FALSE)=0, VLOOKUP($D20, regions[], COLUMN(AJ$1)-COLUMN($A$1), FALSE), VLOOKUP($A20,raw[],COLUMN(AJ$1)-COLUMN($A$1),FALSE))</f>
        <v>4.6036661153950687E-3</v>
      </c>
      <c r="AJ20" s="72">
        <f>IF(VLOOKUP($A20,raw[],COLUMN(AK$1)-COLUMN($A$1),FALSE)=0, VLOOKUP($D20, regions[], COLUMN(AK$1)-COLUMN($A$1), FALSE), VLOOKUP($A20,raw[],COLUMN(AK$1)-COLUMN($A$1),FALSE))</f>
        <v>5.6684137059228833E-3</v>
      </c>
      <c r="AK20" s="72">
        <f>IF(VLOOKUP($A20,raw[],COLUMN(AL$1)-COLUMN($A$1),FALSE)=0, VLOOKUP($D20, regions[], COLUMN(AL$1)-COLUMN($A$1), FALSE), VLOOKUP($A20,raw[],COLUMN(AL$1)-COLUMN($A$1),FALSE))</f>
        <v>7.1054044654335858E-3</v>
      </c>
      <c r="AL20" s="72">
        <f>IF(VLOOKUP($A20,raw[],COLUMN(AM$1)-COLUMN($A$1),FALSE)=0, VLOOKUP($D20, regions[], COLUMN(AM$1)-COLUMN($A$1), FALSE), VLOOKUP($A20,raw[],COLUMN(AM$1)-COLUMN($A$1),FALSE))</f>
        <v>7.8941964027643974E-3</v>
      </c>
      <c r="AM20" s="72">
        <f>IF(VLOOKUP($A20,raw[],COLUMN(AN$1)-COLUMN($A$1),FALSE)=0, VLOOKUP($D20, regions[], COLUMN(AN$1)-COLUMN($A$1), FALSE), VLOOKUP($A20,raw[],COLUMN(AN$1)-COLUMN($A$1),FALSE))</f>
        <v>8.5934741230756576E-3</v>
      </c>
      <c r="AN20" s="72">
        <f>IF(VLOOKUP($A20,raw[],COLUMN(AO$1)-COLUMN($A$1),FALSE)=0, VLOOKUP($D20, regions[], COLUMN(AO$1)-COLUMN($A$1), FALSE), VLOOKUP($A20,raw[],COLUMN(AO$1)-COLUMN($A$1),FALSE))</f>
        <v>1.0836939465032305E-2</v>
      </c>
      <c r="AO20" s="72">
        <f>IF(VLOOKUP($A20,raw[],COLUMN(AP$1)-COLUMN($A$1),FALSE)=0, VLOOKUP($D20, regions[], COLUMN(AP$1)-COLUMN($A$1), FALSE), VLOOKUP($A20,raw[],COLUMN(AP$1)-COLUMN($A$1),FALSE))</f>
        <v>1.4199740651491634E-2</v>
      </c>
      <c r="AP20" s="72">
        <f>IF(VLOOKUP($A20,raw[],COLUMN(AQ$1)-COLUMN($A$1),FALSE)=0, VLOOKUP($D20, regions[], COLUMN(AQ$1)-COLUMN($A$1), FALSE), VLOOKUP($A20,raw[],COLUMN(AQ$1)-COLUMN($A$1),FALSE))</f>
        <v>2.0994713798631822E-2</v>
      </c>
      <c r="AQ20" s="72">
        <f>IF(VLOOKUP($A20,raw[],COLUMN(AR$1)-COLUMN($A$1),FALSE)=0, VLOOKUP($D20, regions[], COLUMN(AR$1)-COLUMN($A$1), FALSE), VLOOKUP($A20,raw[],COLUMN(AR$1)-COLUMN($A$1),FALSE))</f>
        <v>3.1694349071188635E-2</v>
      </c>
      <c r="AR20" s="72">
        <f>IF(VLOOKUP($A20,raw[],COLUMN(AS$1)-COLUMN($A$1),FALSE)=0, VLOOKUP($D20, regions[], COLUMN(AS$1)-COLUMN($A$1), FALSE), VLOOKUP($A20,raw[],COLUMN(AS$1)-COLUMN($A$1),FALSE))</f>
        <v>4.8176649717086024E-2</v>
      </c>
      <c r="AS20" s="72">
        <f>IF(VLOOKUP($A20,raw[],COLUMN(AT$1)-COLUMN($A$1),FALSE)=0, VLOOKUP($D20, regions[], COLUMN(AT$1)-COLUMN($A$1), FALSE), VLOOKUP($A20,raw[],COLUMN(AT$1)-COLUMN($A$1),FALSE))</f>
        <v>7.1068723406333134E-2</v>
      </c>
      <c r="AT20" s="72">
        <f>IF(VLOOKUP($A20,raw[],COLUMN(AU$1)-COLUMN($A$1),FALSE)=0, VLOOKUP($D20, regions[], COLUMN(AU$1)-COLUMN($A$1), FALSE), VLOOKUP($A20,raw[],COLUMN(AU$1)-COLUMN($A$1),FALSE))</f>
        <v>0.10104282858093268</v>
      </c>
      <c r="AU20" s="72">
        <f>IF(VLOOKUP($A20,raw[],COLUMN(AV$1)-COLUMN($A$1),FALSE)=0, VLOOKUP($D20, regions[], COLUMN(AV$1)-COLUMN($A$1), FALSE), VLOOKUP($A20,raw[],COLUMN(AV$1)-COLUMN($A$1),FALSE))</f>
        <v>0.13271945448202221</v>
      </c>
      <c r="AV20" s="72">
        <f>IF(VLOOKUP($A20,raw[],COLUMN(AW$1)-COLUMN($A$1),FALSE)=0, VLOOKUP($D20, regions[], COLUMN(AW$1)-COLUMN($A$1), FALSE), VLOOKUP($A20,raw[],COLUMN(AW$1)-COLUMN($A$1),FALSE))</f>
        <v>0.15908807736679403</v>
      </c>
      <c r="AW20" s="72">
        <f>IF(VLOOKUP($A20,raw[],COLUMN(AX$1)-COLUMN($A$1),FALSE)=0, VLOOKUP($D20, regions[], COLUMN(AX$1)-COLUMN($A$1), FALSE), VLOOKUP($A20,raw[],COLUMN(AX$1)-COLUMN($A$1),FALSE))</f>
        <v>0.17707971183175569</v>
      </c>
      <c r="AX20" s="72">
        <f>IF(VLOOKUP($A20,raw[],COLUMN(AY$1)-COLUMN($A$1),FALSE)=0, VLOOKUP($D20, regions[], COLUMN(AY$1)-COLUMN($A$1), FALSE), VLOOKUP($A20,raw[],COLUMN(AY$1)-COLUMN($A$1),FALSE))</f>
        <v>61.024999999999999</v>
      </c>
      <c r="AY20" t="str">
        <f t="shared" si="0"/>
        <v>Yes</v>
      </c>
    </row>
    <row r="21" spans="1:51" x14ac:dyDescent="0.25">
      <c r="A21" s="55" t="s">
        <v>256</v>
      </c>
      <c r="B21" s="56" t="s">
        <v>257</v>
      </c>
      <c r="C21" s="56">
        <v>132</v>
      </c>
      <c r="D21" s="56" t="s">
        <v>207</v>
      </c>
      <c r="E21" s="56" t="s">
        <v>235</v>
      </c>
      <c r="F21" s="56" t="s">
        <v>211</v>
      </c>
      <c r="G21" s="56" t="s">
        <v>212</v>
      </c>
      <c r="H21" s="74">
        <f>VLOOKUP(lmics[[#This Row],[setting]],raw[],8,FALSE)</f>
        <v>555988</v>
      </c>
      <c r="I21" s="74">
        <f>VLOOKUP(lmics[[#This Row],[setting]],raw[],9,FALSE)</f>
        <v>10946.847732000002</v>
      </c>
      <c r="J21" s="67">
        <f>IF(VLOOKUP($A21,raw[],COLUMN(J$1),FALSE)=0, VLOOKUP($D21, regions[], COLUMN(J$1), FALSE), VLOOKUP($A21,raw[],COLUMN(J$1),FALSE))</f>
        <v>0.75599999999999989</v>
      </c>
      <c r="K21" s="77">
        <f>VLOOKUP($A21, raw[], 11, FALSE)</f>
        <v>0.96</v>
      </c>
      <c r="L21" s="77">
        <f>VLOOKUP($A21, raw[], 12, FALSE)</f>
        <v>0.94</v>
      </c>
      <c r="M21" s="77">
        <f>IF(VLOOKUP($A21,raw[],COLUMN(M$1),FALSE)=0, VLOOKUP($D21, regions[], COLUMN(M$1), FALSE), VLOOKUP($A21,raw[],COLUMN(M$1),FALSE))</f>
        <v>6.9000000000000006E-2</v>
      </c>
      <c r="N21" s="68">
        <f>IF(VLOOKUP($A21,raw[],COLUMN(N$1),FALSE)=0, VLOOKUP($D21, regions[], COLUMN(N$1), FALSE), VLOOKUP($A21,raw[],COLUMN(N$1),FALSE))</f>
        <v>0.3000704220321459</v>
      </c>
      <c r="O21" s="67">
        <f>IF(VLOOKUP($A21,raw[],COLUMN(O$1),FALSE)=0, VLOOKUP($D21, regions[], COLUMN(O$1), FALSE), VLOOKUP($A21,raw[],COLUMN(O$1),FALSE))</f>
        <v>0.38300000000000001</v>
      </c>
      <c r="P21" s="68">
        <f>IF(VLOOKUP($A21,raw[],COLUMN(P$1),FALSE)=0, VLOOKUP($D21, regions[], COLUMN(P$1), FALSE), VLOOKUP($A21,raw[],COLUMN(P$1),FALSE))</f>
        <v>4.8000000000000001E-2</v>
      </c>
      <c r="Q21" s="70">
        <f>IF(VLOOKUP($A21,raw[],COLUMN(Q$1),FALSE)=0, VLOOKUP($D21, regions[], COLUMN(Q$1), FALSE), VLOOKUP($A21,raw[],COLUMN(Q$1),FALSE))</f>
        <v>6.2126765384615403</v>
      </c>
      <c r="R21" s="70">
        <f>IF(VLOOKUP($A21,raw[],COLUMN(R$1),FALSE)=0, VLOOKUP($D21, regions[], COLUMN(R$1), FALSE), VLOOKUP($A21,raw[],COLUMN(R$1),FALSE))</f>
        <v>28.538056538461543</v>
      </c>
      <c r="S21" s="70">
        <f>IF(VLOOKUP($A21,raw[],COLUMN(S$1),FALSE)=0, VLOOKUP($D21, regions[], COLUMN(S$1), FALSE), VLOOKUP($A21,raw[],COLUMN(S$1),FALSE))</f>
        <v>67.820242075802071</v>
      </c>
      <c r="T21" s="70">
        <f>IF(VLOOKUP($A21,raw[],COLUMN(U$1)-COLUMN($A$1),FALSE)=0, VLOOKUP($D21, regions[], COLUMN(U$1)-COLUMN($A$1), FALSE), VLOOKUP($A21,raw[],COLUMN(U$1)-COLUMN($A$1),FALSE))</f>
        <v>73.057257963057225</v>
      </c>
      <c r="U21" s="70">
        <f>IF(VLOOKUP($A21,raw[],COLUMN(V$1)-COLUMN($A$1),FALSE)=0, VLOOKUP($D21, regions[], COLUMN(V$1)-COLUMN($A$1), FALSE), VLOOKUP($A21,raw[],COLUMN(V$1)-COLUMN($A$1),FALSE))</f>
        <v>70.652530964043308</v>
      </c>
      <c r="V21" s="70">
        <f>IF(VLOOKUP($A21,raw[],COLUMN(W$1)-COLUMN($A$1),FALSE)=0, VLOOKUP($D21, regions[], COLUMN(W$1)-COLUMN($A$1), FALSE), VLOOKUP($A21,raw[],COLUMN(W$1)-COLUMN($A$1),FALSE))</f>
        <v>9.0413161569142524</v>
      </c>
      <c r="W21" s="70">
        <f>IF(VLOOKUP($A21,raw[],COLUMN(X$1)-COLUMN($A$1),FALSE)=0, VLOOKUP($D21, regions[], COLUMN(X$1)-COLUMN($A$1), FALSE), VLOOKUP($A21,raw[],COLUMN(X$1)-COLUMN($A$1),FALSE))</f>
        <v>13.871316156914252</v>
      </c>
      <c r="X21" s="70">
        <f>IF(VLOOKUP($A21,raw[],COLUMN(Y$1)-COLUMN($A$1),FALSE)=0, VLOOKUP($D21, regions[], COLUMN(Y$1)-COLUMN($A$1), FALSE), VLOOKUP($A21,raw[],COLUMN(Y$1)-COLUMN($A$1),FALSE))</f>
        <v>8.6218194591820296</v>
      </c>
      <c r="Y21" s="70">
        <f>IF(VLOOKUP($A21,raw[],COLUMN(Z$1)-COLUMN($A$1),FALSE)=0, VLOOKUP($D21, regions[], COLUMN(Z$1)-COLUMN($A$1), FALSE), VLOOKUP($A21,raw[],COLUMN(Z$1)-COLUMN($A$1),FALSE))</f>
        <v>13.45181945918203</v>
      </c>
      <c r="Z21" s="70">
        <f>IF(VLOOKUP($A21,raw[],COLUMN(AA$1)-COLUMN($A$1),FALSE)=0, VLOOKUP($D21, regions[], COLUMN(AA$1)-COLUMN($A$1), FALSE), VLOOKUP($A21,raw[],COLUMN(AA$1)-COLUMN($A$1),FALSE))</f>
        <v>13.444135359315574</v>
      </c>
      <c r="AA21" s="70">
        <f>IF(VLOOKUP($A21,raw[],COLUMN(AB$1)-COLUMN($A$1),FALSE)=0, VLOOKUP($D21, regions[], COLUMN(AB$1)-COLUMN($A$1), FALSE), VLOOKUP($A21,raw[],COLUMN(AB$1)-COLUMN($A$1),FALSE))</f>
        <v>9.2496357757298071</v>
      </c>
      <c r="AB21" s="70">
        <f>IF(VLOOKUP($A21,raw[],COLUMN(AC$1)-COLUMN($A$1),FALSE)=0, VLOOKUP($D21, regions[], COLUMN(AC$1)-COLUMN($A$1), FALSE), VLOOKUP($A21,raw[],COLUMN(AC$1)-COLUMN($A$1),FALSE))</f>
        <v>14.079635775729807</v>
      </c>
      <c r="AC21" s="72">
        <f>IF(VLOOKUP($A21,raw[],COLUMN(AD$1)-COLUMN($A$1),FALSE)=0, VLOOKUP($D21, regions[], COLUMN(AD$1)-COLUMN($A$1), FALSE), VLOOKUP($A21,raw[],COLUMN(AD$1)-COLUMN($A$1),FALSE))</f>
        <v>1.6891330000000017E-2</v>
      </c>
      <c r="AD21" s="72">
        <f>IF(VLOOKUP($A21,raw[],COLUMN(AE$1)-COLUMN($A$1),FALSE)=0, VLOOKUP($D21, regions[], COLUMN(AE$1)-COLUMN($A$1), FALSE), VLOOKUP($A21,raw[],COLUMN(AE$1)-COLUMN($A$1),FALSE))</f>
        <v>8.835060929734364E-4</v>
      </c>
      <c r="AE21" s="72">
        <f>IF(VLOOKUP($A21,raw[],COLUMN(AF$1)-COLUMN($A$1),FALSE)=0, VLOOKUP($D21, regions[], COLUMN(AF$1)-COLUMN($A$1), FALSE), VLOOKUP($A21,raw[],COLUMN(AF$1)-COLUMN($A$1),FALSE))</f>
        <v>3.6018949682796144E-4</v>
      </c>
      <c r="AF21" s="72">
        <f>IF(VLOOKUP($A21,raw[],COLUMN(AG$1)-COLUMN($A$1),FALSE)=0, VLOOKUP($D21, regions[], COLUMN(AG$1)-COLUMN($A$1), FALSE), VLOOKUP($A21,raw[],COLUMN(AG$1)-COLUMN($A$1),FALSE))</f>
        <v>3.1745117221964545E-4</v>
      </c>
      <c r="AG21" s="72">
        <f>IF(VLOOKUP($A21,raw[],COLUMN(AH$1)-COLUMN($A$1),FALSE)=0, VLOOKUP($D21, regions[], COLUMN(AH$1)-COLUMN($A$1), FALSE), VLOOKUP($A21,raw[],COLUMN(AH$1)-COLUMN($A$1),FALSE))</f>
        <v>7.1874741951376536E-4</v>
      </c>
      <c r="AH21" s="72">
        <f>IF(VLOOKUP($A21,raw[],COLUMN(AI$1)-COLUMN($A$1),FALSE)=0, VLOOKUP($D21, regions[], COLUMN(AI$1)-COLUMN($A$1), FALSE), VLOOKUP($A21,raw[],COLUMN(AI$1)-COLUMN($A$1),FALSE))</f>
        <v>9.8729318287466223E-4</v>
      </c>
      <c r="AI21" s="72">
        <f>IF(VLOOKUP($A21,raw[],COLUMN(AJ$1)-COLUMN($A$1),FALSE)=0, VLOOKUP($D21, regions[], COLUMN(AJ$1)-COLUMN($A$1), FALSE), VLOOKUP($A21,raw[],COLUMN(AJ$1)-COLUMN($A$1),FALSE))</f>
        <v>1.0549137828094477E-3</v>
      </c>
      <c r="AJ21" s="72">
        <f>IF(VLOOKUP($A21,raw[],COLUMN(AK$1)-COLUMN($A$1),FALSE)=0, VLOOKUP($D21, regions[], COLUMN(AK$1)-COLUMN($A$1), FALSE), VLOOKUP($A21,raw[],COLUMN(AK$1)-COLUMN($A$1),FALSE))</f>
        <v>1.2816495980247336E-3</v>
      </c>
      <c r="AK21" s="72">
        <f>IF(VLOOKUP($A21,raw[],COLUMN(AL$1)-COLUMN($A$1),FALSE)=0, VLOOKUP($D21, regions[], COLUMN(AL$1)-COLUMN($A$1), FALSE), VLOOKUP($A21,raw[],COLUMN(AL$1)-COLUMN($A$1),FALSE))</f>
        <v>1.766754144431473E-3</v>
      </c>
      <c r="AL21" s="72">
        <f>IF(VLOOKUP($A21,raw[],COLUMN(AM$1)-COLUMN($A$1),FALSE)=0, VLOOKUP($D21, regions[], COLUMN(AM$1)-COLUMN($A$1), FALSE), VLOOKUP($A21,raw[],COLUMN(AM$1)-COLUMN($A$1),FALSE))</f>
        <v>2.6319969899160373E-3</v>
      </c>
      <c r="AM21" s="72">
        <f>IF(VLOOKUP($A21,raw[],COLUMN(AN$1)-COLUMN($A$1),FALSE)=0, VLOOKUP($D21, regions[], COLUMN(AN$1)-COLUMN($A$1), FALSE), VLOOKUP($A21,raw[],COLUMN(AN$1)-COLUMN($A$1),FALSE))</f>
        <v>4.1280856784911306E-3</v>
      </c>
      <c r="AN21" s="72">
        <f>IF(VLOOKUP($A21,raw[],COLUMN(AO$1)-COLUMN($A$1),FALSE)=0, VLOOKUP($D21, regions[], COLUMN(AO$1)-COLUMN($A$1), FALSE), VLOOKUP($A21,raw[],COLUMN(AO$1)-COLUMN($A$1),FALSE))</f>
        <v>6.3780955172675919E-3</v>
      </c>
      <c r="AO21" s="72">
        <f>IF(VLOOKUP($A21,raw[],COLUMN(AP$1)-COLUMN($A$1),FALSE)=0, VLOOKUP($D21, regions[], COLUMN(AP$1)-COLUMN($A$1), FALSE), VLOOKUP($A21,raw[],COLUMN(AP$1)-COLUMN($A$1),FALSE))</f>
        <v>9.8315278107226102E-3</v>
      </c>
      <c r="AP21" s="72">
        <f>IF(VLOOKUP($A21,raw[],COLUMN(AQ$1)-COLUMN($A$1),FALSE)=0, VLOOKUP($D21, regions[], COLUMN(AQ$1)-COLUMN($A$1), FALSE), VLOOKUP($A21,raw[],COLUMN(AQ$1)-COLUMN($A$1),FALSE))</f>
        <v>1.5378905889861292E-2</v>
      </c>
      <c r="AQ21" s="72">
        <f>IF(VLOOKUP($A21,raw[],COLUMN(AR$1)-COLUMN($A$1),FALSE)=0, VLOOKUP($D21, regions[], COLUMN(AR$1)-COLUMN($A$1), FALSE), VLOOKUP($A21,raw[],COLUMN(AR$1)-COLUMN($A$1),FALSE))</f>
        <v>2.3843289182670511E-2</v>
      </c>
      <c r="AR21" s="72">
        <f>IF(VLOOKUP($A21,raw[],COLUMN(AS$1)-COLUMN($A$1),FALSE)=0, VLOOKUP($D21, regions[], COLUMN(AS$1)-COLUMN($A$1), FALSE), VLOOKUP($A21,raw[],COLUMN(AS$1)-COLUMN($A$1),FALSE))</f>
        <v>3.7230990810350639E-2</v>
      </c>
      <c r="AS21" s="72">
        <f>IF(VLOOKUP($A21,raw[],COLUMN(AT$1)-COLUMN($A$1),FALSE)=0, VLOOKUP($D21, regions[], COLUMN(AT$1)-COLUMN($A$1), FALSE), VLOOKUP($A21,raw[],COLUMN(AT$1)-COLUMN($A$1),FALSE))</f>
        <v>5.94463055539085E-2</v>
      </c>
      <c r="AT21" s="72">
        <f>IF(VLOOKUP($A21,raw[],COLUMN(AU$1)-COLUMN($A$1),FALSE)=0, VLOOKUP($D21, regions[], COLUMN(AU$1)-COLUMN($A$1), FALSE), VLOOKUP($A21,raw[],COLUMN(AU$1)-COLUMN($A$1),FALSE))</f>
        <v>8.8828317635577608E-2</v>
      </c>
      <c r="AU21" s="72">
        <f>IF(VLOOKUP($A21,raw[],COLUMN(AV$1)-COLUMN($A$1),FALSE)=0, VLOOKUP($D21, regions[], COLUMN(AV$1)-COLUMN($A$1), FALSE), VLOOKUP($A21,raw[],COLUMN(AV$1)-COLUMN($A$1),FALSE))</f>
        <v>0.11984598831744618</v>
      </c>
      <c r="AV21" s="72">
        <f>IF(VLOOKUP($A21,raw[],COLUMN(AW$1)-COLUMN($A$1),FALSE)=0, VLOOKUP($D21, regions[], COLUMN(AW$1)-COLUMN($A$1), FALSE), VLOOKUP($A21,raw[],COLUMN(AW$1)-COLUMN($A$1),FALSE))</f>
        <v>0.14998257302398399</v>
      </c>
      <c r="AW21" s="72">
        <f>IF(VLOOKUP($A21,raw[],COLUMN(AX$1)-COLUMN($A$1),FALSE)=0, VLOOKUP($D21, regions[], COLUMN(AX$1)-COLUMN($A$1), FALSE), VLOOKUP($A21,raw[],COLUMN(AX$1)-COLUMN($A$1),FALSE))</f>
        <v>0.1727976225444309</v>
      </c>
      <c r="AX21" s="72">
        <f>IF(VLOOKUP($A21,raw[],COLUMN(AY$1)-COLUMN($A$1),FALSE)=0, VLOOKUP($D21, regions[], COLUMN(AY$1)-COLUMN($A$1), FALSE), VLOOKUP($A21,raw[],COLUMN(AY$1)-COLUMN($A$1),FALSE))</f>
        <v>72.703000000000003</v>
      </c>
      <c r="AY21" t="str">
        <f t="shared" si="0"/>
        <v>No</v>
      </c>
    </row>
    <row r="22" spans="1:51" x14ac:dyDescent="0.25">
      <c r="A22" s="53" t="s">
        <v>258</v>
      </c>
      <c r="B22" s="54" t="s">
        <v>259</v>
      </c>
      <c r="C22" s="54">
        <v>116</v>
      </c>
      <c r="D22" s="54" t="s">
        <v>260</v>
      </c>
      <c r="E22" s="54" t="s">
        <v>261</v>
      </c>
      <c r="F22" s="54" t="s">
        <v>262</v>
      </c>
      <c r="G22" s="54" t="s">
        <v>212</v>
      </c>
      <c r="H22" s="73">
        <f>VLOOKUP(lmics[[#This Row],[setting]],raw[],8,FALSE)</f>
        <v>16718971.000000002</v>
      </c>
      <c r="I22" s="73">
        <f>VLOOKUP(lmics[[#This Row],[setting]],raw[],9,FALSE)</f>
        <v>379938.61597500008</v>
      </c>
      <c r="J22" s="67">
        <f>IF(VLOOKUP($A22,raw[],COLUMN(J$1),FALSE)=0, VLOOKUP($D22, regions[], COLUMN(J$1), FALSE), VLOOKUP($A22,raw[],COLUMN(J$1),FALSE))</f>
        <v>0.83200000000000007</v>
      </c>
      <c r="K22" s="77">
        <f>VLOOKUP($A22, raw[], 11, FALSE)</f>
        <v>0.94</v>
      </c>
      <c r="L22" s="77">
        <f>VLOOKUP($A22, raw[], 12, FALSE)</f>
        <v>0.92</v>
      </c>
      <c r="M22" s="77">
        <f>IF(VLOOKUP($A22,raw[],COLUMN(M$1),FALSE)=0, VLOOKUP($D22, regions[], COLUMN(M$1), FALSE), VLOOKUP($A22,raw[],COLUMN(M$1),FALSE))</f>
        <v>4.0999999999999995E-2</v>
      </c>
      <c r="N22" s="68">
        <f>IF(VLOOKUP($A22,raw[],COLUMN(N$1),FALSE)=0, VLOOKUP($D22, regions[], COLUMN(N$1), FALSE), VLOOKUP($A22,raw[],COLUMN(N$1),FALSE))</f>
        <v>0.34253523319202128</v>
      </c>
      <c r="O22" s="67">
        <f>IF(VLOOKUP($A22,raw[],COLUMN(O$1),FALSE)=0, VLOOKUP($D22, regions[], COLUMN(O$1), FALSE), VLOOKUP($A22,raw[],COLUMN(O$1),FALSE))</f>
        <v>0.8</v>
      </c>
      <c r="P22" s="68">
        <f>IF(VLOOKUP($A22,raw[],COLUMN(P$1),FALSE)=0, VLOOKUP($D22, regions[], COLUMN(P$1), FALSE), VLOOKUP($A22,raw[],COLUMN(P$1),FALSE))</f>
        <v>0.17499999999999999</v>
      </c>
      <c r="Q22" s="70">
        <f>IF(VLOOKUP($A22,raw[],COLUMN(Q$1),FALSE)=0, VLOOKUP($D22, regions[], COLUMN(Q$1), FALSE), VLOOKUP($A22,raw[],COLUMN(Q$1),FALSE))</f>
        <v>3.3202537063655004</v>
      </c>
      <c r="R22" s="70">
        <f>IF(VLOOKUP($A22,raw[],COLUMN(R$1),FALSE)=0, VLOOKUP($D22, regions[], COLUMN(R$1), FALSE), VLOOKUP($A22,raw[],COLUMN(R$1),FALSE))</f>
        <v>25.645633706365501</v>
      </c>
      <c r="S22" s="70">
        <f>IF(VLOOKUP($A22,raw[],COLUMN(S$1),FALSE)=0, VLOOKUP($D22, regions[], COLUMN(S$1), FALSE), VLOOKUP($A22,raw[],COLUMN(S$1),FALSE))</f>
        <v>57.441657707732055</v>
      </c>
      <c r="T22" s="70">
        <f>IF(VLOOKUP($A22,raw[],COLUMN(U$1)-COLUMN($A$1),FALSE)=0, VLOOKUP($D22, regions[], COLUMN(U$1)-COLUMN($A$1), FALSE), VLOOKUP($A22,raw[],COLUMN(U$1)-COLUMN($A$1),FALSE))</f>
        <v>58.782388165448587</v>
      </c>
      <c r="U22" s="70">
        <f>IF(VLOOKUP($A22,raw[],COLUMN(V$1)-COLUMN($A$1),FALSE)=0, VLOOKUP($D22, regions[], COLUMN(V$1)-COLUMN($A$1), FALSE), VLOOKUP($A22,raw[],COLUMN(V$1)-COLUMN($A$1),FALSE))</f>
        <v>58.166753078696722</v>
      </c>
      <c r="V22" s="70">
        <f>IF(VLOOKUP($A22,raw[],COLUMN(W$1)-COLUMN($A$1),FALSE)=0, VLOOKUP($D22, regions[], COLUMN(W$1)-COLUMN($A$1), FALSE), VLOOKUP($A22,raw[],COLUMN(W$1)-COLUMN($A$1),FALSE))</f>
        <v>3.0769329395417069</v>
      </c>
      <c r="W22" s="70">
        <f>IF(VLOOKUP($A22,raw[],COLUMN(X$1)-COLUMN($A$1),FALSE)=0, VLOOKUP($D22, regions[], COLUMN(X$1)-COLUMN($A$1), FALSE), VLOOKUP($A22,raw[],COLUMN(X$1)-COLUMN($A$1),FALSE))</f>
        <v>3.7069329395417068</v>
      </c>
      <c r="X22" s="70">
        <f>IF(VLOOKUP($A22,raw[],COLUMN(Y$1)-COLUMN($A$1),FALSE)=0, VLOOKUP($D22, regions[], COLUMN(Y$1)-COLUMN($A$1), FALSE), VLOOKUP($A22,raw[],COLUMN(Y$1)-COLUMN($A$1),FALSE))</f>
        <v>2.6669097703049065</v>
      </c>
      <c r="Y22" s="70">
        <f>IF(VLOOKUP($A22,raw[],COLUMN(Z$1)-COLUMN($A$1),FALSE)=0, VLOOKUP($D22, regions[], COLUMN(Z$1)-COLUMN($A$1), FALSE), VLOOKUP($A22,raw[],COLUMN(Z$1)-COLUMN($A$1),FALSE))</f>
        <v>3.2969097703049064</v>
      </c>
      <c r="Z22" s="70">
        <f>IF(VLOOKUP($A22,raw[],COLUMN(AA$1)-COLUMN($A$1),FALSE)=0, VLOOKUP($D22, regions[], COLUMN(AA$1)-COLUMN($A$1), FALSE), VLOOKUP($A22,raw[],COLUMN(AA$1)-COLUMN($A$1),FALSE))</f>
        <v>3.29329314309539</v>
      </c>
      <c r="AA22" s="70">
        <f>IF(VLOOKUP($A22,raw[],COLUMN(AB$1)-COLUMN($A$1),FALSE)=0, VLOOKUP($D22, regions[], COLUMN(AB$1)-COLUMN($A$1), FALSE), VLOOKUP($A22,raw[],COLUMN(AB$1)-COLUMN($A$1),FALSE))</f>
        <v>3.2818750395023719</v>
      </c>
      <c r="AB22" s="70">
        <f>IF(VLOOKUP($A22,raw[],COLUMN(AC$1)-COLUMN($A$1),FALSE)=0, VLOOKUP($D22, regions[], COLUMN(AC$1)-COLUMN($A$1), FALSE), VLOOKUP($A22,raw[],COLUMN(AC$1)-COLUMN($A$1),FALSE))</f>
        <v>3.9118750395023718</v>
      </c>
      <c r="AC22" s="72">
        <f>IF(VLOOKUP($A22,raw[],COLUMN(AD$1)-COLUMN($A$1),FALSE)=0, VLOOKUP($D22, regions[], COLUMN(AD$1)-COLUMN($A$1), FALSE), VLOOKUP($A22,raw[],COLUMN(AD$1)-COLUMN($A$1),FALSE))</f>
        <v>2.3772909999999974E-2</v>
      </c>
      <c r="AD22" s="72">
        <f>IF(VLOOKUP($A22,raw[],COLUMN(AE$1)-COLUMN($A$1),FALSE)=0, VLOOKUP($D22, regions[], COLUMN(AE$1)-COLUMN($A$1), FALSE), VLOOKUP($A22,raw[],COLUMN(AE$1)-COLUMN($A$1),FALSE))</f>
        <v>9.7424053249741489E-4</v>
      </c>
      <c r="AE22" s="72">
        <f>IF(VLOOKUP($A22,raw[],COLUMN(AF$1)-COLUMN($A$1),FALSE)=0, VLOOKUP($D22, regions[], COLUMN(AF$1)-COLUMN($A$1), FALSE), VLOOKUP($A22,raw[],COLUMN(AF$1)-COLUMN($A$1),FALSE))</f>
        <v>1.6717461274585335E-3</v>
      </c>
      <c r="AF22" s="72">
        <f>IF(VLOOKUP($A22,raw[],COLUMN(AG$1)-COLUMN($A$1),FALSE)=0, VLOOKUP($D22, regions[], COLUMN(AG$1)-COLUMN($A$1), FALSE), VLOOKUP($A22,raw[],COLUMN(AG$1)-COLUMN($A$1),FALSE))</f>
        <v>1.194425499967817E-3</v>
      </c>
      <c r="AG22" s="72">
        <f>IF(VLOOKUP($A22,raw[],COLUMN(AH$1)-COLUMN($A$1),FALSE)=0, VLOOKUP($D22, regions[], COLUMN(AH$1)-COLUMN($A$1), FALSE), VLOOKUP($A22,raw[],COLUMN(AH$1)-COLUMN($A$1),FALSE))</f>
        <v>1.1093254475269168E-3</v>
      </c>
      <c r="AH22" s="72">
        <f>IF(VLOOKUP($A22,raw[],COLUMN(AI$1)-COLUMN($A$1),FALSE)=0, VLOOKUP($D22, regions[], COLUMN(AI$1)-COLUMN($A$1), FALSE), VLOOKUP($A22,raw[],COLUMN(AI$1)-COLUMN($A$1),FALSE))</f>
        <v>1.3370400435358479E-3</v>
      </c>
      <c r="AI22" s="72">
        <f>IF(VLOOKUP($A22,raw[],COLUMN(AJ$1)-COLUMN($A$1),FALSE)=0, VLOOKUP($D22, regions[], COLUMN(AJ$1)-COLUMN($A$1), FALSE), VLOOKUP($A22,raw[],COLUMN(AJ$1)-COLUMN($A$1),FALSE))</f>
        <v>1.8276034080960189E-3</v>
      </c>
      <c r="AJ22" s="72">
        <f>IF(VLOOKUP($A22,raw[],COLUMN(AK$1)-COLUMN($A$1),FALSE)=0, VLOOKUP($D22, regions[], COLUMN(AK$1)-COLUMN($A$1), FALSE), VLOOKUP($A22,raw[],COLUMN(AK$1)-COLUMN($A$1),FALSE))</f>
        <v>2.4019140769418047E-3</v>
      </c>
      <c r="AK22" s="72">
        <f>IF(VLOOKUP($A22,raw[],COLUMN(AL$1)-COLUMN($A$1),FALSE)=0, VLOOKUP($D22, regions[], COLUMN(AL$1)-COLUMN($A$1), FALSE), VLOOKUP($A22,raw[],COLUMN(AL$1)-COLUMN($A$1),FALSE))</f>
        <v>3.1654986404268596E-3</v>
      </c>
      <c r="AL22" s="72">
        <f>IF(VLOOKUP($A22,raw[],COLUMN(AM$1)-COLUMN($A$1),FALSE)=0, VLOOKUP($D22, regions[], COLUMN(AM$1)-COLUMN($A$1), FALSE), VLOOKUP($A22,raw[],COLUMN(AM$1)-COLUMN($A$1),FALSE))</f>
        <v>4.0670161869690961E-3</v>
      </c>
      <c r="AM22" s="72">
        <f>IF(VLOOKUP($A22,raw[],COLUMN(AN$1)-COLUMN($A$1),FALSE)=0, VLOOKUP($D22, regions[], COLUMN(AN$1)-COLUMN($A$1), FALSE), VLOOKUP($A22,raw[],COLUMN(AN$1)-COLUMN($A$1),FALSE))</f>
        <v>5.1147043764609547E-3</v>
      </c>
      <c r="AN22" s="72">
        <f>IF(VLOOKUP($A22,raw[],COLUMN(AO$1)-COLUMN($A$1),FALSE)=0, VLOOKUP($D22, regions[], COLUMN(AO$1)-COLUMN($A$1), FALSE), VLOOKUP($A22,raw[],COLUMN(AO$1)-COLUMN($A$1),FALSE))</f>
        <v>6.6590983524453693E-3</v>
      </c>
      <c r="AO22" s="72">
        <f>IF(VLOOKUP($A22,raw[],COLUMN(AP$1)-COLUMN($A$1),FALSE)=0, VLOOKUP($D22, regions[], COLUMN(AP$1)-COLUMN($A$1), FALSE), VLOOKUP($A22,raw[],COLUMN(AP$1)-COLUMN($A$1),FALSE))</f>
        <v>1.0262420003263018E-2</v>
      </c>
      <c r="AP22" s="72">
        <f>IF(VLOOKUP($A22,raw[],COLUMN(AQ$1)-COLUMN($A$1),FALSE)=0, VLOOKUP($D22, regions[], COLUMN(AQ$1)-COLUMN($A$1), FALSE), VLOOKUP($A22,raw[],COLUMN(AQ$1)-COLUMN($A$1),FALSE))</f>
        <v>1.7905784673707129E-2</v>
      </c>
      <c r="AQ22" s="72">
        <f>IF(VLOOKUP($A22,raw[],COLUMN(AR$1)-COLUMN($A$1),FALSE)=0, VLOOKUP($D22, regions[], COLUMN(AR$1)-COLUMN($A$1), FALSE), VLOOKUP($A22,raw[],COLUMN(AR$1)-COLUMN($A$1),FALSE))</f>
        <v>2.7932062680663994E-2</v>
      </c>
      <c r="AR22" s="72">
        <f>IF(VLOOKUP($A22,raw[],COLUMN(AS$1)-COLUMN($A$1),FALSE)=0, VLOOKUP($D22, regions[], COLUMN(AS$1)-COLUMN($A$1), FALSE), VLOOKUP($A22,raw[],COLUMN(AS$1)-COLUMN($A$1),FALSE))</f>
        <v>4.4392905636891383E-2</v>
      </c>
      <c r="AS22" s="72">
        <f>IF(VLOOKUP($A22,raw[],COLUMN(AT$1)-COLUMN($A$1),FALSE)=0, VLOOKUP($D22, regions[], COLUMN(AT$1)-COLUMN($A$1), FALSE), VLOOKUP($A22,raw[],COLUMN(AT$1)-COLUMN($A$1),FALSE))</f>
        <v>6.773773252768292E-2</v>
      </c>
      <c r="AT22" s="72">
        <f>IF(VLOOKUP($A22,raw[],COLUMN(AU$1)-COLUMN($A$1),FALSE)=0, VLOOKUP($D22, regions[], COLUMN(AU$1)-COLUMN($A$1), FALSE), VLOOKUP($A22,raw[],COLUMN(AU$1)-COLUMN($A$1),FALSE))</f>
        <v>9.5873096646979544E-2</v>
      </c>
      <c r="AU22" s="72">
        <f>IF(VLOOKUP($A22,raw[],COLUMN(AV$1)-COLUMN($A$1),FALSE)=0, VLOOKUP($D22, regions[], COLUMN(AV$1)-COLUMN($A$1), FALSE), VLOOKUP($A22,raw[],COLUMN(AV$1)-COLUMN($A$1),FALSE))</f>
        <v>0.12561634576764696</v>
      </c>
      <c r="AV22" s="72">
        <f>IF(VLOOKUP($A22,raw[],COLUMN(AW$1)-COLUMN($A$1),FALSE)=0, VLOOKUP($D22, regions[], COLUMN(AW$1)-COLUMN($A$1), FALSE), VLOOKUP($A22,raw[],COLUMN(AW$1)-COLUMN($A$1),FALSE))</f>
        <v>0.15292352428423295</v>
      </c>
      <c r="AW22" s="72">
        <f>IF(VLOOKUP($A22,raw[],COLUMN(AX$1)-COLUMN($A$1),FALSE)=0, VLOOKUP($D22, regions[], COLUMN(AX$1)-COLUMN($A$1), FALSE), VLOOKUP($A22,raw[],COLUMN(AX$1)-COLUMN($A$1),FALSE))</f>
        <v>0.17773889336070817</v>
      </c>
      <c r="AX22" s="72">
        <f>IF(VLOOKUP($A22,raw[],COLUMN(AY$1)-COLUMN($A$1),FALSE)=0, VLOOKUP($D22, regions[], COLUMN(AY$1)-COLUMN($A$1), FALSE), VLOOKUP($A22,raw[],COLUMN(AY$1)-COLUMN($A$1),FALSE))</f>
        <v>69.435000000000002</v>
      </c>
      <c r="AY22" t="str">
        <f t="shared" si="0"/>
        <v>No</v>
      </c>
    </row>
    <row r="23" spans="1:51" x14ac:dyDescent="0.25">
      <c r="A23" s="55" t="s">
        <v>263</v>
      </c>
      <c r="B23" s="56" t="s">
        <v>264</v>
      </c>
      <c r="C23" s="56">
        <v>120</v>
      </c>
      <c r="D23" s="56" t="s">
        <v>207</v>
      </c>
      <c r="E23" s="56" t="s">
        <v>235</v>
      </c>
      <c r="F23" s="56" t="s">
        <v>211</v>
      </c>
      <c r="G23" s="56" t="s">
        <v>212</v>
      </c>
      <c r="H23" s="74">
        <f>VLOOKUP(lmics[[#This Row],[setting]],raw[],8,FALSE)</f>
        <v>26545864</v>
      </c>
      <c r="I23" s="74">
        <f>VLOOKUP(lmics[[#This Row],[setting]],raw[],9,FALSE)</f>
        <v>945271.67117600015</v>
      </c>
      <c r="J23" s="67">
        <f>IF(VLOOKUP($A23,raw[],COLUMN(J$1),FALSE)=0, VLOOKUP($D23, regions[], COLUMN(J$1), FALSE), VLOOKUP($A23,raw[],COLUMN(J$1),FALSE))</f>
        <v>0.67</v>
      </c>
      <c r="K23" s="77">
        <f>VLOOKUP($A23, raw[], 11, FALSE)</f>
        <v>0</v>
      </c>
      <c r="L23" s="77">
        <f>VLOOKUP($A23, raw[], 12, FALSE)</f>
        <v>0.69</v>
      </c>
      <c r="M23" s="77">
        <f>IF(VLOOKUP($A23,raw[],COLUMN(M$1),FALSE)=0, VLOOKUP($D23, regions[], COLUMN(M$1), FALSE), VLOOKUP($A23,raw[],COLUMN(M$1),FALSE))</f>
        <v>6.6199999999999995E-2</v>
      </c>
      <c r="N23" s="68">
        <f>IF(VLOOKUP($A23,raw[],COLUMN(N$1),FALSE)=0, VLOOKUP($D23, regions[], COLUMN(N$1), FALSE), VLOOKUP($A23,raw[],COLUMN(N$1),FALSE))</f>
        <v>0.29497789261106083</v>
      </c>
      <c r="O23" s="67">
        <f>IF(VLOOKUP($A23,raw[],COLUMN(O$1),FALSE)=0, VLOOKUP($D23, regions[], COLUMN(O$1), FALSE), VLOOKUP($A23,raw[],COLUMN(O$1),FALSE))</f>
        <v>0.38300000000000001</v>
      </c>
      <c r="P23" s="68">
        <f>IF(VLOOKUP($A23,raw[],COLUMN(P$1),FALSE)=0, VLOOKUP($D23, regions[], COLUMN(P$1), FALSE), VLOOKUP($A23,raw[],COLUMN(P$1),FALSE))</f>
        <v>4.8000000000000001E-2</v>
      </c>
      <c r="Q23" s="70">
        <f>IF(VLOOKUP($A23,raw[],COLUMN(Q$1),FALSE)=0, VLOOKUP($D23, regions[], COLUMN(Q$1), FALSE), VLOOKUP($A23,raw[],COLUMN(Q$1),FALSE))</f>
        <v>3.9143565443425103</v>
      </c>
      <c r="R23" s="70">
        <f>IF(VLOOKUP($A23,raw[],COLUMN(R$1),FALSE)=0, VLOOKUP($D23, regions[], COLUMN(R$1), FALSE), VLOOKUP($A23,raw[],COLUMN(R$1),FALSE))</f>
        <v>26.239736544342513</v>
      </c>
      <c r="S23" s="70">
        <f>IF(VLOOKUP($A23,raw[],COLUMN(S$1),FALSE)=0, VLOOKUP($D23, regions[], COLUMN(S$1), FALSE), VLOOKUP($A23,raw[],COLUMN(S$1),FALSE))</f>
        <v>59.144253215847812</v>
      </c>
      <c r="T23" s="70">
        <f>IF(VLOOKUP($A23,raw[],COLUMN(U$1)-COLUMN($A$1),FALSE)=0, VLOOKUP($D23, regions[], COLUMN(U$1)-COLUMN($A$1), FALSE), VLOOKUP($A23,raw[],COLUMN(U$1)-COLUMN($A$1),FALSE))</f>
        <v>61.061915365280782</v>
      </c>
      <c r="U23" s="70">
        <f>IF(VLOOKUP($A23,raw[],COLUMN(V$1)-COLUMN($A$1),FALSE)=0, VLOOKUP($D23, regions[], COLUMN(V$1)-COLUMN($A$1), FALSE), VLOOKUP($A23,raw[],COLUMN(V$1)-COLUMN($A$1),FALSE))</f>
        <v>60.18136544047514</v>
      </c>
      <c r="V23" s="70">
        <f>IF(VLOOKUP($A23,raw[],COLUMN(W$1)-COLUMN($A$1),FALSE)=0, VLOOKUP($D23, regions[], COLUMN(W$1)-COLUMN($A$1), FALSE), VLOOKUP($A23,raw[],COLUMN(W$1)-COLUMN($A$1),FALSE))</f>
        <v>2.0178320777930754</v>
      </c>
      <c r="W23" s="70">
        <f>IF(VLOOKUP($A23,raw[],COLUMN(X$1)-COLUMN($A$1),FALSE)=0, VLOOKUP($D23, regions[], COLUMN(X$1)-COLUMN($A$1), FALSE), VLOOKUP($A23,raw[],COLUMN(X$1)-COLUMN($A$1),FALSE))</f>
        <v>6.8478320777930755</v>
      </c>
      <c r="X23" s="70">
        <f>IF(VLOOKUP($A23,raw[],COLUMN(Y$1)-COLUMN($A$1),FALSE)=0, VLOOKUP($D23, regions[], COLUMN(Y$1)-COLUMN($A$1), FALSE), VLOOKUP($A23,raw[],COLUMN(Y$1)-COLUMN($A$1),FALSE))</f>
        <v>1.6065239891468417</v>
      </c>
      <c r="Y23" s="70">
        <f>IF(VLOOKUP($A23,raw[],COLUMN(Z$1)-COLUMN($A$1),FALSE)=0, VLOOKUP($D23, regions[], COLUMN(Z$1)-COLUMN($A$1), FALSE), VLOOKUP($A23,raw[],COLUMN(Z$1)-COLUMN($A$1),FALSE))</f>
        <v>6.436523989146842</v>
      </c>
      <c r="Z23" s="70">
        <f>IF(VLOOKUP($A23,raw[],COLUMN(AA$1)-COLUMN($A$1),FALSE)=0, VLOOKUP($D23, regions[], COLUMN(AA$1)-COLUMN($A$1), FALSE), VLOOKUP($A23,raw[],COLUMN(AA$1)-COLUMN($A$1),FALSE))</f>
        <v>6.4317567369108488</v>
      </c>
      <c r="AA23" s="70">
        <f>IF(VLOOKUP($A23,raw[],COLUMN(AB$1)-COLUMN($A$1),FALSE)=0, VLOOKUP($D23, regions[], COLUMN(AB$1)-COLUMN($A$1), FALSE), VLOOKUP($A23,raw[],COLUMN(AB$1)-COLUMN($A$1),FALSE))</f>
        <v>2.2232322794562345</v>
      </c>
      <c r="AB23" s="70">
        <f>IF(VLOOKUP($A23,raw[],COLUMN(AC$1)-COLUMN($A$1),FALSE)=0, VLOOKUP($D23, regions[], COLUMN(AC$1)-COLUMN($A$1), FALSE), VLOOKUP($A23,raw[],COLUMN(AC$1)-COLUMN($A$1),FALSE))</f>
        <v>7.0532322794562345</v>
      </c>
      <c r="AC23" s="72">
        <f>IF(VLOOKUP($A23,raw[],COLUMN(AD$1)-COLUMN($A$1),FALSE)=0, VLOOKUP($D23, regions[], COLUMN(AD$1)-COLUMN($A$1), FALSE), VLOOKUP($A23,raw[],COLUMN(AD$1)-COLUMN($A$1),FALSE))</f>
        <v>6.119441000000006E-2</v>
      </c>
      <c r="AD23" s="72">
        <f>IF(VLOOKUP($A23,raw[],COLUMN(AE$1)-COLUMN($A$1),FALSE)=0, VLOOKUP($D23, regions[], COLUMN(AE$1)-COLUMN($A$1), FALSE), VLOOKUP($A23,raw[],COLUMN(AE$1)-COLUMN($A$1),FALSE))</f>
        <v>7.2176258558494548E-3</v>
      </c>
      <c r="AE23" s="72">
        <f>IF(VLOOKUP($A23,raw[],COLUMN(AF$1)-COLUMN($A$1),FALSE)=0, VLOOKUP($D23, regions[], COLUMN(AF$1)-COLUMN($A$1), FALSE), VLOOKUP($A23,raw[],COLUMN(AF$1)-COLUMN($A$1),FALSE))</f>
        <v>2.6275587039534072E-3</v>
      </c>
      <c r="AF23" s="72">
        <f>IF(VLOOKUP($A23,raw[],COLUMN(AG$1)-COLUMN($A$1),FALSE)=0, VLOOKUP($D23, regions[], COLUMN(AG$1)-COLUMN($A$1), FALSE), VLOOKUP($A23,raw[],COLUMN(AG$1)-COLUMN($A$1),FALSE))</f>
        <v>1.7924673681891632E-3</v>
      </c>
      <c r="AG23" s="72">
        <f>IF(VLOOKUP($A23,raw[],COLUMN(AH$1)-COLUMN($A$1),FALSE)=0, VLOOKUP($D23, regions[], COLUMN(AH$1)-COLUMN($A$1), FALSE), VLOOKUP($A23,raw[],COLUMN(AH$1)-COLUMN($A$1),FALSE))</f>
        <v>2.6749331320549278E-3</v>
      </c>
      <c r="AH23" s="72">
        <f>IF(VLOOKUP($A23,raw[],COLUMN(AI$1)-COLUMN($A$1),FALSE)=0, VLOOKUP($D23, regions[], COLUMN(AI$1)-COLUMN($A$1), FALSE), VLOOKUP($A23,raw[],COLUMN(AI$1)-COLUMN($A$1),FALSE))</f>
        <v>3.8411895876434422E-3</v>
      </c>
      <c r="AI23" s="72">
        <f>IF(VLOOKUP($A23,raw[],COLUMN(AJ$1)-COLUMN($A$1),FALSE)=0, VLOOKUP($D23, regions[], COLUMN(AJ$1)-COLUMN($A$1), FALSE), VLOOKUP($A23,raw[],COLUMN(AJ$1)-COLUMN($A$1),FALSE))</f>
        <v>4.5577375755387209E-3</v>
      </c>
      <c r="AJ23" s="72">
        <f>IF(VLOOKUP($A23,raw[],COLUMN(AK$1)-COLUMN($A$1),FALSE)=0, VLOOKUP($D23, regions[], COLUMN(AK$1)-COLUMN($A$1), FALSE), VLOOKUP($A23,raw[],COLUMN(AK$1)-COLUMN($A$1),FALSE))</f>
        <v>5.3565303343789759E-3</v>
      </c>
      <c r="AK23" s="72">
        <f>IF(VLOOKUP($A23,raw[],COLUMN(AL$1)-COLUMN($A$1),FALSE)=0, VLOOKUP($D23, regions[], COLUMN(AL$1)-COLUMN($A$1), FALSE), VLOOKUP($A23,raw[],COLUMN(AL$1)-COLUMN($A$1),FALSE))</f>
        <v>6.4853402754334391E-3</v>
      </c>
      <c r="AL23" s="72">
        <f>IF(VLOOKUP($A23,raw[],COLUMN(AM$1)-COLUMN($A$1),FALSE)=0, VLOOKUP($D23, regions[], COLUMN(AM$1)-COLUMN($A$1), FALSE), VLOOKUP($A23,raw[],COLUMN(AM$1)-COLUMN($A$1),FALSE))</f>
        <v>7.9277310419522892E-3</v>
      </c>
      <c r="AM23" s="72">
        <f>IF(VLOOKUP($A23,raw[],COLUMN(AN$1)-COLUMN($A$1),FALSE)=0, VLOOKUP($D23, regions[], COLUMN(AN$1)-COLUMN($A$1), FALSE), VLOOKUP($A23,raw[],COLUMN(AN$1)-COLUMN($A$1),FALSE))</f>
        <v>9.6224058705783044E-3</v>
      </c>
      <c r="AN23" s="72">
        <f>IF(VLOOKUP($A23,raw[],COLUMN(AO$1)-COLUMN($A$1),FALSE)=0, VLOOKUP($D23, regions[], COLUMN(AO$1)-COLUMN($A$1), FALSE), VLOOKUP($A23,raw[],COLUMN(AO$1)-COLUMN($A$1),FALSE))</f>
        <v>1.2983774435845554E-2</v>
      </c>
      <c r="AO23" s="72">
        <f>IF(VLOOKUP($A23,raw[],COLUMN(AP$1)-COLUMN($A$1),FALSE)=0, VLOOKUP($D23, regions[], COLUMN(AP$1)-COLUMN($A$1), FALSE), VLOOKUP($A23,raw[],COLUMN(AP$1)-COLUMN($A$1),FALSE))</f>
        <v>1.6929201860546864E-2</v>
      </c>
      <c r="AP23" s="72">
        <f>IF(VLOOKUP($A23,raw[],COLUMN(AQ$1)-COLUMN($A$1),FALSE)=0, VLOOKUP($D23, regions[], COLUMN(AQ$1)-COLUMN($A$1), FALSE), VLOOKUP($A23,raw[],COLUMN(AQ$1)-COLUMN($A$1),FALSE))</f>
        <v>2.4637086454959319E-2</v>
      </c>
      <c r="AQ23" s="72">
        <f>IF(VLOOKUP($A23,raw[],COLUMN(AR$1)-COLUMN($A$1),FALSE)=0, VLOOKUP($D23, regions[], COLUMN(AR$1)-COLUMN($A$1), FALSE), VLOOKUP($A23,raw[],COLUMN(AR$1)-COLUMN($A$1),FALSE))</f>
        <v>3.6873179579201235E-2</v>
      </c>
      <c r="AR23" s="72">
        <f>IF(VLOOKUP($A23,raw[],COLUMN(AS$1)-COLUMN($A$1),FALSE)=0, VLOOKUP($D23, regions[], COLUMN(AS$1)-COLUMN($A$1), FALSE), VLOOKUP($A23,raw[],COLUMN(AS$1)-COLUMN($A$1),FALSE))</f>
        <v>5.5759166911210051E-2</v>
      </c>
      <c r="AS23" s="72">
        <f>IF(VLOOKUP($A23,raw[],COLUMN(AT$1)-COLUMN($A$1),FALSE)=0, VLOOKUP($D23, regions[], COLUMN(AT$1)-COLUMN($A$1), FALSE), VLOOKUP($A23,raw[],COLUMN(AT$1)-COLUMN($A$1),FALSE))</f>
        <v>8.2609444240637903E-2</v>
      </c>
      <c r="AT23" s="72">
        <f>IF(VLOOKUP($A23,raw[],COLUMN(AU$1)-COLUMN($A$1),FALSE)=0, VLOOKUP($D23, regions[], COLUMN(AU$1)-COLUMN($A$1), FALSE), VLOOKUP($A23,raw[],COLUMN(AU$1)-COLUMN($A$1),FALSE))</f>
        <v>0.11878660513009633</v>
      </c>
      <c r="AU23" s="72">
        <f>IF(VLOOKUP($A23,raw[],COLUMN(AV$1)-COLUMN($A$1),FALSE)=0, VLOOKUP($D23, regions[], COLUMN(AV$1)-COLUMN($A$1), FALSE), VLOOKUP($A23,raw[],COLUMN(AV$1)-COLUMN($A$1),FALSE))</f>
        <v>0.15675453059100936</v>
      </c>
      <c r="AV23" s="72">
        <f>IF(VLOOKUP($A23,raw[],COLUMN(AW$1)-COLUMN($A$1),FALSE)=0, VLOOKUP($D23, regions[], COLUMN(AW$1)-COLUMN($A$1), FALSE), VLOOKUP($A23,raw[],COLUMN(AW$1)-COLUMN($A$1),FALSE))</f>
        <v>0.18387036190936415</v>
      </c>
      <c r="AW23" s="72">
        <f>IF(VLOOKUP($A23,raw[],COLUMN(AX$1)-COLUMN($A$1),FALSE)=0, VLOOKUP($D23, regions[], COLUMN(AX$1)-COLUMN($A$1), FALSE), VLOOKUP($A23,raw[],COLUMN(AX$1)-COLUMN($A$1),FALSE))</f>
        <v>0.18995136782086644</v>
      </c>
      <c r="AX23" s="72">
        <f>IF(VLOOKUP($A23,raw[],COLUMN(AY$1)-COLUMN($A$1),FALSE)=0, VLOOKUP($D23, regions[], COLUMN(AY$1)-COLUMN($A$1), FALSE), VLOOKUP($A23,raw[],COLUMN(AY$1)-COLUMN($A$1),FALSE))</f>
        <v>58.771999999999998</v>
      </c>
      <c r="AY23" t="str">
        <f t="shared" si="0"/>
        <v>Yes</v>
      </c>
    </row>
    <row r="24" spans="1:51" x14ac:dyDescent="0.25">
      <c r="A24" s="53" t="s">
        <v>265</v>
      </c>
      <c r="B24" s="54" t="s">
        <v>266</v>
      </c>
      <c r="C24" s="54">
        <v>140</v>
      </c>
      <c r="D24" s="54" t="s">
        <v>207</v>
      </c>
      <c r="E24" s="54" t="s">
        <v>210</v>
      </c>
      <c r="F24" s="54" t="s">
        <v>211</v>
      </c>
      <c r="G24" s="54" t="s">
        <v>198</v>
      </c>
      <c r="H24" s="73">
        <f>VLOOKUP(lmics[[#This Row],[setting]],raw[],8,FALSE)</f>
        <v>4829764</v>
      </c>
      <c r="I24" s="73">
        <f>VLOOKUP(lmics[[#This Row],[setting]],raw[],9,FALSE)</f>
        <v>171021.94323999999</v>
      </c>
      <c r="J24" s="67">
        <f>IF(VLOOKUP($A24,raw[],COLUMN(J$1),FALSE)=0, VLOOKUP($D24, regions[], COLUMN(J$1), FALSE), VLOOKUP($A24,raw[],COLUMN(J$1),FALSE))</f>
        <v>0.52500000000000002</v>
      </c>
      <c r="K24" s="77">
        <f>VLOOKUP($A24, raw[], 11, FALSE)</f>
        <v>0</v>
      </c>
      <c r="L24" s="77">
        <f>VLOOKUP($A24, raw[], 12, FALSE)</f>
        <v>0.42</v>
      </c>
      <c r="M24" s="77">
        <f>IF(VLOOKUP($A24,raw[],COLUMN(M$1),FALSE)=0, VLOOKUP($D24, regions[], COLUMN(M$1), FALSE), VLOOKUP($A24,raw[],COLUMN(M$1),FALSE))</f>
        <v>7.5700000000000003E-2</v>
      </c>
      <c r="N24" s="68">
        <f>IF(VLOOKUP($A24,raw[],COLUMN(N$1),FALSE)=0, VLOOKUP($D24, regions[], COLUMN(N$1), FALSE), VLOOKUP($A24,raw[],COLUMN(N$1),FALSE))</f>
        <v>0.29820485243263806</v>
      </c>
      <c r="O24" s="67">
        <f>IF(VLOOKUP($A24,raw[],COLUMN(O$1),FALSE)=0, VLOOKUP($D24, regions[], COLUMN(O$1), FALSE), VLOOKUP($A24,raw[],COLUMN(O$1),FALSE))</f>
        <v>0.38300000000000001</v>
      </c>
      <c r="P24" s="68">
        <f>IF(VLOOKUP($A24,raw[],COLUMN(P$1),FALSE)=0, VLOOKUP($D24, regions[], COLUMN(P$1), FALSE), VLOOKUP($A24,raw[],COLUMN(P$1),FALSE))</f>
        <v>4.8000000000000001E-2</v>
      </c>
      <c r="Q24" s="70">
        <f>IF(VLOOKUP($A24,raw[],COLUMN(Q$1),FALSE)=0, VLOOKUP($D24, regions[], COLUMN(Q$1), FALSE), VLOOKUP($A24,raw[],COLUMN(Q$1),FALSE))</f>
        <v>2.8842403697478991</v>
      </c>
      <c r="R24" s="70">
        <f>IF(VLOOKUP($A24,raw[],COLUMN(R$1),FALSE)=0, VLOOKUP($D24, regions[], COLUMN(R$1), FALSE), VLOOKUP($A24,raw[],COLUMN(R$1),FALSE))</f>
        <v>25.209620369747903</v>
      </c>
      <c r="S24" s="70">
        <f>IF(VLOOKUP($A24,raw[],COLUMN(S$1),FALSE)=0, VLOOKUP($D24, regions[], COLUMN(S$1), FALSE), VLOOKUP($A24,raw[],COLUMN(S$1),FALSE))</f>
        <v>55.592546177764042</v>
      </c>
      <c r="T24" s="70">
        <f>IF(VLOOKUP($A24,raw[],COLUMN(U$1)-COLUMN($A$1),FALSE)=0, VLOOKUP($D24, regions[], COLUMN(U$1)-COLUMN($A$1), FALSE), VLOOKUP($A24,raw[],COLUMN(U$1)-COLUMN($A$1),FALSE))</f>
        <v>56.197808415245035</v>
      </c>
      <c r="U24" s="70">
        <f>IF(VLOOKUP($A24,raw[],COLUMN(V$1)-COLUMN($A$1),FALSE)=0, VLOOKUP($D24, regions[], COLUMN(V$1)-COLUMN($A$1), FALSE), VLOOKUP($A24,raw[],COLUMN(V$1)-COLUMN($A$1),FALSE))</f>
        <v>55.919884789407618</v>
      </c>
      <c r="V24" s="70">
        <f>IF(VLOOKUP($A24,raw[],COLUMN(W$1)-COLUMN($A$1),FALSE)=0, VLOOKUP($D24, regions[], COLUMN(W$1)-COLUMN($A$1), FALSE), VLOOKUP($A24,raw[],COLUMN(W$1)-COLUMN($A$1),FALSE))</f>
        <v>1.1204459056919176</v>
      </c>
      <c r="W24" s="70">
        <f>IF(VLOOKUP($A24,raw[],COLUMN(X$1)-COLUMN($A$1),FALSE)=0, VLOOKUP($D24, regions[], COLUMN(X$1)-COLUMN($A$1), FALSE), VLOOKUP($A24,raw[],COLUMN(X$1)-COLUMN($A$1),FALSE))</f>
        <v>5.9504459056919181</v>
      </c>
      <c r="X24" s="70">
        <f>IF(VLOOKUP($A24,raw[],COLUMN(Y$1)-COLUMN($A$1),FALSE)=0, VLOOKUP($D24, regions[], COLUMN(Y$1)-COLUMN($A$1), FALSE), VLOOKUP($A24,raw[],COLUMN(Y$1)-COLUMN($A$1),FALSE))</f>
        <v>0.71502257725354135</v>
      </c>
      <c r="Y24" s="70">
        <f>IF(VLOOKUP($A24,raw[],COLUMN(Z$1)-COLUMN($A$1),FALSE)=0, VLOOKUP($D24, regions[], COLUMN(Z$1)-COLUMN($A$1), FALSE), VLOOKUP($A24,raw[],COLUMN(Z$1)-COLUMN($A$1),FALSE))</f>
        <v>5.5450225772535413</v>
      </c>
      <c r="Z24" s="70">
        <f>IF(VLOOKUP($A24,raw[],COLUMN(AA$1)-COLUMN($A$1),FALSE)=0, VLOOKUP($D24, regions[], COLUMN(AA$1)-COLUMN($A$1), FALSE), VLOOKUP($A24,raw[],COLUMN(AA$1)-COLUMN($A$1),FALSE))</f>
        <v>5.5432524907249965</v>
      </c>
      <c r="AA24" s="70">
        <f>IF(VLOOKUP($A24,raw[],COLUMN(AB$1)-COLUMN($A$1),FALSE)=0, VLOOKUP($D24, regions[], COLUMN(AB$1)-COLUMN($A$1), FALSE), VLOOKUP($A24,raw[],COLUMN(AB$1)-COLUMN($A$1),FALSE))</f>
        <v>1.3237480624114055</v>
      </c>
      <c r="AB24" s="70">
        <f>IF(VLOOKUP($A24,raw[],COLUMN(AC$1)-COLUMN($A$1),FALSE)=0, VLOOKUP($D24, regions[], COLUMN(AC$1)-COLUMN($A$1), FALSE), VLOOKUP($A24,raw[],COLUMN(AC$1)-COLUMN($A$1),FALSE))</f>
        <v>6.153748062411406</v>
      </c>
      <c r="AC24" s="72">
        <f>IF(VLOOKUP($A24,raw[],COLUMN(AD$1)-COLUMN($A$1),FALSE)=0, VLOOKUP($D24, regions[], COLUMN(AD$1)-COLUMN($A$1), FALSE), VLOOKUP($A24,raw[],COLUMN(AD$1)-COLUMN($A$1),FALSE))</f>
        <v>8.1922939999999944E-2</v>
      </c>
      <c r="AD24" s="72">
        <f>IF(VLOOKUP($A24,raw[],COLUMN(AE$1)-COLUMN($A$1),FALSE)=0, VLOOKUP($D24, regions[], COLUMN(AE$1)-COLUMN($A$1), FALSE), VLOOKUP($A24,raw[],COLUMN(AE$1)-COLUMN($A$1),FALSE))</f>
        <v>1.0878201770992952E-2</v>
      </c>
      <c r="AE24" s="72">
        <f>IF(VLOOKUP($A24,raw[],COLUMN(AF$1)-COLUMN($A$1),FALSE)=0, VLOOKUP($D24, regions[], COLUMN(AF$1)-COLUMN($A$1), FALSE), VLOOKUP($A24,raw[],COLUMN(AF$1)-COLUMN($A$1),FALSE))</f>
        <v>3.1964143762712766E-3</v>
      </c>
      <c r="AF24" s="72">
        <f>IF(VLOOKUP($A24,raw[],COLUMN(AG$1)-COLUMN($A$1),FALSE)=0, VLOOKUP($D24, regions[], COLUMN(AG$1)-COLUMN($A$1), FALSE), VLOOKUP($A24,raw[],COLUMN(AG$1)-COLUMN($A$1),FALSE))</f>
        <v>2.2879438563343461E-3</v>
      </c>
      <c r="AG24" s="72">
        <f>IF(VLOOKUP($A24,raw[],COLUMN(AH$1)-COLUMN($A$1),FALSE)=0, VLOOKUP($D24, regions[], COLUMN(AH$1)-COLUMN($A$1), FALSE), VLOOKUP($A24,raw[],COLUMN(AH$1)-COLUMN($A$1),FALSE))</f>
        <v>3.2946666733317093E-3</v>
      </c>
      <c r="AH24" s="72">
        <f>IF(VLOOKUP($A24,raw[],COLUMN(AI$1)-COLUMN($A$1),FALSE)=0, VLOOKUP($D24, regions[], COLUMN(AI$1)-COLUMN($A$1), FALSE), VLOOKUP($A24,raw[],COLUMN(AI$1)-COLUMN($A$1),FALSE))</f>
        <v>5.0192257116822353E-3</v>
      </c>
      <c r="AI24" s="72">
        <f>IF(VLOOKUP($A24,raw[],COLUMN(AJ$1)-COLUMN($A$1),FALSE)=0, VLOOKUP($D24, regions[], COLUMN(AJ$1)-COLUMN($A$1), FALSE), VLOOKUP($A24,raw[],COLUMN(AJ$1)-COLUMN($A$1),FALSE))</f>
        <v>6.8432530446659069E-3</v>
      </c>
      <c r="AJ24" s="72">
        <f>IF(VLOOKUP($A24,raw[],COLUMN(AK$1)-COLUMN($A$1),FALSE)=0, VLOOKUP($D24, regions[], COLUMN(AK$1)-COLUMN($A$1), FALSE), VLOOKUP($A24,raw[],COLUMN(AK$1)-COLUMN($A$1),FALSE))</f>
        <v>8.6738032464507842E-3</v>
      </c>
      <c r="AK24" s="72">
        <f>IF(VLOOKUP($A24,raw[],COLUMN(AL$1)-COLUMN($A$1),FALSE)=0, VLOOKUP($D24, regions[], COLUMN(AL$1)-COLUMN($A$1), FALSE), VLOOKUP($A24,raw[],COLUMN(AL$1)-COLUMN($A$1),FALSE))</f>
        <v>1.1062967535899281E-2</v>
      </c>
      <c r="AL24" s="72">
        <f>IF(VLOOKUP($A24,raw[],COLUMN(AM$1)-COLUMN($A$1),FALSE)=0, VLOOKUP($D24, regions[], COLUMN(AM$1)-COLUMN($A$1), FALSE), VLOOKUP($A24,raw[],COLUMN(AM$1)-COLUMN($A$1),FALSE))</f>
        <v>1.2937061582216988E-2</v>
      </c>
      <c r="AM24" s="72">
        <f>IF(VLOOKUP($A24,raw[],COLUMN(AN$1)-COLUMN($A$1),FALSE)=0, VLOOKUP($D24, regions[], COLUMN(AN$1)-COLUMN($A$1), FALSE), VLOOKUP($A24,raw[],COLUMN(AN$1)-COLUMN($A$1),FALSE))</f>
        <v>1.4983573488699718E-2</v>
      </c>
      <c r="AN24" s="72">
        <f>IF(VLOOKUP($A24,raw[],COLUMN(AO$1)-COLUMN($A$1),FALSE)=0, VLOOKUP($D24, regions[], COLUMN(AO$1)-COLUMN($A$1), FALSE), VLOOKUP($A24,raw[],COLUMN(AO$1)-COLUMN($A$1),FALSE))</f>
        <v>1.8293733980304344E-2</v>
      </c>
      <c r="AO24" s="72">
        <f>IF(VLOOKUP($A24,raw[],COLUMN(AP$1)-COLUMN($A$1),FALSE)=0, VLOOKUP($D24, regions[], COLUMN(AP$1)-COLUMN($A$1), FALSE), VLOOKUP($A24,raw[],COLUMN(AP$1)-COLUMN($A$1),FALSE))</f>
        <v>2.2298694890880218E-2</v>
      </c>
      <c r="AP24" s="72">
        <f>IF(VLOOKUP($A24,raw[],COLUMN(AQ$1)-COLUMN($A$1),FALSE)=0, VLOOKUP($D24, regions[], COLUMN(AQ$1)-COLUMN($A$1), FALSE), VLOOKUP($A24,raw[],COLUMN(AQ$1)-COLUMN($A$1),FALSE))</f>
        <v>2.9786511926594324E-2</v>
      </c>
      <c r="AQ24" s="72">
        <f>IF(VLOOKUP($A24,raw[],COLUMN(AR$1)-COLUMN($A$1),FALSE)=0, VLOOKUP($D24, regions[], COLUMN(AR$1)-COLUMN($A$1), FALSE), VLOOKUP($A24,raw[],COLUMN(AR$1)-COLUMN($A$1),FALSE))</f>
        <v>4.1518704376223209E-2</v>
      </c>
      <c r="AR24" s="72">
        <f>IF(VLOOKUP($A24,raw[],COLUMN(AS$1)-COLUMN($A$1),FALSE)=0, VLOOKUP($D24, regions[], COLUMN(AS$1)-COLUMN($A$1), FALSE), VLOOKUP($A24,raw[],COLUMN(AS$1)-COLUMN($A$1),FALSE))</f>
        <v>5.9437275456103944E-2</v>
      </c>
      <c r="AS24" s="72">
        <f>IF(VLOOKUP($A24,raw[],COLUMN(AT$1)-COLUMN($A$1),FALSE)=0, VLOOKUP($D24, regions[], COLUMN(AT$1)-COLUMN($A$1), FALSE), VLOOKUP($A24,raw[],COLUMN(AT$1)-COLUMN($A$1),FALSE))</f>
        <v>8.4083240543308749E-2</v>
      </c>
      <c r="AT24" s="72">
        <f>IF(VLOOKUP($A24,raw[],COLUMN(AU$1)-COLUMN($A$1),FALSE)=0, VLOOKUP($D24, regions[], COLUMN(AU$1)-COLUMN($A$1), FALSE), VLOOKUP($A24,raw[],COLUMN(AU$1)-COLUMN($A$1),FALSE))</f>
        <v>0.11801391721629427</v>
      </c>
      <c r="AU24" s="72">
        <f>IF(VLOOKUP($A24,raw[],COLUMN(AV$1)-COLUMN($A$1),FALSE)=0, VLOOKUP($D24, regions[], COLUMN(AV$1)-COLUMN($A$1), FALSE), VLOOKUP($A24,raw[],COLUMN(AV$1)-COLUMN($A$1),FALSE))</f>
        <v>0.15387640621894813</v>
      </c>
      <c r="AV24" s="72">
        <f>IF(VLOOKUP($A24,raw[],COLUMN(AW$1)-COLUMN($A$1),FALSE)=0, VLOOKUP($D24, regions[], COLUMN(AW$1)-COLUMN($A$1), FALSE), VLOOKUP($A24,raw[],COLUMN(AW$1)-COLUMN($A$1),FALSE))</f>
        <v>0.1794807122599974</v>
      </c>
      <c r="AW24" s="72">
        <f>IF(VLOOKUP($A24,raw[],COLUMN(AX$1)-COLUMN($A$1),FALSE)=0, VLOOKUP($D24, regions[], COLUMN(AX$1)-COLUMN($A$1), FALSE), VLOOKUP($A24,raw[],COLUMN(AX$1)-COLUMN($A$1),FALSE))</f>
        <v>0.1877332125933043</v>
      </c>
      <c r="AX24" s="72">
        <f>IF(VLOOKUP($A24,raw[],COLUMN(AY$1)-COLUMN($A$1),FALSE)=0, VLOOKUP($D24, regions[], COLUMN(AY$1)-COLUMN($A$1), FALSE), VLOOKUP($A24,raw[],COLUMN(AY$1)-COLUMN($A$1),FALSE))</f>
        <v>52.667999999999999</v>
      </c>
      <c r="AY24" t="str">
        <f t="shared" si="0"/>
        <v>Yes</v>
      </c>
    </row>
    <row r="25" spans="1:51" x14ac:dyDescent="0.25">
      <c r="A25" s="55" t="s">
        <v>267</v>
      </c>
      <c r="B25" s="56" t="s">
        <v>268</v>
      </c>
      <c r="C25" s="56">
        <v>148</v>
      </c>
      <c r="D25" s="56" t="s">
        <v>207</v>
      </c>
      <c r="E25" s="56" t="s">
        <v>235</v>
      </c>
      <c r="F25" s="56" t="s">
        <v>211</v>
      </c>
      <c r="G25" s="56" t="s">
        <v>198</v>
      </c>
      <c r="H25" s="74">
        <f>VLOOKUP(lmics[[#This Row],[setting]],raw[],8,FALSE)</f>
        <v>16425859</v>
      </c>
      <c r="I25" s="74">
        <f>VLOOKUP(lmics[[#This Row],[setting]],raw[],9,FALSE)</f>
        <v>696998.47494700004</v>
      </c>
      <c r="J25" s="67">
        <f>IF(VLOOKUP($A25,raw[],COLUMN(J$1),FALSE)=0, VLOOKUP($D25, regions[], COLUMN(J$1), FALSE), VLOOKUP($A25,raw[],COLUMN(J$1),FALSE))</f>
        <v>0.217</v>
      </c>
      <c r="K25" s="77">
        <f>VLOOKUP($A25, raw[], 11, FALSE)</f>
        <v>0</v>
      </c>
      <c r="L25" s="77">
        <f>VLOOKUP($A25, raw[], 12, FALSE)</f>
        <v>0.52</v>
      </c>
      <c r="M25" s="77">
        <f>IF(VLOOKUP($A25,raw[],COLUMN(M$1),FALSE)=0, VLOOKUP($D25, regions[], COLUMN(M$1), FALSE), VLOOKUP($A25,raw[],COLUMN(M$1),FALSE))</f>
        <v>0.19339999999999999</v>
      </c>
      <c r="N25" s="68">
        <f>IF(VLOOKUP($A25,raw[],COLUMN(N$1),FALSE)=0, VLOOKUP($D25, regions[], COLUMN(N$1), FALSE), VLOOKUP($A25,raw[],COLUMN(N$1),FALSE))</f>
        <v>0.30401743635557654</v>
      </c>
      <c r="O25" s="67">
        <f>IF(VLOOKUP($A25,raw[],COLUMN(O$1),FALSE)=0, VLOOKUP($D25, regions[], COLUMN(O$1), FALSE), VLOOKUP($A25,raw[],COLUMN(O$1),FALSE))</f>
        <v>0.38300000000000001</v>
      </c>
      <c r="P25" s="68">
        <f>IF(VLOOKUP($A25,raw[],COLUMN(P$1),FALSE)=0, VLOOKUP($D25, regions[], COLUMN(P$1), FALSE), VLOOKUP($A25,raw[],COLUMN(P$1),FALSE))</f>
        <v>4.8000000000000001E-2</v>
      </c>
      <c r="Q25" s="70">
        <f>IF(VLOOKUP($A25,raw[],COLUMN(Q$1),FALSE)=0, VLOOKUP($D25, regions[], COLUMN(Q$1), FALSE), VLOOKUP($A25,raw[],COLUMN(Q$1),FALSE))</f>
        <v>3.3824201680672301</v>
      </c>
      <c r="R25" s="70">
        <f>IF(VLOOKUP($A25,raw[],COLUMN(R$1),FALSE)=0, VLOOKUP($D25, regions[], COLUMN(R$1), FALSE), VLOOKUP($A25,raw[],COLUMN(R$1),FALSE))</f>
        <v>25.707800168067234</v>
      </c>
      <c r="S25" s="70">
        <f>IF(VLOOKUP($A25,raw[],COLUMN(S$1),FALSE)=0, VLOOKUP($D25, regions[], COLUMN(S$1), FALSE), VLOOKUP($A25,raw[],COLUMN(S$1),FALSE))</f>
        <v>57.199670171647846</v>
      </c>
      <c r="T25" s="70">
        <f>IF(VLOOKUP($A25,raw[],COLUMN(U$1)-COLUMN($A$1),FALSE)=0, VLOOKUP($D25, regions[], COLUMN(U$1)-COLUMN($A$1), FALSE), VLOOKUP($A25,raw[],COLUMN(U$1)-COLUMN($A$1),FALSE))</f>
        <v>58.382099104048024</v>
      </c>
      <c r="U25" s="70">
        <f>IF(VLOOKUP($A25,raw[],COLUMN(V$1)-COLUMN($A$1),FALSE)=0, VLOOKUP($D25, regions[], COLUMN(V$1)-COLUMN($A$1), FALSE), VLOOKUP($A25,raw[],COLUMN(V$1)-COLUMN($A$1),FALSE))</f>
        <v>57.839152731653456</v>
      </c>
      <c r="V25" s="70">
        <f>IF(VLOOKUP($A25,raw[],COLUMN(W$1)-COLUMN($A$1),FALSE)=0, VLOOKUP($D25, regions[], COLUMN(W$1)-COLUMN($A$1), FALSE), VLOOKUP($A25,raw[],COLUMN(W$1)-COLUMN($A$1),FALSE))</f>
        <v>0.93751956384089108</v>
      </c>
      <c r="W25" s="70">
        <f>IF(VLOOKUP($A25,raw[],COLUMN(X$1)-COLUMN($A$1),FALSE)=0, VLOOKUP($D25, regions[], COLUMN(X$1)-COLUMN($A$1), FALSE), VLOOKUP($A25,raw[],COLUMN(X$1)-COLUMN($A$1),FALSE))</f>
        <v>5.7675195638408914</v>
      </c>
      <c r="X25" s="70">
        <f>IF(VLOOKUP($A25,raw[],COLUMN(Y$1)-COLUMN($A$1),FALSE)=0, VLOOKUP($D25, regions[], COLUMN(Y$1)-COLUMN($A$1), FALSE), VLOOKUP($A25,raw[],COLUMN(Y$1)-COLUMN($A$1),FALSE))</f>
        <v>0.53072385934489408</v>
      </c>
      <c r="Y25" s="70">
        <f>IF(VLOOKUP($A25,raw[],COLUMN(Z$1)-COLUMN($A$1),FALSE)=0, VLOOKUP($D25, regions[], COLUMN(Z$1)-COLUMN($A$1), FALSE), VLOOKUP($A25,raw[],COLUMN(Z$1)-COLUMN($A$1),FALSE))</f>
        <v>5.360723859344894</v>
      </c>
      <c r="Z25" s="70">
        <f>IF(VLOOKUP($A25,raw[],COLUMN(AA$1)-COLUMN($A$1),FALSE)=0, VLOOKUP($D25, regions[], COLUMN(AA$1)-COLUMN($A$1), FALSE), VLOOKUP($A25,raw[],COLUMN(AA$1)-COLUMN($A$1),FALSE))</f>
        <v>5.358466906429749</v>
      </c>
      <c r="AA25" s="70">
        <f>IF(VLOOKUP($A25,raw[],COLUMN(AB$1)-COLUMN($A$1),FALSE)=0, VLOOKUP($D25, regions[], COLUMN(AB$1)-COLUMN($A$1), FALSE), VLOOKUP($A25,raw[],COLUMN(AB$1)-COLUMN($A$1),FALSE))</f>
        <v>1.141311002459183</v>
      </c>
      <c r="AB25" s="70">
        <f>IF(VLOOKUP($A25,raw[],COLUMN(AC$1)-COLUMN($A$1),FALSE)=0, VLOOKUP($D25, regions[], COLUMN(AC$1)-COLUMN($A$1), FALSE), VLOOKUP($A25,raw[],COLUMN(AC$1)-COLUMN($A$1),FALSE))</f>
        <v>5.9713110024591831</v>
      </c>
      <c r="AC25" s="72">
        <f>IF(VLOOKUP($A25,raw[],COLUMN(AD$1)-COLUMN($A$1),FALSE)=0, VLOOKUP($D25, regions[], COLUMN(AD$1)-COLUMN($A$1), FALSE), VLOOKUP($A25,raw[],COLUMN(AD$1)-COLUMN($A$1),FALSE))</f>
        <v>7.452462E-2</v>
      </c>
      <c r="AD25" s="72">
        <f>IF(VLOOKUP($A25,raw[],COLUMN(AE$1)-COLUMN($A$1),FALSE)=0, VLOOKUP($D25, regions[], COLUMN(AE$1)-COLUMN($A$1), FALSE), VLOOKUP($A25,raw[],COLUMN(AE$1)-COLUMN($A$1),FALSE))</f>
        <v>1.3083130315146792E-2</v>
      </c>
      <c r="AE25" s="72">
        <f>IF(VLOOKUP($A25,raw[],COLUMN(AF$1)-COLUMN($A$1),FALSE)=0, VLOOKUP($D25, regions[], COLUMN(AF$1)-COLUMN($A$1), FALSE), VLOOKUP($A25,raw[],COLUMN(AF$1)-COLUMN($A$1),FALSE))</f>
        <v>5.1726818568924651E-3</v>
      </c>
      <c r="AF25" s="72">
        <f>IF(VLOOKUP($A25,raw[],COLUMN(AG$1)-COLUMN($A$1),FALSE)=0, VLOOKUP($D25, regions[], COLUMN(AG$1)-COLUMN($A$1), FALSE), VLOOKUP($A25,raw[],COLUMN(AG$1)-COLUMN($A$1),FALSE))</f>
        <v>3.3557672904945485E-3</v>
      </c>
      <c r="AG25" s="72">
        <f>IF(VLOOKUP($A25,raw[],COLUMN(AH$1)-COLUMN($A$1),FALSE)=0, VLOOKUP($D25, regions[], COLUMN(AH$1)-COLUMN($A$1), FALSE), VLOOKUP($A25,raw[],COLUMN(AH$1)-COLUMN($A$1),FALSE))</f>
        <v>3.8593400925335006E-3</v>
      </c>
      <c r="AH25" s="72">
        <f>IF(VLOOKUP($A25,raw[],COLUMN(AI$1)-COLUMN($A$1),FALSE)=0, VLOOKUP($D25, regions[], COLUMN(AI$1)-COLUMN($A$1), FALSE), VLOOKUP($A25,raw[],COLUMN(AI$1)-COLUMN($A$1),FALSE))</f>
        <v>5.0987288719791489E-3</v>
      </c>
      <c r="AI25" s="72">
        <f>IF(VLOOKUP($A25,raw[],COLUMN(AJ$1)-COLUMN($A$1),FALSE)=0, VLOOKUP($D25, regions[], COLUMN(AJ$1)-COLUMN($A$1), FALSE), VLOOKUP($A25,raw[],COLUMN(AJ$1)-COLUMN($A$1),FALSE))</f>
        <v>6.6955044433153633E-3</v>
      </c>
      <c r="AJ25" s="72">
        <f>IF(VLOOKUP($A25,raw[],COLUMN(AK$1)-COLUMN($A$1),FALSE)=0, VLOOKUP($D25, regions[], COLUMN(AK$1)-COLUMN($A$1), FALSE), VLOOKUP($A25,raw[],COLUMN(AK$1)-COLUMN($A$1),FALSE))</f>
        <v>8.4720848040507456E-3</v>
      </c>
      <c r="AK25" s="72">
        <f>IF(VLOOKUP($A25,raw[],COLUMN(AL$1)-COLUMN($A$1),FALSE)=0, VLOOKUP($D25, regions[], COLUMN(AL$1)-COLUMN($A$1), FALSE), VLOOKUP($A25,raw[],COLUMN(AL$1)-COLUMN($A$1),FALSE))</f>
        <v>1.0411925957953318E-2</v>
      </c>
      <c r="AL25" s="72">
        <f>IF(VLOOKUP($A25,raw[],COLUMN(AM$1)-COLUMN($A$1),FALSE)=0, VLOOKUP($D25, regions[], COLUMN(AM$1)-COLUMN($A$1), FALSE), VLOOKUP($A25,raw[],COLUMN(AM$1)-COLUMN($A$1),FALSE))</f>
        <v>1.1080151343649754E-2</v>
      </c>
      <c r="AM25" s="72">
        <f>IF(VLOOKUP($A25,raw[],COLUMN(AN$1)-COLUMN($A$1),FALSE)=0, VLOOKUP($D25, regions[], COLUMN(AN$1)-COLUMN($A$1), FALSE), VLOOKUP($A25,raw[],COLUMN(AN$1)-COLUMN($A$1),FALSE))</f>
        <v>1.1559324901721306E-2</v>
      </c>
      <c r="AN25" s="72">
        <f>IF(VLOOKUP($A25,raw[],COLUMN(AO$1)-COLUMN($A$1),FALSE)=0, VLOOKUP($D25, regions[], COLUMN(AO$1)-COLUMN($A$1), FALSE), VLOOKUP($A25,raw[],COLUMN(AO$1)-COLUMN($A$1),FALSE))</f>
        <v>1.2924525230492354E-2</v>
      </c>
      <c r="AO25" s="72">
        <f>IF(VLOOKUP($A25,raw[],COLUMN(AP$1)-COLUMN($A$1),FALSE)=0, VLOOKUP($D25, regions[], COLUMN(AP$1)-COLUMN($A$1), FALSE), VLOOKUP($A25,raw[],COLUMN(AP$1)-COLUMN($A$1),FALSE))</f>
        <v>1.6349138162578825E-2</v>
      </c>
      <c r="AP25" s="72">
        <f>IF(VLOOKUP($A25,raw[],COLUMN(AQ$1)-COLUMN($A$1),FALSE)=0, VLOOKUP($D25, regions[], COLUMN(AQ$1)-COLUMN($A$1), FALSE), VLOOKUP($A25,raw[],COLUMN(AQ$1)-COLUMN($A$1),FALSE))</f>
        <v>2.34057272938786E-2</v>
      </c>
      <c r="AQ25" s="72">
        <f>IF(VLOOKUP($A25,raw[],COLUMN(AR$1)-COLUMN($A$1),FALSE)=0, VLOOKUP($D25, regions[], COLUMN(AR$1)-COLUMN($A$1), FALSE), VLOOKUP($A25,raw[],COLUMN(AR$1)-COLUMN($A$1),FALSE))</f>
        <v>3.4681211713298674E-2</v>
      </c>
      <c r="AR25" s="72">
        <f>IF(VLOOKUP($A25,raw[],COLUMN(AS$1)-COLUMN($A$1),FALSE)=0, VLOOKUP($D25, regions[], COLUMN(AS$1)-COLUMN($A$1), FALSE), VLOOKUP($A25,raw[],COLUMN(AS$1)-COLUMN($A$1),FALSE))</f>
        <v>5.2117806535806076E-2</v>
      </c>
      <c r="AS25" s="72">
        <f>IF(VLOOKUP($A25,raw[],COLUMN(AT$1)-COLUMN($A$1),FALSE)=0, VLOOKUP($D25, regions[], COLUMN(AT$1)-COLUMN($A$1), FALSE), VLOOKUP($A25,raw[],COLUMN(AT$1)-COLUMN($A$1),FALSE))</f>
        <v>7.5725788787142714E-2</v>
      </c>
      <c r="AT25" s="72">
        <f>IF(VLOOKUP($A25,raw[],COLUMN(AU$1)-COLUMN($A$1),FALSE)=0, VLOOKUP($D25, regions[], COLUMN(AU$1)-COLUMN($A$1), FALSE), VLOOKUP($A25,raw[],COLUMN(AU$1)-COLUMN($A$1),FALSE))</f>
        <v>0.10590133201655805</v>
      </c>
      <c r="AU25" s="72">
        <f>IF(VLOOKUP($A25,raw[],COLUMN(AV$1)-COLUMN($A$1),FALSE)=0, VLOOKUP($D25, regions[], COLUMN(AV$1)-COLUMN($A$1), FALSE), VLOOKUP($A25,raw[],COLUMN(AV$1)-COLUMN($A$1),FALSE))</f>
        <v>0.13696195144420933</v>
      </c>
      <c r="AV25" s="72">
        <f>IF(VLOOKUP($A25,raw[],COLUMN(AW$1)-COLUMN($A$1),FALSE)=0, VLOOKUP($D25, regions[], COLUMN(AW$1)-COLUMN($A$1), FALSE), VLOOKUP($A25,raw[],COLUMN(AW$1)-COLUMN($A$1),FALSE))</f>
        <v>0.16219236641061724</v>
      </c>
      <c r="AW25" s="72">
        <f>IF(VLOOKUP($A25,raw[],COLUMN(AX$1)-COLUMN($A$1),FALSE)=0, VLOOKUP($D25, regions[], COLUMN(AX$1)-COLUMN($A$1), FALSE), VLOOKUP($A25,raw[],COLUMN(AX$1)-COLUMN($A$1),FALSE))</f>
        <v>0.17872314050125573</v>
      </c>
      <c r="AX25" s="72">
        <f>IF(VLOOKUP($A25,raw[],COLUMN(AY$1)-COLUMN($A$1),FALSE)=0, VLOOKUP($D25, regions[], COLUMN(AY$1)-COLUMN($A$1), FALSE), VLOOKUP($A25,raw[],COLUMN(AY$1)-COLUMN($A$1),FALSE))</f>
        <v>53.798999999999999</v>
      </c>
      <c r="AY25" t="str">
        <f t="shared" si="0"/>
        <v>Yes</v>
      </c>
    </row>
    <row r="26" spans="1:51" x14ac:dyDescent="0.25">
      <c r="A26" s="53" t="s">
        <v>269</v>
      </c>
      <c r="B26" s="54" t="s">
        <v>270</v>
      </c>
      <c r="C26" s="54">
        <v>156</v>
      </c>
      <c r="D26" s="54" t="s">
        <v>260</v>
      </c>
      <c r="E26" s="54" t="s">
        <v>271</v>
      </c>
      <c r="F26" s="54" t="s">
        <v>262</v>
      </c>
      <c r="G26" s="54" t="s">
        <v>204</v>
      </c>
      <c r="H26" s="73">
        <f>VLOOKUP(lmics[[#This Row],[setting]],raw[],8,FALSE)</f>
        <v>1439323774</v>
      </c>
      <c r="I26" s="73">
        <f>VLOOKUP(lmics[[#This Row],[setting]],raw[],9,FALSE)</f>
        <v>17171132.623819999</v>
      </c>
      <c r="J26" s="67">
        <f>IF(VLOOKUP($A26,raw[],COLUMN(J$1),FALSE)=0, VLOOKUP($D26, regions[], COLUMN(J$1), FALSE), VLOOKUP($A26,raw[],COLUMN(J$1),FALSE))</f>
        <v>0.999</v>
      </c>
      <c r="K26" s="77">
        <f>VLOOKUP($A26, raw[], 11, FALSE)</f>
        <v>0.95</v>
      </c>
      <c r="L26" s="77">
        <f>VLOOKUP($A26, raw[], 12, FALSE)</f>
        <v>0.99</v>
      </c>
      <c r="M26" s="77">
        <f>IF(VLOOKUP($A26,raw[],COLUMN(M$1),FALSE)=0, VLOOKUP($D26, regions[], COLUMN(M$1), FALSE), VLOOKUP($A26,raw[],COLUMN(M$1),FALSE))</f>
        <v>6.08E-2</v>
      </c>
      <c r="N26" s="68">
        <f>IF(VLOOKUP($A26,raw[],COLUMN(N$1),FALSE)=0, VLOOKUP($D26, regions[], COLUMN(N$1), FALSE), VLOOKUP($A26,raw[],COLUMN(N$1),FALSE))</f>
        <v>0.33366275035206483</v>
      </c>
      <c r="O26" s="67">
        <f>IF(VLOOKUP($A26,raw[],COLUMN(O$1),FALSE)=0, VLOOKUP($D26, regions[], COLUMN(O$1), FALSE), VLOOKUP($A26,raw[],COLUMN(O$1),FALSE))</f>
        <v>0.8</v>
      </c>
      <c r="P26" s="68">
        <f>IF(VLOOKUP($A26,raw[],COLUMN(P$1),FALSE)=0, VLOOKUP($D26, regions[], COLUMN(P$1), FALSE), VLOOKUP($A26,raw[],COLUMN(P$1),FALSE))</f>
        <v>0.17499999999999999</v>
      </c>
      <c r="Q26" s="70">
        <f>IF(VLOOKUP($A26,raw[],COLUMN(Q$1),FALSE)=0, VLOOKUP($D26, regions[], COLUMN(Q$1), FALSE), VLOOKUP($A26,raw[],COLUMN(Q$1),FALSE))</f>
        <v>8.1668994004484805</v>
      </c>
      <c r="R26" s="70">
        <f>IF(VLOOKUP($A26,raw[],COLUMN(R$1),FALSE)=0, VLOOKUP($D26, regions[], COLUMN(R$1), FALSE), VLOOKUP($A26,raw[],COLUMN(R$1),FALSE))</f>
        <v>30.492279400448481</v>
      </c>
      <c r="S26" s="70">
        <f>IF(VLOOKUP($A26,raw[],COLUMN(S$1),FALSE)=0, VLOOKUP($D26, regions[], COLUMN(S$1), FALSE), VLOOKUP($A26,raw[],COLUMN(S$1),FALSE))</f>
        <v>78.313666660684589</v>
      </c>
      <c r="T26" s="70">
        <f>IF(VLOOKUP($A26,raw[],COLUMN(U$1)-COLUMN($A$1),FALSE)=0, VLOOKUP($D26, regions[], COLUMN(U$1)-COLUMN($A$1), FALSE), VLOOKUP($A26,raw[],COLUMN(U$1)-COLUMN($A$1),FALSE))</f>
        <v>87.995038589808217</v>
      </c>
      <c r="U26" s="70">
        <f>IF(VLOOKUP($A26,raw[],COLUMN(V$1)-COLUMN($A$1),FALSE)=0, VLOOKUP($D26, regions[], COLUMN(V$1)-COLUMN($A$1), FALSE), VLOOKUP($A26,raw[],COLUMN(V$1)-COLUMN($A$1),FALSE))</f>
        <v>83.549557238087317</v>
      </c>
      <c r="V26" s="70">
        <f>IF(VLOOKUP($A26,raw[],COLUMN(W$1)-COLUMN($A$1),FALSE)=0, VLOOKUP($D26, regions[], COLUMN(W$1)-COLUMN($A$1), FALSE), VLOOKUP($A26,raw[],COLUMN(W$1)-COLUMN($A$1),FALSE))</f>
        <v>2.6695235885559976</v>
      </c>
      <c r="W26" s="70">
        <f>IF(VLOOKUP($A26,raw[],COLUMN(X$1)-COLUMN($A$1),FALSE)=0, VLOOKUP($D26, regions[], COLUMN(X$1)-COLUMN($A$1), FALSE), VLOOKUP($A26,raw[],COLUMN(X$1)-COLUMN($A$1),FALSE))</f>
        <v>3.2995235885559975</v>
      </c>
      <c r="X26" s="70">
        <f>IF(VLOOKUP($A26,raw[],COLUMN(Y$1)-COLUMN($A$1),FALSE)=0, VLOOKUP($D26, regions[], COLUMN(Y$1)-COLUMN($A$1), FALSE), VLOOKUP($A26,raw[],COLUMN(Y$1)-COLUMN($A$1),FALSE))</f>
        <v>2.2350183639880257</v>
      </c>
      <c r="Y26" s="70">
        <f>IF(VLOOKUP($A26,raw[],COLUMN(Z$1)-COLUMN($A$1),FALSE)=0, VLOOKUP($D26, regions[], COLUMN(Z$1)-COLUMN($A$1), FALSE), VLOOKUP($A26,raw[],COLUMN(Z$1)-COLUMN($A$1),FALSE))</f>
        <v>2.8650183639880256</v>
      </c>
      <c r="Z26" s="70">
        <f>IF(VLOOKUP($A26,raw[],COLUMN(AA$1)-COLUMN($A$1),FALSE)=0, VLOOKUP($D26, regions[], COLUMN(AA$1)-COLUMN($A$1), FALSE), VLOOKUP($A26,raw[],COLUMN(AA$1)-COLUMN($A$1),FALSE))</f>
        <v>2.8513938115512873</v>
      </c>
      <c r="AA26" s="70">
        <f>IF(VLOOKUP($A26,raw[],COLUMN(AB$1)-COLUMN($A$1),FALSE)=0, VLOOKUP($D26, regions[], COLUMN(AB$1)-COLUMN($A$1), FALSE), VLOOKUP($A26,raw[],COLUMN(AB$1)-COLUMN($A$1),FALSE))</f>
        <v>2.8831940734608197</v>
      </c>
      <c r="AB26" s="70">
        <f>IF(VLOOKUP($A26,raw[],COLUMN(AC$1)-COLUMN($A$1),FALSE)=0, VLOOKUP($D26, regions[], COLUMN(AC$1)-COLUMN($A$1), FALSE), VLOOKUP($A26,raw[],COLUMN(AC$1)-COLUMN($A$1),FALSE))</f>
        <v>3.5131940734608196</v>
      </c>
      <c r="AC26" s="72">
        <f>IF(VLOOKUP($A26,raw[],COLUMN(AD$1)-COLUMN($A$1),FALSE)=0, VLOOKUP($D26, regions[], COLUMN(AD$1)-COLUMN($A$1), FALSE), VLOOKUP($A26,raw[],COLUMN(AD$1)-COLUMN($A$1),FALSE))</f>
        <v>9.8941700000000129E-3</v>
      </c>
      <c r="AD26" s="72">
        <f>IF(VLOOKUP($A26,raw[],COLUMN(AE$1)-COLUMN($A$1),FALSE)=0, VLOOKUP($D26, regions[], COLUMN(AE$1)-COLUMN($A$1), FALSE), VLOOKUP($A26,raw[],COLUMN(AE$1)-COLUMN($A$1),FALSE))</f>
        <v>4.1349115174888618E-4</v>
      </c>
      <c r="AE26" s="72">
        <f>IF(VLOOKUP($A26,raw[],COLUMN(AF$1)-COLUMN($A$1),FALSE)=0, VLOOKUP($D26, regions[], COLUMN(AF$1)-COLUMN($A$1), FALSE), VLOOKUP($A26,raw[],COLUMN(AF$1)-COLUMN($A$1),FALSE))</f>
        <v>3.1192504790974275E-4</v>
      </c>
      <c r="AF26" s="72">
        <f>IF(VLOOKUP($A26,raw[],COLUMN(AG$1)-COLUMN($A$1),FALSE)=0, VLOOKUP($D26, regions[], COLUMN(AG$1)-COLUMN($A$1), FALSE), VLOOKUP($A26,raw[],COLUMN(AG$1)-COLUMN($A$1),FALSE))</f>
        <v>2.3281974802200089E-4</v>
      </c>
      <c r="AG26" s="72">
        <f>IF(VLOOKUP($A26,raw[],COLUMN(AH$1)-COLUMN($A$1),FALSE)=0, VLOOKUP($D26, regions[], COLUMN(AH$1)-COLUMN($A$1), FALSE), VLOOKUP($A26,raw[],COLUMN(AH$1)-COLUMN($A$1),FALSE))</f>
        <v>3.3838460396917025E-4</v>
      </c>
      <c r="AH26" s="72">
        <f>IF(VLOOKUP($A26,raw[],COLUMN(AI$1)-COLUMN($A$1),FALSE)=0, VLOOKUP($D26, regions[], COLUMN(AI$1)-COLUMN($A$1), FALSE), VLOOKUP($A26,raw[],COLUMN(AI$1)-COLUMN($A$1),FALSE))</f>
        <v>4.7513191743787025E-4</v>
      </c>
      <c r="AI26" s="72">
        <f>IF(VLOOKUP($A26,raw[],COLUMN(AJ$1)-COLUMN($A$1),FALSE)=0, VLOOKUP($D26, regions[], COLUMN(AJ$1)-COLUMN($A$1), FALSE), VLOOKUP($A26,raw[],COLUMN(AJ$1)-COLUMN($A$1),FALSE))</f>
        <v>6.3559567612006638E-4</v>
      </c>
      <c r="AJ26" s="72">
        <f>IF(VLOOKUP($A26,raw[],COLUMN(AK$1)-COLUMN($A$1),FALSE)=0, VLOOKUP($D26, regions[], COLUMN(AK$1)-COLUMN($A$1), FALSE), VLOOKUP($A26,raw[],COLUMN(AK$1)-COLUMN($A$1),FALSE))</f>
        <v>8.0382412585949207E-4</v>
      </c>
      <c r="AK26" s="72">
        <f>IF(VLOOKUP($A26,raw[],COLUMN(AL$1)-COLUMN($A$1),FALSE)=0, VLOOKUP($D26, regions[], COLUMN(AL$1)-COLUMN($A$1), FALSE), VLOOKUP($A26,raw[],COLUMN(AL$1)-COLUMN($A$1),FALSE))</f>
        <v>1.0182795635051796E-3</v>
      </c>
      <c r="AL26" s="72">
        <f>IF(VLOOKUP($A26,raw[],COLUMN(AM$1)-COLUMN($A$1),FALSE)=0, VLOOKUP($D26, regions[], COLUMN(AM$1)-COLUMN($A$1), FALSE), VLOOKUP($A26,raw[],COLUMN(AM$1)-COLUMN($A$1),FALSE))</f>
        <v>1.4416102180106471E-3</v>
      </c>
      <c r="AM26" s="72">
        <f>IF(VLOOKUP($A26,raw[],COLUMN(AN$1)-COLUMN($A$1),FALSE)=0, VLOOKUP($D26, regions[], COLUMN(AN$1)-COLUMN($A$1), FALSE), VLOOKUP($A26,raw[],COLUMN(AN$1)-COLUMN($A$1),FALSE))</f>
        <v>2.1173871312260202E-3</v>
      </c>
      <c r="AN26" s="72">
        <f>IF(VLOOKUP($A26,raw[],COLUMN(AO$1)-COLUMN($A$1),FALSE)=0, VLOOKUP($D26, regions[], COLUMN(AO$1)-COLUMN($A$1), FALSE), VLOOKUP($A26,raw[],COLUMN(AO$1)-COLUMN($A$1),FALSE))</f>
        <v>3.512568221798414E-3</v>
      </c>
      <c r="AO26" s="72">
        <f>IF(VLOOKUP($A26,raw[],COLUMN(AP$1)-COLUMN($A$1),FALSE)=0, VLOOKUP($D26, regions[], COLUMN(AP$1)-COLUMN($A$1), FALSE), VLOOKUP($A26,raw[],COLUMN(AP$1)-COLUMN($A$1),FALSE))</f>
        <v>5.8831350606262144E-3</v>
      </c>
      <c r="AP26" s="72">
        <f>IF(VLOOKUP($A26,raw[],COLUMN(AQ$1)-COLUMN($A$1),FALSE)=0, VLOOKUP($D26, regions[], COLUMN(AQ$1)-COLUMN($A$1), FALSE), VLOOKUP($A26,raw[],COLUMN(AQ$1)-COLUMN($A$1),FALSE))</f>
        <v>1.0955642853977677E-2</v>
      </c>
      <c r="AQ26" s="72">
        <f>IF(VLOOKUP($A26,raw[],COLUMN(AR$1)-COLUMN($A$1),FALSE)=0, VLOOKUP($D26, regions[], COLUMN(AR$1)-COLUMN($A$1), FALSE), VLOOKUP($A26,raw[],COLUMN(AR$1)-COLUMN($A$1),FALSE))</f>
        <v>1.943896708122141E-2</v>
      </c>
      <c r="AR26" s="72">
        <f>IF(VLOOKUP($A26,raw[],COLUMN(AS$1)-COLUMN($A$1),FALSE)=0, VLOOKUP($D26, regions[], COLUMN(AS$1)-COLUMN($A$1), FALSE), VLOOKUP($A26,raw[],COLUMN(AS$1)-COLUMN($A$1),FALSE))</f>
        <v>3.4256869399675968E-2</v>
      </c>
      <c r="AS26" s="72">
        <f>IF(VLOOKUP($A26,raw[],COLUMN(AT$1)-COLUMN($A$1),FALSE)=0, VLOOKUP($D26, regions[], COLUMN(AT$1)-COLUMN($A$1), FALSE), VLOOKUP($A26,raw[],COLUMN(AT$1)-COLUMN($A$1),FALSE))</f>
        <v>5.4431970137010864E-2</v>
      </c>
      <c r="AT26" s="72">
        <f>IF(VLOOKUP($A26,raw[],COLUMN(AU$1)-COLUMN($A$1),FALSE)=0, VLOOKUP($D26, regions[], COLUMN(AU$1)-COLUMN($A$1), FALSE), VLOOKUP($A26,raw[],COLUMN(AU$1)-COLUMN($A$1),FALSE))</f>
        <v>7.7417050050061387E-2</v>
      </c>
      <c r="AU26" s="72">
        <f>IF(VLOOKUP($A26,raw[],COLUMN(AV$1)-COLUMN($A$1),FALSE)=0, VLOOKUP($D26, regions[], COLUMN(AV$1)-COLUMN($A$1), FALSE), VLOOKUP($A26,raw[],COLUMN(AV$1)-COLUMN($A$1),FALSE))</f>
        <v>0.10718323055323137</v>
      </c>
      <c r="AV26" s="72">
        <f>IF(VLOOKUP($A26,raw[],COLUMN(AW$1)-COLUMN($A$1),FALSE)=0, VLOOKUP($D26, regions[], COLUMN(AW$1)-COLUMN($A$1), FALSE), VLOOKUP($A26,raw[],COLUMN(AW$1)-COLUMN($A$1),FALSE))</f>
        <v>0.13326657184885557</v>
      </c>
      <c r="AW26" s="72">
        <f>IF(VLOOKUP($A26,raw[],COLUMN(AX$1)-COLUMN($A$1),FALSE)=0, VLOOKUP($D26, regions[], COLUMN(AX$1)-COLUMN($A$1), FALSE), VLOOKUP($A26,raw[],COLUMN(AX$1)-COLUMN($A$1),FALSE))</f>
        <v>0.15465995088238757</v>
      </c>
      <c r="AX26" s="72">
        <f>IF(VLOOKUP($A26,raw[],COLUMN(AY$1)-COLUMN($A$1),FALSE)=0, VLOOKUP($D26, regions[], COLUMN(AY$1)-COLUMN($A$1), FALSE), VLOOKUP($A26,raw[],COLUMN(AY$1)-COLUMN($A$1),FALSE))</f>
        <v>76.623000000000005</v>
      </c>
      <c r="AY26" t="str">
        <f t="shared" si="0"/>
        <v>No</v>
      </c>
    </row>
    <row r="27" spans="1:51" x14ac:dyDescent="0.25">
      <c r="A27" s="55" t="s">
        <v>272</v>
      </c>
      <c r="B27" s="56" t="s">
        <v>273</v>
      </c>
      <c r="C27" s="56">
        <v>170</v>
      </c>
      <c r="D27" s="56" t="s">
        <v>215</v>
      </c>
      <c r="E27" s="56" t="s">
        <v>274</v>
      </c>
      <c r="F27" s="56" t="s">
        <v>217</v>
      </c>
      <c r="G27" s="56" t="s">
        <v>204</v>
      </c>
      <c r="H27" s="74">
        <f>VLOOKUP(lmics[[#This Row],[setting]],raw[],8,FALSE)</f>
        <v>50882884</v>
      </c>
      <c r="I27" s="74">
        <f>VLOOKUP(lmics[[#This Row],[setting]],raw[],9,FALSE)</f>
        <v>764718.86363599997</v>
      </c>
      <c r="J27" s="67">
        <f>IF(VLOOKUP($A27,raw[],COLUMN(J$1),FALSE)=0, VLOOKUP($D27, regions[], COLUMN(J$1), FALSE), VLOOKUP($A27,raw[],COLUMN(J$1),FALSE))</f>
        <v>0.99199999999999999</v>
      </c>
      <c r="K27" s="77">
        <f>VLOOKUP($A27, raw[], 11, FALSE)</f>
        <v>0.88</v>
      </c>
      <c r="L27" s="77">
        <f>VLOOKUP($A27, raw[], 12, FALSE)</f>
        <v>0.88</v>
      </c>
      <c r="M27" s="77">
        <f>IF(VLOOKUP($A27,raw[],COLUMN(M$1),FALSE)=0, VLOOKUP($D27, regions[], COLUMN(M$1), FALSE), VLOOKUP($A27,raw[],COLUMN(M$1),FALSE))</f>
        <v>1.2199999999999999E-2</v>
      </c>
      <c r="N27" s="68">
        <f>IF(VLOOKUP($A27,raw[],COLUMN(N$1),FALSE)=0, VLOOKUP($D27, regions[], COLUMN(N$1), FALSE), VLOOKUP($A27,raw[],COLUMN(N$1),FALSE))</f>
        <v>0.31514724266997862</v>
      </c>
      <c r="O27" s="67">
        <f>IF(VLOOKUP($A27,raw[],COLUMN(O$1),FALSE)=0, VLOOKUP($D27, regions[], COLUMN(O$1), FALSE), VLOOKUP($A27,raw[],COLUMN(O$1),FALSE))</f>
        <v>0.8</v>
      </c>
      <c r="P27" s="68">
        <f>IF(VLOOKUP($A27,raw[],COLUMN(P$1),FALSE)=0, VLOOKUP($D27, regions[], COLUMN(P$1), FALSE), VLOOKUP($A27,raw[],COLUMN(P$1),FALSE))</f>
        <v>0.17499999999999999</v>
      </c>
      <c r="Q27" s="70">
        <f>IF(VLOOKUP($A27,raw[],COLUMN(Q$1),FALSE)=0, VLOOKUP($D27, regions[], COLUMN(Q$1), FALSE), VLOOKUP($A27,raw[],COLUMN(Q$1),FALSE))</f>
        <v>19.091770137496699</v>
      </c>
      <c r="R27" s="70">
        <f>IF(VLOOKUP($A27,raw[],COLUMN(R$1),FALSE)=0, VLOOKUP($D27, regions[], COLUMN(R$1), FALSE), VLOOKUP($A27,raw[],COLUMN(R$1),FALSE))</f>
        <v>41.417150137496698</v>
      </c>
      <c r="S27" s="70">
        <f>IF(VLOOKUP($A27,raw[],COLUMN(S$1),FALSE)=0, VLOOKUP($D27, regions[], COLUMN(S$1), FALSE), VLOOKUP($A27,raw[],COLUMN(S$1),FALSE))</f>
        <v>97.046751200806597</v>
      </c>
      <c r="T27" s="70">
        <f>IF(VLOOKUP($A27,raw[],COLUMN(U$1)-COLUMN($A$1),FALSE)=0, VLOOKUP($D27, regions[], COLUMN(U$1)-COLUMN($A$1), FALSE), VLOOKUP($A27,raw[],COLUMN(U$1)-COLUMN($A$1),FALSE))</f>
        <v>110.79202550839801</v>
      </c>
      <c r="U27" s="70">
        <f>IF(VLOOKUP($A27,raw[],COLUMN(V$1)-COLUMN($A$1),FALSE)=0, VLOOKUP($D27, regions[], COLUMN(V$1)-COLUMN($A$1), FALSE), VLOOKUP($A27,raw[],COLUMN(V$1)-COLUMN($A$1),FALSE))</f>
        <v>104.48048608443773</v>
      </c>
      <c r="V27" s="70">
        <f>IF(VLOOKUP($A27,raw[],COLUMN(W$1)-COLUMN($A$1),FALSE)=0, VLOOKUP($D27, regions[], COLUMN(W$1)-COLUMN($A$1), FALSE), VLOOKUP($A27,raw[],COLUMN(W$1)-COLUMN($A$1),FALSE))</f>
        <v>3.5469352538724293</v>
      </c>
      <c r="W27" s="70">
        <f>IF(VLOOKUP($A27,raw[],COLUMN(X$1)-COLUMN($A$1),FALSE)=0, VLOOKUP($D27, regions[], COLUMN(X$1)-COLUMN($A$1), FALSE), VLOOKUP($A27,raw[],COLUMN(X$1)-COLUMN($A$1),FALSE))</f>
        <v>3.5669352538724293</v>
      </c>
      <c r="X27" s="70">
        <f>IF(VLOOKUP($A27,raw[],COLUMN(Y$1)-COLUMN($A$1),FALSE)=0, VLOOKUP($D27, regions[], COLUMN(Y$1)-COLUMN($A$1), FALSE), VLOOKUP($A27,raw[],COLUMN(Y$1)-COLUMN($A$1),FALSE))</f>
        <v>3.128120530792641</v>
      </c>
      <c r="Y27" s="70">
        <f>IF(VLOOKUP($A27,raw[],COLUMN(Z$1)-COLUMN($A$1),FALSE)=0, VLOOKUP($D27, regions[], COLUMN(Z$1)-COLUMN($A$1), FALSE), VLOOKUP($A27,raw[],COLUMN(Z$1)-COLUMN($A$1),FALSE))</f>
        <v>3.148120530792641</v>
      </c>
      <c r="Z27" s="70">
        <f>IF(VLOOKUP($A27,raw[],COLUMN(AA$1)-COLUMN($A$1),FALSE)=0, VLOOKUP($D27, regions[], COLUMN(AA$1)-COLUMN($A$1), FALSE), VLOOKUP($A27,raw[],COLUMN(AA$1)-COLUMN($A$1),FALSE))</f>
        <v>3.1405455514966527</v>
      </c>
      <c r="AA27" s="70">
        <f>IF(VLOOKUP($A27,raw[],COLUMN(AB$1)-COLUMN($A$1),FALSE)=0, VLOOKUP($D27, regions[], COLUMN(AB$1)-COLUMN($A$1), FALSE), VLOOKUP($A27,raw[],COLUMN(AB$1)-COLUMN($A$1),FALSE))</f>
        <v>3.7550117338988556</v>
      </c>
      <c r="AB27" s="70">
        <f>IF(VLOOKUP($A27,raw[],COLUMN(AC$1)-COLUMN($A$1),FALSE)=0, VLOOKUP($D27, regions[], COLUMN(AC$1)-COLUMN($A$1), FALSE), VLOOKUP($A27,raw[],COLUMN(AC$1)-COLUMN($A$1),FALSE))</f>
        <v>3.7750117338988556</v>
      </c>
      <c r="AC27" s="72">
        <f>IF(VLOOKUP($A27,raw[],COLUMN(AD$1)-COLUMN($A$1),FALSE)=0, VLOOKUP($D27, regions[], COLUMN(AD$1)-COLUMN($A$1), FALSE), VLOOKUP($A27,raw[],COLUMN(AD$1)-COLUMN($A$1),FALSE))</f>
        <v>1.2637350000000006E-2</v>
      </c>
      <c r="AD27" s="72">
        <f>IF(VLOOKUP($A27,raw[],COLUMN(AE$1)-COLUMN($A$1),FALSE)=0, VLOOKUP($D27, regions[], COLUMN(AE$1)-COLUMN($A$1), FALSE), VLOOKUP($A27,raw[],COLUMN(AE$1)-COLUMN($A$1),FALSE))</f>
        <v>5.3865213556538111E-4</v>
      </c>
      <c r="AE27" s="72">
        <f>IF(VLOOKUP($A27,raw[],COLUMN(AF$1)-COLUMN($A$1),FALSE)=0, VLOOKUP($D27, regions[], COLUMN(AF$1)-COLUMN($A$1), FALSE), VLOOKUP($A27,raw[],COLUMN(AF$1)-COLUMN($A$1),FALSE))</f>
        <v>4.0049114360269359E-4</v>
      </c>
      <c r="AF27" s="72">
        <f>IF(VLOOKUP($A27,raw[],COLUMN(AG$1)-COLUMN($A$1),FALSE)=0, VLOOKUP($D27, regions[], COLUMN(AG$1)-COLUMN($A$1), FALSE), VLOOKUP($A27,raw[],COLUMN(AG$1)-COLUMN($A$1),FALSE))</f>
        <v>3.6850387787640276E-4</v>
      </c>
      <c r="AG27" s="72">
        <f>IF(VLOOKUP($A27,raw[],COLUMN(AH$1)-COLUMN($A$1),FALSE)=0, VLOOKUP($D27, regions[], COLUMN(AH$1)-COLUMN($A$1), FALSE), VLOOKUP($A27,raw[],COLUMN(AH$1)-COLUMN($A$1),FALSE))</f>
        <v>9.3549477319647498E-4</v>
      </c>
      <c r="AH27" s="72">
        <f>IF(VLOOKUP($A27,raw[],COLUMN(AI$1)-COLUMN($A$1),FALSE)=0, VLOOKUP($D27, regions[], COLUMN(AI$1)-COLUMN($A$1), FALSE), VLOOKUP($A27,raw[],COLUMN(AI$1)-COLUMN($A$1),FALSE))</f>
        <v>1.7994247056837621E-3</v>
      </c>
      <c r="AI27" s="72">
        <f>IF(VLOOKUP($A27,raw[],COLUMN(AJ$1)-COLUMN($A$1),FALSE)=0, VLOOKUP($D27, regions[], COLUMN(AJ$1)-COLUMN($A$1), FALSE), VLOOKUP($A27,raw[],COLUMN(AJ$1)-COLUMN($A$1),FALSE))</f>
        <v>1.864232983062206E-3</v>
      </c>
      <c r="AJ27" s="72">
        <f>IF(VLOOKUP($A27,raw[],COLUMN(AK$1)-COLUMN($A$1),FALSE)=0, VLOOKUP($D27, regions[], COLUMN(AK$1)-COLUMN($A$1), FALSE), VLOOKUP($A27,raw[],COLUMN(AK$1)-COLUMN($A$1),FALSE))</f>
        <v>1.825573792480839E-3</v>
      </c>
      <c r="AK27" s="72">
        <f>IF(VLOOKUP($A27,raw[],COLUMN(AL$1)-COLUMN($A$1),FALSE)=0, VLOOKUP($D27, regions[], COLUMN(AL$1)-COLUMN($A$1), FALSE), VLOOKUP($A27,raw[],COLUMN(AL$1)-COLUMN($A$1),FALSE))</f>
        <v>1.9885352256190023E-3</v>
      </c>
      <c r="AL27" s="72">
        <f>IF(VLOOKUP($A27,raw[],COLUMN(AM$1)-COLUMN($A$1),FALSE)=0, VLOOKUP($D27, regions[], COLUMN(AM$1)-COLUMN($A$1), FALSE), VLOOKUP($A27,raw[],COLUMN(AM$1)-COLUMN($A$1),FALSE))</f>
        <v>2.2528131865802684E-3</v>
      </c>
      <c r="AM27" s="72">
        <f>IF(VLOOKUP($A27,raw[],COLUMN(AN$1)-COLUMN($A$1),FALSE)=0, VLOOKUP($D27, regions[], COLUMN(AN$1)-COLUMN($A$1), FALSE), VLOOKUP($A27,raw[],COLUMN(AN$1)-COLUMN($A$1),FALSE))</f>
        <v>2.8462647968053767E-3</v>
      </c>
      <c r="AN27" s="72">
        <f>IF(VLOOKUP($A27,raw[],COLUMN(AO$1)-COLUMN($A$1),FALSE)=0, VLOOKUP($D27, regions[], COLUMN(AO$1)-COLUMN($A$1), FALSE), VLOOKUP($A27,raw[],COLUMN(AO$1)-COLUMN($A$1),FALSE))</f>
        <v>4.3761225358191951E-3</v>
      </c>
      <c r="AO27" s="72">
        <f>IF(VLOOKUP($A27,raw[],COLUMN(AP$1)-COLUMN($A$1),FALSE)=0, VLOOKUP($D27, regions[], COLUMN(AP$1)-COLUMN($A$1), FALSE), VLOOKUP($A27,raw[],COLUMN(AP$1)-COLUMN($A$1),FALSE))</f>
        <v>6.5323439574352634E-3</v>
      </c>
      <c r="AP27" s="72">
        <f>IF(VLOOKUP($A27,raw[],COLUMN(AQ$1)-COLUMN($A$1),FALSE)=0, VLOOKUP($D27, regions[], COLUMN(AQ$1)-COLUMN($A$1), FALSE), VLOOKUP($A27,raw[],COLUMN(AQ$1)-COLUMN($A$1),FALSE))</f>
        <v>1.0092265971036027E-2</v>
      </c>
      <c r="AQ27" s="72">
        <f>IF(VLOOKUP($A27,raw[],COLUMN(AR$1)-COLUMN($A$1),FALSE)=0, VLOOKUP($D27, regions[], COLUMN(AR$1)-COLUMN($A$1), FALSE), VLOOKUP($A27,raw[],COLUMN(AR$1)-COLUMN($A$1),FALSE))</f>
        <v>1.559690302839245E-2</v>
      </c>
      <c r="AR27" s="72">
        <f>IF(VLOOKUP($A27,raw[],COLUMN(AS$1)-COLUMN($A$1),FALSE)=0, VLOOKUP($D27, regions[], COLUMN(AS$1)-COLUMN($A$1), FALSE), VLOOKUP($A27,raw[],COLUMN(AS$1)-COLUMN($A$1),FALSE))</f>
        <v>2.3838540259638542E-2</v>
      </c>
      <c r="AS27" s="72">
        <f>IF(VLOOKUP($A27,raw[],COLUMN(AT$1)-COLUMN($A$1),FALSE)=0, VLOOKUP($D27, regions[], COLUMN(AT$1)-COLUMN($A$1), FALSE), VLOOKUP($A27,raw[],COLUMN(AT$1)-COLUMN($A$1),FALSE))</f>
        <v>3.5819227461109215E-2</v>
      </c>
      <c r="AT27" s="72">
        <f>IF(VLOOKUP($A27,raw[],COLUMN(AU$1)-COLUMN($A$1),FALSE)=0, VLOOKUP($D27, regions[], COLUMN(AU$1)-COLUMN($A$1), FALSE), VLOOKUP($A27,raw[],COLUMN(AU$1)-COLUMN($A$1),FALSE))</f>
        <v>5.6040589677096839E-2</v>
      </c>
      <c r="AU27" s="72">
        <f>IF(VLOOKUP($A27,raw[],COLUMN(AV$1)-COLUMN($A$1),FALSE)=0, VLOOKUP($D27, regions[], COLUMN(AV$1)-COLUMN($A$1), FALSE), VLOOKUP($A27,raw[],COLUMN(AV$1)-COLUMN($A$1),FALSE))</f>
        <v>8.7598910727402585E-2</v>
      </c>
      <c r="AV27" s="72">
        <f>IF(VLOOKUP($A27,raw[],COLUMN(AW$1)-COLUMN($A$1),FALSE)=0, VLOOKUP($D27, regions[], COLUMN(AW$1)-COLUMN($A$1), FALSE), VLOOKUP($A27,raw[],COLUMN(AW$1)-COLUMN($A$1),FALSE))</f>
        <v>0.10396421786115767</v>
      </c>
      <c r="AW27" s="72">
        <f>IF(VLOOKUP($A27,raw[],COLUMN(AX$1)-COLUMN($A$1),FALSE)=0, VLOOKUP($D27, regions[], COLUMN(AX$1)-COLUMN($A$1), FALSE), VLOOKUP($A27,raw[],COLUMN(AX$1)-COLUMN($A$1),FALSE))</f>
        <v>0.15253600286363886</v>
      </c>
      <c r="AX27" s="72">
        <f>IF(VLOOKUP($A27,raw[],COLUMN(AY$1)-COLUMN($A$1),FALSE)=0, VLOOKUP($D27, regions[], COLUMN(AY$1)-COLUMN($A$1), FALSE), VLOOKUP($A27,raw[],COLUMN(AY$1)-COLUMN($A$1),FALSE))</f>
        <v>77.021000000000001</v>
      </c>
      <c r="AY27" t="str">
        <f t="shared" si="0"/>
        <v>No</v>
      </c>
    </row>
    <row r="28" spans="1:51" x14ac:dyDescent="0.25">
      <c r="A28" s="53" t="s">
        <v>275</v>
      </c>
      <c r="B28" s="54" t="s">
        <v>276</v>
      </c>
      <c r="C28" s="54">
        <v>174</v>
      </c>
      <c r="D28" s="54" t="s">
        <v>207</v>
      </c>
      <c r="E28" s="54" t="s">
        <v>255</v>
      </c>
      <c r="F28" s="54" t="s">
        <v>211</v>
      </c>
      <c r="G28" s="54" t="s">
        <v>212</v>
      </c>
      <c r="H28" s="73">
        <f>VLOOKUP(lmics[[#This Row],[setting]],raw[],8,FALSE)</f>
        <v>869595</v>
      </c>
      <c r="I28" s="73">
        <f>VLOOKUP(lmics[[#This Row],[setting]],raw[],9,FALSE)</f>
        <v>27901.82517</v>
      </c>
      <c r="J28" s="67">
        <f>IF(VLOOKUP($A28,raw[],COLUMN(J$1),FALSE)=0, VLOOKUP($D28, regions[], COLUMN(J$1), FALSE), VLOOKUP($A28,raw[],COLUMN(J$1),FALSE))</f>
        <v>0.7609999999999999</v>
      </c>
      <c r="K28" s="77">
        <f>VLOOKUP($A28, raw[], 11, FALSE)</f>
        <v>0</v>
      </c>
      <c r="L28" s="77">
        <f>VLOOKUP($A28, raw[], 12, FALSE)</f>
        <v>0.87</v>
      </c>
      <c r="M28" s="77">
        <f>IF(VLOOKUP($A28,raw[],COLUMN(M$1),FALSE)=0, VLOOKUP($D28, regions[], COLUMN(M$1), FALSE), VLOOKUP($A28,raw[],COLUMN(M$1),FALSE))</f>
        <v>5.0499999999999996E-2</v>
      </c>
      <c r="N28" s="68">
        <f>IF(VLOOKUP($A28,raw[],COLUMN(N$1),FALSE)=0, VLOOKUP($D28, regions[], COLUMN(N$1), FALSE), VLOOKUP($A28,raw[],COLUMN(N$1),FALSE))</f>
        <v>0.27833288120198318</v>
      </c>
      <c r="O28" s="67">
        <f>IF(VLOOKUP($A28,raw[],COLUMN(O$1),FALSE)=0, VLOOKUP($D28, regions[], COLUMN(O$1), FALSE), VLOOKUP($A28,raw[],COLUMN(O$1),FALSE))</f>
        <v>0.38300000000000001</v>
      </c>
      <c r="P28" s="68">
        <f>IF(VLOOKUP($A28,raw[],COLUMN(P$1),FALSE)=0, VLOOKUP($D28, regions[], COLUMN(P$1), FALSE), VLOOKUP($A28,raw[],COLUMN(P$1),FALSE))</f>
        <v>4.8000000000000001E-2</v>
      </c>
      <c r="Q28" s="70">
        <f>IF(VLOOKUP($A28,raw[],COLUMN(Q$1),FALSE)=0, VLOOKUP($D28, regions[], COLUMN(Q$1), FALSE), VLOOKUP($A28,raw[],COLUMN(Q$1),FALSE))</f>
        <v>3.3421121858500502</v>
      </c>
      <c r="R28" s="70">
        <f>IF(VLOOKUP($A28,raw[],COLUMN(R$1),FALSE)=0, VLOOKUP($D28, regions[], COLUMN(R$1), FALSE), VLOOKUP($A28,raw[],COLUMN(R$1),FALSE))</f>
        <v>25.667492185850051</v>
      </c>
      <c r="S28" s="70">
        <f>IF(VLOOKUP($A28,raw[],COLUMN(S$1),FALSE)=0, VLOOKUP($D28, regions[], COLUMN(S$1), FALSE), VLOOKUP($A28,raw[],COLUMN(S$1),FALSE))</f>
        <v>56.920105228505662</v>
      </c>
      <c r="T28" s="70">
        <f>IF(VLOOKUP($A28,raw[],COLUMN(U$1)-COLUMN($A$1),FALSE)=0, VLOOKUP($D28, regions[], COLUMN(U$1)-COLUMN($A$1), FALSE), VLOOKUP($A28,raw[],COLUMN(U$1)-COLUMN($A$1),FALSE))</f>
        <v>57.978009275049708</v>
      </c>
      <c r="U28" s="70">
        <f>IF(VLOOKUP($A28,raw[],COLUMN(V$1)-COLUMN($A$1),FALSE)=0, VLOOKUP($D28, regions[], COLUMN(V$1)-COLUMN($A$1), FALSE), VLOOKUP($A28,raw[],COLUMN(V$1)-COLUMN($A$1),FALSE))</f>
        <v>57.492242098119512</v>
      </c>
      <c r="V28" s="70">
        <f>IF(VLOOKUP($A28,raw[],COLUMN(W$1)-COLUMN($A$1),FALSE)=0, VLOOKUP($D28, regions[], COLUMN(W$1)-COLUMN($A$1), FALSE), VLOOKUP($A28,raw[],COLUMN(W$1)-COLUMN($A$1),FALSE))</f>
        <v>5.312244042826558</v>
      </c>
      <c r="W28" s="70">
        <f>IF(VLOOKUP($A28,raw[],COLUMN(X$1)-COLUMN($A$1),FALSE)=0, VLOOKUP($D28, regions[], COLUMN(X$1)-COLUMN($A$1), FALSE), VLOOKUP($A28,raw[],COLUMN(X$1)-COLUMN($A$1),FALSE))</f>
        <v>10.142244042826558</v>
      </c>
      <c r="X28" s="70">
        <f>IF(VLOOKUP($A28,raw[],COLUMN(Y$1)-COLUMN($A$1),FALSE)=0, VLOOKUP($D28, regions[], COLUMN(Y$1)-COLUMN($A$1), FALSE), VLOOKUP($A28,raw[],COLUMN(Y$1)-COLUMN($A$1),FALSE))</f>
        <v>4.9028007801640658</v>
      </c>
      <c r="Y28" s="70">
        <f>IF(VLOOKUP($A28,raw[],COLUMN(Z$1)-COLUMN($A$1),FALSE)=0, VLOOKUP($D28, regions[], COLUMN(Z$1)-COLUMN($A$1), FALSE), VLOOKUP($A28,raw[],COLUMN(Z$1)-COLUMN($A$1),FALSE))</f>
        <v>9.7328007801640659</v>
      </c>
      <c r="Z28" s="70">
        <f>IF(VLOOKUP($A28,raw[],COLUMN(AA$1)-COLUMN($A$1),FALSE)=0, VLOOKUP($D28, regions[], COLUMN(AA$1)-COLUMN($A$1), FALSE), VLOOKUP($A28,raw[],COLUMN(AA$1)-COLUMN($A$1),FALSE))</f>
        <v>9.7293488997336262</v>
      </c>
      <c r="AA28" s="70">
        <f>IF(VLOOKUP($A28,raw[],COLUMN(AB$1)-COLUMN($A$1),FALSE)=0, VLOOKUP($D28, regions[], COLUMN(AB$1)-COLUMN($A$1), FALSE), VLOOKUP($A28,raw[],COLUMN(AB$1)-COLUMN($A$1),FALSE))</f>
        <v>5.5169793934868174</v>
      </c>
      <c r="AB28" s="70">
        <f>IF(VLOOKUP($A28,raw[],COLUMN(AC$1)-COLUMN($A$1),FALSE)=0, VLOOKUP($D28, regions[], COLUMN(AC$1)-COLUMN($A$1), FALSE), VLOOKUP($A28,raw[],COLUMN(AC$1)-COLUMN($A$1),FALSE))</f>
        <v>10.346979393486818</v>
      </c>
      <c r="AC28" s="72">
        <f>IF(VLOOKUP($A28,raw[],COLUMN(AD$1)-COLUMN($A$1),FALSE)=0, VLOOKUP($D28, regions[], COLUMN(AD$1)-COLUMN($A$1), FALSE), VLOOKUP($A28,raw[],COLUMN(AD$1)-COLUMN($A$1),FALSE))</f>
        <v>5.3117580000000018E-2</v>
      </c>
      <c r="AD28" s="72">
        <f>IF(VLOOKUP($A28,raw[],COLUMN(AE$1)-COLUMN($A$1),FALSE)=0, VLOOKUP($D28, regions[], COLUMN(AE$1)-COLUMN($A$1), FALSE), VLOOKUP($A28,raw[],COLUMN(AE$1)-COLUMN($A$1),FALSE))</f>
        <v>4.4733246816431645E-3</v>
      </c>
      <c r="AE28" s="72">
        <f>IF(VLOOKUP($A28,raw[],COLUMN(AF$1)-COLUMN($A$1),FALSE)=0, VLOOKUP($D28, regions[], COLUMN(AF$1)-COLUMN($A$1), FALSE), VLOOKUP($A28,raw[],COLUMN(AF$1)-COLUMN($A$1),FALSE))</f>
        <v>1.367968458423591E-3</v>
      </c>
      <c r="AF28" s="72">
        <f>IF(VLOOKUP($A28,raw[],COLUMN(AG$1)-COLUMN($A$1),FALSE)=0, VLOOKUP($D28, regions[], COLUMN(AG$1)-COLUMN($A$1), FALSE), VLOOKUP($A28,raw[],COLUMN(AG$1)-COLUMN($A$1),FALSE))</f>
        <v>1.0731665348840088E-3</v>
      </c>
      <c r="AG28" s="72">
        <f>IF(VLOOKUP($A28,raw[],COLUMN(AH$1)-COLUMN($A$1),FALSE)=0, VLOOKUP($D28, regions[], COLUMN(AH$1)-COLUMN($A$1), FALSE), VLOOKUP($A28,raw[],COLUMN(AH$1)-COLUMN($A$1),FALSE))</f>
        <v>1.7216025774921843E-3</v>
      </c>
      <c r="AH28" s="72">
        <f>IF(VLOOKUP($A28,raw[],COLUMN(AI$1)-COLUMN($A$1),FALSE)=0, VLOOKUP($D28, regions[], COLUMN(AI$1)-COLUMN($A$1), FALSE), VLOOKUP($A28,raw[],COLUMN(AI$1)-COLUMN($A$1),FALSE))</f>
        <v>2.3973981604181061E-3</v>
      </c>
      <c r="AI28" s="72">
        <f>IF(VLOOKUP($A28,raw[],COLUMN(AJ$1)-COLUMN($A$1),FALSE)=0, VLOOKUP($D28, regions[], COLUMN(AJ$1)-COLUMN($A$1), FALSE), VLOOKUP($A28,raw[],COLUMN(AJ$1)-COLUMN($A$1),FALSE))</f>
        <v>2.6139796347828515E-3</v>
      </c>
      <c r="AJ28" s="72">
        <f>IF(VLOOKUP($A28,raw[],COLUMN(AK$1)-COLUMN($A$1),FALSE)=0, VLOOKUP($D28, regions[], COLUMN(AK$1)-COLUMN($A$1), FALSE), VLOOKUP($A28,raw[],COLUMN(AK$1)-COLUMN($A$1),FALSE))</f>
        <v>2.993883306561577E-3</v>
      </c>
      <c r="AK28" s="72">
        <f>IF(VLOOKUP($A28,raw[],COLUMN(AL$1)-COLUMN($A$1),FALSE)=0, VLOOKUP($D28, regions[], COLUMN(AL$1)-COLUMN($A$1), FALSE), VLOOKUP($A28,raw[],COLUMN(AL$1)-COLUMN($A$1),FALSE))</f>
        <v>3.6980277228157348E-3</v>
      </c>
      <c r="AL28" s="72">
        <f>IF(VLOOKUP($A28,raw[],COLUMN(AM$1)-COLUMN($A$1),FALSE)=0, VLOOKUP($D28, regions[], COLUMN(AM$1)-COLUMN($A$1), FALSE), VLOOKUP($A28,raw[],COLUMN(AM$1)-COLUMN($A$1),FALSE))</f>
        <v>4.8596002026809627E-3</v>
      </c>
      <c r="AM28" s="72">
        <f>IF(VLOOKUP($A28,raw[],COLUMN(AN$1)-COLUMN($A$1),FALSE)=0, VLOOKUP($D28, regions[], COLUMN(AN$1)-COLUMN($A$1), FALSE), VLOOKUP($A28,raw[],COLUMN(AN$1)-COLUMN($A$1),FALSE))</f>
        <v>6.7645265277408743E-3</v>
      </c>
      <c r="AN28" s="72">
        <f>IF(VLOOKUP($A28,raw[],COLUMN(AO$1)-COLUMN($A$1),FALSE)=0, VLOOKUP($D28, regions[], COLUMN(AO$1)-COLUMN($A$1), FALSE), VLOOKUP($A28,raw[],COLUMN(AO$1)-COLUMN($A$1),FALSE))</f>
        <v>9.8107215788994246E-3</v>
      </c>
      <c r="AO28" s="72">
        <f>IF(VLOOKUP($A28,raw[],COLUMN(AP$1)-COLUMN($A$1),FALSE)=0, VLOOKUP($D28, regions[], COLUMN(AP$1)-COLUMN($A$1), FALSE), VLOOKUP($A28,raw[],COLUMN(AP$1)-COLUMN($A$1),FALSE))</f>
        <v>1.4404631742828257E-2</v>
      </c>
      <c r="AP28" s="72">
        <f>IF(VLOOKUP($A28,raw[],COLUMN(AQ$1)-COLUMN($A$1),FALSE)=0, VLOOKUP($D28, regions[], COLUMN(AQ$1)-COLUMN($A$1), FALSE), VLOOKUP($A28,raw[],COLUMN(AQ$1)-COLUMN($A$1),FALSE))</f>
        <v>2.1682562096455023E-2</v>
      </c>
      <c r="AQ28" s="72">
        <f>IF(VLOOKUP($A28,raw[],COLUMN(AR$1)-COLUMN($A$1),FALSE)=0, VLOOKUP($D28, regions[], COLUMN(AR$1)-COLUMN($A$1), FALSE), VLOOKUP($A28,raw[],COLUMN(AR$1)-COLUMN($A$1),FALSE))</f>
        <v>3.2718619887808872E-2</v>
      </c>
      <c r="AR28" s="72">
        <f>IF(VLOOKUP($A28,raw[],COLUMN(AS$1)-COLUMN($A$1),FALSE)=0, VLOOKUP($D28, regions[], COLUMN(AS$1)-COLUMN($A$1), FALSE), VLOOKUP($A28,raw[],COLUMN(AS$1)-COLUMN($A$1),FALSE))</f>
        <v>4.9782045329479753E-2</v>
      </c>
      <c r="AS28" s="72">
        <f>IF(VLOOKUP($A28,raw[],COLUMN(AT$1)-COLUMN($A$1),FALSE)=0, VLOOKUP($D28, regions[], COLUMN(AT$1)-COLUMN($A$1), FALSE), VLOOKUP($A28,raw[],COLUMN(AT$1)-COLUMN($A$1),FALSE))</f>
        <v>7.3859408421804468E-2</v>
      </c>
      <c r="AT28" s="72">
        <f>IF(VLOOKUP($A28,raw[],COLUMN(AU$1)-COLUMN($A$1),FALSE)=0, VLOOKUP($D28, regions[], COLUMN(AU$1)-COLUMN($A$1), FALSE), VLOOKUP($A28,raw[],COLUMN(AU$1)-COLUMN($A$1),FALSE))</f>
        <v>0.10484703295475105</v>
      </c>
      <c r="AU28" s="72">
        <f>IF(VLOOKUP($A28,raw[],COLUMN(AV$1)-COLUMN($A$1),FALSE)=0, VLOOKUP($D28, regions[], COLUMN(AV$1)-COLUMN($A$1), FALSE), VLOOKUP($A28,raw[],COLUMN(AV$1)-COLUMN($A$1),FALSE))</f>
        <v>0.13712499271089665</v>
      </c>
      <c r="AV28" s="72">
        <f>IF(VLOOKUP($A28,raw[],COLUMN(AW$1)-COLUMN($A$1),FALSE)=0, VLOOKUP($D28, regions[], COLUMN(AW$1)-COLUMN($A$1), FALSE), VLOOKUP($A28,raw[],COLUMN(AW$1)-COLUMN($A$1),FALSE))</f>
        <v>0.16310819751122144</v>
      </c>
      <c r="AW28" s="72">
        <f>IF(VLOOKUP($A28,raw[],COLUMN(AX$1)-COLUMN($A$1),FALSE)=0, VLOOKUP($D28, regions[], COLUMN(AX$1)-COLUMN($A$1), FALSE), VLOOKUP($A28,raw[],COLUMN(AX$1)-COLUMN($A$1),FALSE))</f>
        <v>0.17969401756102807</v>
      </c>
      <c r="AX28" s="72">
        <f>IF(VLOOKUP($A28,raw[],COLUMN(AY$1)-COLUMN($A$1),FALSE)=0, VLOOKUP($D28, regions[], COLUMN(AY$1)-COLUMN($A$1), FALSE), VLOOKUP($A28,raw[],COLUMN(AY$1)-COLUMN($A$1),FALSE))</f>
        <v>63.982999999999997</v>
      </c>
      <c r="AY28" t="str">
        <f t="shared" si="0"/>
        <v>Yes</v>
      </c>
    </row>
    <row r="29" spans="1:51" x14ac:dyDescent="0.25">
      <c r="A29" s="55" t="s">
        <v>277</v>
      </c>
      <c r="B29" s="56" t="s">
        <v>278</v>
      </c>
      <c r="C29" s="56">
        <v>180</v>
      </c>
      <c r="D29" s="56" t="s">
        <v>207</v>
      </c>
      <c r="E29" s="56" t="s">
        <v>210</v>
      </c>
      <c r="F29" s="56" t="s">
        <v>211</v>
      </c>
      <c r="G29" s="56" t="s">
        <v>198</v>
      </c>
      <c r="H29" s="74">
        <f>VLOOKUP(lmics[[#This Row],[setting]],raw[],8,FALSE)</f>
        <v>89561404</v>
      </c>
      <c r="I29" s="74">
        <f>VLOOKUP(lmics[[#This Row],[setting]],raw[],9,FALSE)</f>
        <v>3709454.2308719996</v>
      </c>
      <c r="J29" s="67">
        <f>IF(VLOOKUP($A29,raw[],COLUMN(J$1),FALSE)=0, VLOOKUP($D29, regions[], COLUMN(J$1), FALSE), VLOOKUP($A29,raw[],COLUMN(J$1),FALSE))</f>
        <v>0.81499999999999995</v>
      </c>
      <c r="K29" s="77">
        <f>VLOOKUP($A29, raw[], 11, FALSE)</f>
        <v>0</v>
      </c>
      <c r="L29" s="77">
        <f>VLOOKUP($A29, raw[], 12, FALSE)</f>
        <v>0.56999999999999995</v>
      </c>
      <c r="M29" s="77">
        <f>IF(VLOOKUP($A29,raw[],COLUMN(M$1),FALSE)=0, VLOOKUP($D29, regions[], COLUMN(M$1), FALSE), VLOOKUP($A29,raw[],COLUMN(M$1),FALSE))</f>
        <v>0.10779999999999999</v>
      </c>
      <c r="N29" s="68">
        <f>IF(VLOOKUP($A29,raw[],COLUMN(N$1),FALSE)=0, VLOOKUP($D29, regions[], COLUMN(N$1), FALSE), VLOOKUP($A29,raw[],COLUMN(N$1),FALSE))</f>
        <v>0.28784992441120982</v>
      </c>
      <c r="O29" s="67">
        <f>IF(VLOOKUP($A29,raw[],COLUMN(O$1),FALSE)=0, VLOOKUP($D29, regions[], COLUMN(O$1), FALSE), VLOOKUP($A29,raw[],COLUMN(O$1),FALSE))</f>
        <v>0.38300000000000001</v>
      </c>
      <c r="P29" s="68">
        <f>IF(VLOOKUP($A29,raw[],COLUMN(P$1),FALSE)=0, VLOOKUP($D29, regions[], COLUMN(P$1), FALSE), VLOOKUP($A29,raw[],COLUMN(P$1),FALSE))</f>
        <v>4.8000000000000001E-2</v>
      </c>
      <c r="Q29" s="70">
        <f>IF(VLOOKUP($A29,raw[],COLUMN(Q$1),FALSE)=0, VLOOKUP($D29, regions[], COLUMN(Q$1), FALSE), VLOOKUP($A29,raw[],COLUMN(Q$1),FALSE))</f>
        <v>4.604183740861723</v>
      </c>
      <c r="R29" s="70">
        <f>IF(VLOOKUP($A29,raw[],COLUMN(R$1),FALSE)=0, VLOOKUP($D29, regions[], COLUMN(R$1), FALSE), VLOOKUP($A29,raw[],COLUMN(R$1),FALSE))</f>
        <v>26.929563740861724</v>
      </c>
      <c r="S29" s="70">
        <f>IF(VLOOKUP($A29,raw[],COLUMN(S$1),FALSE)=0, VLOOKUP($D29, regions[], COLUMN(S$1), FALSE), VLOOKUP($A29,raw[],COLUMN(S$1),FALSE))</f>
        <v>62.781228115348881</v>
      </c>
      <c r="T29" s="70">
        <f>IF(VLOOKUP($A29,raw[],COLUMN(U$1)-COLUMN($A$1),FALSE)=0, VLOOKUP($D29, regions[], COLUMN(U$1)-COLUMN($A$1), FALSE), VLOOKUP($A29,raw[],COLUMN(U$1)-COLUMN($A$1),FALSE))</f>
        <v>66.23277763798994</v>
      </c>
      <c r="U29" s="70">
        <f>IF(VLOOKUP($A29,raw[],COLUMN(V$1)-COLUMN($A$1),FALSE)=0, VLOOKUP($D29, regions[], COLUMN(V$1)-COLUMN($A$1), FALSE), VLOOKUP($A29,raw[],COLUMN(V$1)-COLUMN($A$1),FALSE))</f>
        <v>64.647899053655777</v>
      </c>
      <c r="V29" s="70">
        <f>IF(VLOOKUP($A29,raw[],COLUMN(W$1)-COLUMN($A$1),FALSE)=0, VLOOKUP($D29, regions[], COLUMN(W$1)-COLUMN($A$1), FALSE), VLOOKUP($A29,raw[],COLUMN(W$1)-COLUMN($A$1),FALSE))</f>
        <v>1.4507294174698213</v>
      </c>
      <c r="W29" s="70">
        <f>IF(VLOOKUP($A29,raw[],COLUMN(X$1)-COLUMN($A$1),FALSE)=0, VLOOKUP($D29, regions[], COLUMN(X$1)-COLUMN($A$1), FALSE), VLOOKUP($A29,raw[],COLUMN(X$1)-COLUMN($A$1),FALSE))</f>
        <v>6.2807294174698214</v>
      </c>
      <c r="X29" s="70">
        <f>IF(VLOOKUP($A29,raw[],COLUMN(Y$1)-COLUMN($A$1),FALSE)=0, VLOOKUP($D29, regions[], COLUMN(Y$1)-COLUMN($A$1), FALSE), VLOOKUP($A29,raw[],COLUMN(Y$1)-COLUMN($A$1),FALSE))</f>
        <v>1.045044807731943</v>
      </c>
      <c r="Y29" s="70">
        <f>IF(VLOOKUP($A29,raw[],COLUMN(Z$1)-COLUMN($A$1),FALSE)=0, VLOOKUP($D29, regions[], COLUMN(Z$1)-COLUMN($A$1), FALSE), VLOOKUP($A29,raw[],COLUMN(Z$1)-COLUMN($A$1),FALSE))</f>
        <v>5.8750448077319426</v>
      </c>
      <c r="Z29" s="70">
        <f>IF(VLOOKUP($A29,raw[],COLUMN(AA$1)-COLUMN($A$1),FALSE)=0, VLOOKUP($D29, regions[], COLUMN(AA$1)-COLUMN($A$1), FALSE), VLOOKUP($A29,raw[],COLUMN(AA$1)-COLUMN($A$1),FALSE))</f>
        <v>5.8732664760860409</v>
      </c>
      <c r="AA29" s="70">
        <f>IF(VLOOKUP($A29,raw[],COLUMN(AB$1)-COLUMN($A$1),FALSE)=0, VLOOKUP($D29, regions[], COLUMN(AB$1)-COLUMN($A$1), FALSE), VLOOKUP($A29,raw[],COLUMN(AB$1)-COLUMN($A$1),FALSE))</f>
        <v>1.65412472665261</v>
      </c>
      <c r="AB29" s="70">
        <f>IF(VLOOKUP($A29,raw[],COLUMN(AC$1)-COLUMN($A$1),FALSE)=0, VLOOKUP($D29, regions[], COLUMN(AC$1)-COLUMN($A$1), FALSE), VLOOKUP($A29,raw[],COLUMN(AC$1)-COLUMN($A$1),FALSE))</f>
        <v>6.4841247266526096</v>
      </c>
      <c r="AC29" s="72">
        <f>IF(VLOOKUP($A29,raw[],COLUMN(AD$1)-COLUMN($A$1),FALSE)=0, VLOOKUP($D29, regions[], COLUMN(AD$1)-COLUMN($A$1), FALSE), VLOOKUP($A29,raw[],COLUMN(AD$1)-COLUMN($A$1),FALSE))</f>
        <v>6.4932519999999938E-2</v>
      </c>
      <c r="AD29" s="72">
        <f>IF(VLOOKUP($A29,raw[],COLUMN(AE$1)-COLUMN($A$1),FALSE)=0, VLOOKUP($D29, regions[], COLUMN(AE$1)-COLUMN($A$1), FALSE), VLOOKUP($A29,raw[],COLUMN(AE$1)-COLUMN($A$1),FALSE))</f>
        <v>9.5056695801248679E-3</v>
      </c>
      <c r="AE29" s="72">
        <f>IF(VLOOKUP($A29,raw[],COLUMN(AF$1)-COLUMN($A$1),FALSE)=0, VLOOKUP($D29, regions[], COLUMN(AF$1)-COLUMN($A$1), FALSE), VLOOKUP($A29,raw[],COLUMN(AF$1)-COLUMN($A$1),FALSE))</f>
        <v>3.4410748447625044E-3</v>
      </c>
      <c r="AF29" s="72">
        <f>IF(VLOOKUP($A29,raw[],COLUMN(AG$1)-COLUMN($A$1),FALSE)=0, VLOOKUP($D29, regions[], COLUMN(AG$1)-COLUMN($A$1), FALSE), VLOOKUP($A29,raw[],COLUMN(AG$1)-COLUMN($A$1),FALSE))</f>
        <v>2.0330546256173577E-3</v>
      </c>
      <c r="AG29" s="72">
        <f>IF(VLOOKUP($A29,raw[],COLUMN(AH$1)-COLUMN($A$1),FALSE)=0, VLOOKUP($D29, regions[], COLUMN(AH$1)-COLUMN($A$1), FALSE), VLOOKUP($A29,raw[],COLUMN(AH$1)-COLUMN($A$1),FALSE))</f>
        <v>2.719773650616568E-3</v>
      </c>
      <c r="AH29" s="72">
        <f>IF(VLOOKUP($A29,raw[],COLUMN(AI$1)-COLUMN($A$1),FALSE)=0, VLOOKUP($D29, regions[], COLUMN(AI$1)-COLUMN($A$1), FALSE), VLOOKUP($A29,raw[],COLUMN(AI$1)-COLUMN($A$1),FALSE))</f>
        <v>3.6635580335150114E-3</v>
      </c>
      <c r="AI29" s="72">
        <f>IF(VLOOKUP($A29,raw[],COLUMN(AJ$1)-COLUMN($A$1),FALSE)=0, VLOOKUP($D29, regions[], COLUMN(AJ$1)-COLUMN($A$1), FALSE), VLOOKUP($A29,raw[],COLUMN(AJ$1)-COLUMN($A$1),FALSE))</f>
        <v>4.0131964022377788E-3</v>
      </c>
      <c r="AJ29" s="72">
        <f>IF(VLOOKUP($A29,raw[],COLUMN(AK$1)-COLUMN($A$1),FALSE)=0, VLOOKUP($D29, regions[], COLUMN(AK$1)-COLUMN($A$1), FALSE), VLOOKUP($A29,raw[],COLUMN(AK$1)-COLUMN($A$1),FALSE))</f>
        <v>4.4064621302765915E-3</v>
      </c>
      <c r="AK29" s="72">
        <f>IF(VLOOKUP($A29,raw[],COLUMN(AL$1)-COLUMN($A$1),FALSE)=0, VLOOKUP($D29, regions[], COLUMN(AL$1)-COLUMN($A$1), FALSE), VLOOKUP($A29,raw[],COLUMN(AL$1)-COLUMN($A$1),FALSE))</f>
        <v>4.9888338436428958E-3</v>
      </c>
      <c r="AL29" s="72">
        <f>IF(VLOOKUP($A29,raw[],COLUMN(AM$1)-COLUMN($A$1),FALSE)=0, VLOOKUP($D29, regions[], COLUMN(AM$1)-COLUMN($A$1), FALSE), VLOOKUP($A29,raw[],COLUMN(AM$1)-COLUMN($A$1),FALSE))</f>
        <v>6.1151343995977494E-3</v>
      </c>
      <c r="AM29" s="72">
        <f>IF(VLOOKUP($A29,raw[],COLUMN(AN$1)-COLUMN($A$1),FALSE)=0, VLOOKUP($D29, regions[], COLUMN(AN$1)-COLUMN($A$1), FALSE), VLOOKUP($A29,raw[],COLUMN(AN$1)-COLUMN($A$1),FALSE))</f>
        <v>7.3603030081988681E-3</v>
      </c>
      <c r="AN29" s="72">
        <f>IF(VLOOKUP($A29,raw[],COLUMN(AO$1)-COLUMN($A$1),FALSE)=0, VLOOKUP($D29, regions[], COLUMN(AO$1)-COLUMN($A$1), FALSE), VLOOKUP($A29,raw[],COLUMN(AO$1)-COLUMN($A$1),FALSE))</f>
        <v>1.0138900378272279E-2</v>
      </c>
      <c r="AO29" s="72">
        <f>IF(VLOOKUP($A29,raw[],COLUMN(AP$1)-COLUMN($A$1),FALSE)=0, VLOOKUP($D29, regions[], COLUMN(AP$1)-COLUMN($A$1), FALSE), VLOOKUP($A29,raw[],COLUMN(AP$1)-COLUMN($A$1),FALSE))</f>
        <v>1.344107868531209E-2</v>
      </c>
      <c r="AP29" s="72">
        <f>IF(VLOOKUP($A29,raw[],COLUMN(AQ$1)-COLUMN($A$1),FALSE)=0, VLOOKUP($D29, regions[], COLUMN(AQ$1)-COLUMN($A$1), FALSE), VLOOKUP($A29,raw[],COLUMN(AQ$1)-COLUMN($A$1),FALSE))</f>
        <v>2.0035393681773542E-2</v>
      </c>
      <c r="AQ29" s="72">
        <f>IF(VLOOKUP($A29,raw[],COLUMN(AR$1)-COLUMN($A$1),FALSE)=0, VLOOKUP($D29, regions[], COLUMN(AR$1)-COLUMN($A$1), FALSE), VLOOKUP($A29,raw[],COLUMN(AR$1)-COLUMN($A$1),FALSE))</f>
        <v>3.0375283369765884E-2</v>
      </c>
      <c r="AR29" s="72">
        <f>IF(VLOOKUP($A29,raw[],COLUMN(AS$1)-COLUMN($A$1),FALSE)=0, VLOOKUP($D29, regions[], COLUMN(AS$1)-COLUMN($A$1), FALSE), VLOOKUP($A29,raw[],COLUMN(AS$1)-COLUMN($A$1),FALSE))</f>
        <v>4.6352652330819422E-2</v>
      </c>
      <c r="AS29" s="72">
        <f>IF(VLOOKUP($A29,raw[],COLUMN(AT$1)-COLUMN($A$1),FALSE)=0, VLOOKUP($D29, regions[], COLUMN(AT$1)-COLUMN($A$1), FALSE), VLOOKUP($A29,raw[],COLUMN(AT$1)-COLUMN($A$1),FALSE))</f>
        <v>6.8917204664108972E-2</v>
      </c>
      <c r="AT29" s="72">
        <f>IF(VLOOKUP($A29,raw[],COLUMN(AU$1)-COLUMN($A$1),FALSE)=0, VLOOKUP($D29, regions[], COLUMN(AU$1)-COLUMN($A$1), FALSE), VLOOKUP($A29,raw[],COLUMN(AU$1)-COLUMN($A$1),FALSE))</f>
        <v>9.8668373818565164E-2</v>
      </c>
      <c r="AU29" s="72">
        <f>IF(VLOOKUP($A29,raw[],COLUMN(AV$1)-COLUMN($A$1),FALSE)=0, VLOOKUP($D29, regions[], COLUMN(AV$1)-COLUMN($A$1), FALSE), VLOOKUP($A29,raw[],COLUMN(AV$1)-COLUMN($A$1),FALSE))</f>
        <v>0.13067829451434507</v>
      </c>
      <c r="AV29" s="72">
        <f>IF(VLOOKUP($A29,raw[],COLUMN(AW$1)-COLUMN($A$1),FALSE)=0, VLOOKUP($D29, regions[], COLUMN(AW$1)-COLUMN($A$1), FALSE), VLOOKUP($A29,raw[],COLUMN(AW$1)-COLUMN($A$1),FALSE))</f>
        <v>0.15784700316171463</v>
      </c>
      <c r="AW29" s="72">
        <f>IF(VLOOKUP($A29,raw[],COLUMN(AX$1)-COLUMN($A$1),FALSE)=0, VLOOKUP($D29, regions[], COLUMN(AX$1)-COLUMN($A$1), FALSE), VLOOKUP($A29,raw[],COLUMN(AX$1)-COLUMN($A$1),FALSE))</f>
        <v>0.17666724177473303</v>
      </c>
      <c r="AX29" s="72">
        <f>IF(VLOOKUP($A29,raw[],COLUMN(AY$1)-COLUMN($A$1),FALSE)=0, VLOOKUP($D29, regions[], COLUMN(AY$1)-COLUMN($A$1), FALSE), VLOOKUP($A29,raw[],COLUMN(AY$1)-COLUMN($A$1),FALSE))</f>
        <v>60.210999999999999</v>
      </c>
      <c r="AY29" t="str">
        <f t="shared" si="0"/>
        <v>Yes</v>
      </c>
    </row>
    <row r="30" spans="1:51" x14ac:dyDescent="0.25">
      <c r="A30" s="53" t="s">
        <v>279</v>
      </c>
      <c r="B30" s="54" t="s">
        <v>280</v>
      </c>
      <c r="C30" s="54">
        <v>178</v>
      </c>
      <c r="D30" s="54" t="s">
        <v>207</v>
      </c>
      <c r="E30" s="54" t="s">
        <v>210</v>
      </c>
      <c r="F30" s="54" t="s">
        <v>211</v>
      </c>
      <c r="G30" s="54" t="s">
        <v>212</v>
      </c>
      <c r="H30" s="73">
        <f>VLOOKUP(lmics[[#This Row],[setting]],raw[],8,FALSE)</f>
        <v>5518092</v>
      </c>
      <c r="I30" s="73">
        <f>VLOOKUP(lmics[[#This Row],[setting]],raw[],9,FALSE)</f>
        <v>182372.94059999997</v>
      </c>
      <c r="J30" s="67">
        <f>IF(VLOOKUP($A30,raw[],COLUMN(J$1),FALSE)=0, VLOOKUP($D30, regions[], COLUMN(J$1), FALSE), VLOOKUP($A30,raw[],COLUMN(J$1),FALSE))</f>
        <v>0.91500000000000004</v>
      </c>
      <c r="K30" s="77">
        <f>VLOOKUP($A30, raw[], 11, FALSE)</f>
        <v>0</v>
      </c>
      <c r="L30" s="77">
        <f>VLOOKUP($A30, raw[], 12, FALSE)</f>
        <v>0.73</v>
      </c>
      <c r="M30" s="77">
        <f>IF(VLOOKUP($A30,raw[],COLUMN(M$1),FALSE)=0, VLOOKUP($D30, regions[], COLUMN(M$1), FALSE), VLOOKUP($A30,raw[],COLUMN(M$1),FALSE))</f>
        <v>8.9700000000000002E-2</v>
      </c>
      <c r="N30" s="68">
        <f>IF(VLOOKUP($A30,raw[],COLUMN(N$1),FALSE)=0, VLOOKUP($D30, regions[], COLUMN(N$1), FALSE), VLOOKUP($A30,raw[],COLUMN(N$1),FALSE))</f>
        <v>0.28670054073476925</v>
      </c>
      <c r="O30" s="67">
        <f>IF(VLOOKUP($A30,raw[],COLUMN(O$1),FALSE)=0, VLOOKUP($D30, regions[], COLUMN(O$1), FALSE), VLOOKUP($A30,raw[],COLUMN(O$1),FALSE))</f>
        <v>0.38300000000000001</v>
      </c>
      <c r="P30" s="68">
        <f>IF(VLOOKUP($A30,raw[],COLUMN(P$1),FALSE)=0, VLOOKUP($D30, regions[], COLUMN(P$1), FALSE), VLOOKUP($A30,raw[],COLUMN(P$1),FALSE))</f>
        <v>4.8000000000000001E-2</v>
      </c>
      <c r="Q30" s="70">
        <f>IF(VLOOKUP($A30,raw[],COLUMN(Q$1),FALSE)=0, VLOOKUP($D30, regions[], COLUMN(Q$1), FALSE), VLOOKUP($A30,raw[],COLUMN(Q$1),FALSE))</f>
        <v>6.1042125029212402</v>
      </c>
      <c r="R30" s="70">
        <f>IF(VLOOKUP($A30,raw[],COLUMN(R$1),FALSE)=0, VLOOKUP($D30, regions[], COLUMN(R$1), FALSE), VLOOKUP($A30,raw[],COLUMN(R$1),FALSE))</f>
        <v>28.429592502921242</v>
      </c>
      <c r="S30" s="70">
        <f>IF(VLOOKUP($A30,raw[],COLUMN(S$1),FALSE)=0, VLOOKUP($D30, regions[], COLUMN(S$1), FALSE), VLOOKUP($A30,raw[],COLUMN(S$1),FALSE))</f>
        <v>67.66631727785375</v>
      </c>
      <c r="T30" s="70">
        <f>IF(VLOOKUP($A30,raw[],COLUMN(U$1)-COLUMN($A$1),FALSE)=0, VLOOKUP($D30, regions[], COLUMN(U$1)-COLUMN($A$1), FALSE), VLOOKUP($A30,raw[],COLUMN(U$1)-COLUMN($A$1),FALSE))</f>
        <v>72.879672427181333</v>
      </c>
      <c r="U30" s="70">
        <f>IF(VLOOKUP($A30,raw[],COLUMN(V$1)-COLUMN($A$1),FALSE)=0, VLOOKUP($D30, regions[], COLUMN(V$1)-COLUMN($A$1), FALSE), VLOOKUP($A30,raw[],COLUMN(V$1)-COLUMN($A$1),FALSE))</f>
        <v>70.485809938899479</v>
      </c>
      <c r="V30" s="70">
        <f>IF(VLOOKUP($A30,raw[],COLUMN(W$1)-COLUMN($A$1),FALSE)=0, VLOOKUP($D30, regions[], COLUMN(W$1)-COLUMN($A$1), FALSE), VLOOKUP($A30,raw[],COLUMN(W$1)-COLUMN($A$1),FALSE))</f>
        <v>2.59583460982532</v>
      </c>
      <c r="W30" s="70">
        <f>IF(VLOOKUP($A30,raw[],COLUMN(X$1)-COLUMN($A$1),FALSE)=0, VLOOKUP($D30, regions[], COLUMN(X$1)-COLUMN($A$1), FALSE), VLOOKUP($A30,raw[],COLUMN(X$1)-COLUMN($A$1),FALSE))</f>
        <v>7.4258346098253201</v>
      </c>
      <c r="X30" s="70">
        <f>IF(VLOOKUP($A30,raw[],COLUMN(Y$1)-COLUMN($A$1),FALSE)=0, VLOOKUP($D30, regions[], COLUMN(Y$1)-COLUMN($A$1), FALSE), VLOOKUP($A30,raw[],COLUMN(Y$1)-COLUMN($A$1),FALSE))</f>
        <v>2.1840658839662601</v>
      </c>
      <c r="Y30" s="70">
        <f>IF(VLOOKUP($A30,raw[],COLUMN(Z$1)-COLUMN($A$1),FALSE)=0, VLOOKUP($D30, regions[], COLUMN(Z$1)-COLUMN($A$1), FALSE), VLOOKUP($A30,raw[],COLUMN(Z$1)-COLUMN($A$1),FALSE))</f>
        <v>7.0140658839662606</v>
      </c>
      <c r="Z30" s="70">
        <f>IF(VLOOKUP($A30,raw[],COLUMN(AA$1)-COLUMN($A$1),FALSE)=0, VLOOKUP($D30, regions[], COLUMN(AA$1)-COLUMN($A$1), FALSE), VLOOKUP($A30,raw[],COLUMN(AA$1)-COLUMN($A$1),FALSE))</f>
        <v>7.0097625177251341</v>
      </c>
      <c r="AA30" s="70">
        <f>IF(VLOOKUP($A30,raw[],COLUMN(AB$1)-COLUMN($A$1),FALSE)=0, VLOOKUP($D30, regions[], COLUMN(AB$1)-COLUMN($A$1), FALSE), VLOOKUP($A30,raw[],COLUMN(AB$1)-COLUMN($A$1),FALSE))</f>
        <v>2.8013990386687038</v>
      </c>
      <c r="AB30" s="70">
        <f>IF(VLOOKUP($A30,raw[],COLUMN(AC$1)-COLUMN($A$1),FALSE)=0, VLOOKUP($D30, regions[], COLUMN(AC$1)-COLUMN($A$1), FALSE), VLOOKUP($A30,raw[],COLUMN(AC$1)-COLUMN($A$1),FALSE))</f>
        <v>7.6313990386687038</v>
      </c>
      <c r="AC30" s="72">
        <f>IF(VLOOKUP($A30,raw[],COLUMN(AD$1)-COLUMN($A$1),FALSE)=0, VLOOKUP($D30, regions[], COLUMN(AD$1)-COLUMN($A$1), FALSE), VLOOKUP($A30,raw[],COLUMN(AD$1)-COLUMN($A$1),FALSE))</f>
        <v>3.530600999999995E-2</v>
      </c>
      <c r="AD30" s="72">
        <f>IF(VLOOKUP($A30,raw[],COLUMN(AE$1)-COLUMN($A$1),FALSE)=0, VLOOKUP($D30, regions[], COLUMN(AE$1)-COLUMN($A$1), FALSE), VLOOKUP($A30,raw[],COLUMN(AE$1)-COLUMN($A$1),FALSE))</f>
        <v>3.1717311724933847E-3</v>
      </c>
      <c r="AE30" s="72">
        <f>IF(VLOOKUP($A30,raw[],COLUMN(AF$1)-COLUMN($A$1),FALSE)=0, VLOOKUP($D30, regions[], COLUMN(AF$1)-COLUMN($A$1), FALSE), VLOOKUP($A30,raw[],COLUMN(AF$1)-COLUMN($A$1),FALSE))</f>
        <v>1.3452772188216387E-3</v>
      </c>
      <c r="AF30" s="72">
        <f>IF(VLOOKUP($A30,raw[],COLUMN(AG$1)-COLUMN($A$1),FALSE)=0, VLOOKUP($D30, regions[], COLUMN(AG$1)-COLUMN($A$1), FALSE), VLOOKUP($A30,raw[],COLUMN(AG$1)-COLUMN($A$1),FALSE))</f>
        <v>9.9392376760084429E-4</v>
      </c>
      <c r="AG30" s="72">
        <f>IF(VLOOKUP($A30,raw[],COLUMN(AH$1)-COLUMN($A$1),FALSE)=0, VLOOKUP($D30, regions[], COLUMN(AH$1)-COLUMN($A$1), FALSE), VLOOKUP($A30,raw[],COLUMN(AH$1)-COLUMN($A$1),FALSE))</f>
        <v>1.6210963076301219E-3</v>
      </c>
      <c r="AH30" s="72">
        <f>IF(VLOOKUP($A30,raw[],COLUMN(AI$1)-COLUMN($A$1),FALSE)=0, VLOOKUP($D30, regions[], COLUMN(AI$1)-COLUMN($A$1), FALSE), VLOOKUP($A30,raw[],COLUMN(AI$1)-COLUMN($A$1),FALSE))</f>
        <v>2.5597781871428797E-3</v>
      </c>
      <c r="AI30" s="72">
        <f>IF(VLOOKUP($A30,raw[],COLUMN(AJ$1)-COLUMN($A$1),FALSE)=0, VLOOKUP($D30, regions[], COLUMN(AJ$1)-COLUMN($A$1), FALSE), VLOOKUP($A30,raw[],COLUMN(AJ$1)-COLUMN($A$1),FALSE))</f>
        <v>3.44003463784692E-3</v>
      </c>
      <c r="AJ30" s="72">
        <f>IF(VLOOKUP($A30,raw[],COLUMN(AK$1)-COLUMN($A$1),FALSE)=0, VLOOKUP($D30, regions[], COLUMN(AK$1)-COLUMN($A$1), FALSE), VLOOKUP($A30,raw[],COLUMN(AK$1)-COLUMN($A$1),FALSE))</f>
        <v>4.3737151618387328E-3</v>
      </c>
      <c r="AK30" s="72">
        <f>IF(VLOOKUP($A30,raw[],COLUMN(AL$1)-COLUMN($A$1),FALSE)=0, VLOOKUP($D30, regions[], COLUMN(AL$1)-COLUMN($A$1), FALSE), VLOOKUP($A30,raw[],COLUMN(AL$1)-COLUMN($A$1),FALSE))</f>
        <v>5.6764018575043334E-3</v>
      </c>
      <c r="AL30" s="72">
        <f>IF(VLOOKUP($A30,raw[],COLUMN(AM$1)-COLUMN($A$1),FALSE)=0, VLOOKUP($D30, regions[], COLUMN(AM$1)-COLUMN($A$1), FALSE), VLOOKUP($A30,raw[],COLUMN(AM$1)-COLUMN($A$1),FALSE))</f>
        <v>6.9930262268914824E-3</v>
      </c>
      <c r="AM30" s="72">
        <f>IF(VLOOKUP($A30,raw[],COLUMN(AN$1)-COLUMN($A$1),FALSE)=0, VLOOKUP($D30, regions[], COLUMN(AN$1)-COLUMN($A$1), FALSE), VLOOKUP($A30,raw[],COLUMN(AN$1)-COLUMN($A$1),FALSE))</f>
        <v>8.5974144782363215E-3</v>
      </c>
      <c r="AN30" s="72">
        <f>IF(VLOOKUP($A30,raw[],COLUMN(AO$1)-COLUMN($A$1),FALSE)=0, VLOOKUP($D30, regions[], COLUMN(AO$1)-COLUMN($A$1), FALSE), VLOOKUP($A30,raw[],COLUMN(AO$1)-COLUMN($A$1),FALSE))</f>
        <v>1.1451863433616953E-2</v>
      </c>
      <c r="AO30" s="72">
        <f>IF(VLOOKUP($A30,raw[],COLUMN(AP$1)-COLUMN($A$1),FALSE)=0, VLOOKUP($D30, regions[], COLUMN(AP$1)-COLUMN($A$1), FALSE), VLOOKUP($A30,raw[],COLUMN(AP$1)-COLUMN($A$1),FALSE))</f>
        <v>1.4818382230749182E-2</v>
      </c>
      <c r="AP30" s="72">
        <f>IF(VLOOKUP($A30,raw[],COLUMN(AQ$1)-COLUMN($A$1),FALSE)=0, VLOOKUP($D30, regions[], COLUMN(AQ$1)-COLUMN($A$1), FALSE), VLOOKUP($A30,raw[],COLUMN(AQ$1)-COLUMN($A$1),FALSE))</f>
        <v>2.1302291206178454E-2</v>
      </c>
      <c r="AQ30" s="72">
        <f>IF(VLOOKUP($A30,raw[],COLUMN(AR$1)-COLUMN($A$1),FALSE)=0, VLOOKUP($D30, regions[], COLUMN(AR$1)-COLUMN($A$1), FALSE), VLOOKUP($A30,raw[],COLUMN(AR$1)-COLUMN($A$1),FALSE))</f>
        <v>3.1865335079911378E-2</v>
      </c>
      <c r="AR30" s="72">
        <f>IF(VLOOKUP($A30,raw[],COLUMN(AS$1)-COLUMN($A$1),FALSE)=0, VLOOKUP($D30, regions[], COLUMN(AS$1)-COLUMN($A$1), FALSE), VLOOKUP($A30,raw[],COLUMN(AS$1)-COLUMN($A$1),FALSE))</f>
        <v>4.8549067683627468E-2</v>
      </c>
      <c r="AS30" s="72">
        <f>IF(VLOOKUP($A30,raw[],COLUMN(AT$1)-COLUMN($A$1),FALSE)=0, VLOOKUP($D30, regions[], COLUMN(AT$1)-COLUMN($A$1), FALSE), VLOOKUP($A30,raw[],COLUMN(AT$1)-COLUMN($A$1),FALSE))</f>
        <v>7.3367233525748185E-2</v>
      </c>
      <c r="AT30" s="72">
        <f>IF(VLOOKUP($A30,raw[],COLUMN(AU$1)-COLUMN($A$1),FALSE)=0, VLOOKUP($D30, regions[], COLUMN(AU$1)-COLUMN($A$1), FALSE), VLOOKUP($A30,raw[],COLUMN(AU$1)-COLUMN($A$1),FALSE))</f>
        <v>0.10931198128355135</v>
      </c>
      <c r="AU30" s="72">
        <f>IF(VLOOKUP($A30,raw[],COLUMN(AV$1)-COLUMN($A$1),FALSE)=0, VLOOKUP($D30, regions[], COLUMN(AV$1)-COLUMN($A$1), FALSE), VLOOKUP($A30,raw[],COLUMN(AV$1)-COLUMN($A$1),FALSE))</f>
        <v>0.15002151967875849</v>
      </c>
      <c r="AV30" s="72">
        <f>IF(VLOOKUP($A30,raw[],COLUMN(AW$1)-COLUMN($A$1),FALSE)=0, VLOOKUP($D30, regions[], COLUMN(AW$1)-COLUMN($A$1), FALSE), VLOOKUP($A30,raw[],COLUMN(AW$1)-COLUMN($A$1),FALSE))</f>
        <v>0.18105531460327798</v>
      </c>
      <c r="AW30" s="72">
        <f>IF(VLOOKUP($A30,raw[],COLUMN(AX$1)-COLUMN($A$1),FALSE)=0, VLOOKUP($D30, regions[], COLUMN(AX$1)-COLUMN($A$1), FALSE), VLOOKUP($A30,raw[],COLUMN(AX$1)-COLUMN($A$1),FALSE))</f>
        <v>0.18968310805025923</v>
      </c>
      <c r="AX30" s="72">
        <f>IF(VLOOKUP($A30,raw[],COLUMN(AY$1)-COLUMN($A$1),FALSE)=0, VLOOKUP($D30, regions[], COLUMN(AY$1)-COLUMN($A$1), FALSE), VLOOKUP($A30,raw[],COLUMN(AY$1)-COLUMN($A$1),FALSE))</f>
        <v>64.156999999999996</v>
      </c>
      <c r="AY30" t="str">
        <f t="shared" si="0"/>
        <v>Yes</v>
      </c>
    </row>
    <row r="31" spans="1:51" x14ac:dyDescent="0.25">
      <c r="A31" s="55" t="s">
        <v>281</v>
      </c>
      <c r="B31" s="56" t="s">
        <v>282</v>
      </c>
      <c r="C31" s="56">
        <v>188</v>
      </c>
      <c r="D31" s="56" t="s">
        <v>215</v>
      </c>
      <c r="E31" s="56" t="s">
        <v>274</v>
      </c>
      <c r="F31" s="56" t="s">
        <v>217</v>
      </c>
      <c r="G31" s="56" t="s">
        <v>204</v>
      </c>
      <c r="H31" s="74">
        <f>VLOOKUP(lmics[[#This Row],[setting]],raw[],8,FALSE)</f>
        <v>5094114</v>
      </c>
      <c r="I31" s="74">
        <f>VLOOKUP(lmics[[#This Row],[setting]],raw[],9,FALSE)</f>
        <v>71883.042654000004</v>
      </c>
      <c r="J31" s="67">
        <f>IF(VLOOKUP($A31,raw[],COLUMN(J$1),FALSE)=0, VLOOKUP($D31, regions[], COLUMN(J$1), FALSE), VLOOKUP($A31,raw[],COLUMN(J$1),FALSE))</f>
        <v>0.97799999999999998</v>
      </c>
      <c r="K31" s="77">
        <f>VLOOKUP($A31, raw[], 11, FALSE)</f>
        <v>0.87</v>
      </c>
      <c r="L31" s="77">
        <f>VLOOKUP($A31, raw[], 12, FALSE)</f>
        <v>0.98</v>
      </c>
      <c r="M31" s="77">
        <f>IF(VLOOKUP($A31,raw[],COLUMN(M$1),FALSE)=0, VLOOKUP($D31, regions[], COLUMN(M$1), FALSE), VLOOKUP($A31,raw[],COLUMN(M$1),FALSE))</f>
        <v>4.0000000000000001E-3</v>
      </c>
      <c r="N31" s="68">
        <f>IF(VLOOKUP($A31,raw[],COLUMN(N$1),FALSE)=0, VLOOKUP($D31, regions[], COLUMN(N$1), FALSE), VLOOKUP($A31,raw[],COLUMN(N$1),FALSE))</f>
        <v>0.30752866335744444</v>
      </c>
      <c r="O31" s="67">
        <f>IF(VLOOKUP($A31,raw[],COLUMN(O$1),FALSE)=0, VLOOKUP($D31, regions[], COLUMN(O$1), FALSE), VLOOKUP($A31,raw[],COLUMN(O$1),FALSE))</f>
        <v>0.8</v>
      </c>
      <c r="P31" s="68">
        <f>IF(VLOOKUP($A31,raw[],COLUMN(P$1),FALSE)=0, VLOOKUP($D31, regions[], COLUMN(P$1), FALSE), VLOOKUP($A31,raw[],COLUMN(P$1),FALSE))</f>
        <v>0.17499999999999999</v>
      </c>
      <c r="Q31" s="70">
        <f>IF(VLOOKUP($A31,raw[],COLUMN(Q$1),FALSE)=0, VLOOKUP($D31, regions[], COLUMN(Q$1), FALSE), VLOOKUP($A31,raw[],COLUMN(Q$1),FALSE))</f>
        <v>14.0360325472088</v>
      </c>
      <c r="R31" s="70">
        <f>IF(VLOOKUP($A31,raw[],COLUMN(R$1),FALSE)=0, VLOOKUP($D31, regions[], COLUMN(R$1), FALSE), VLOOKUP($A31,raw[],COLUMN(R$1),FALSE))</f>
        <v>36.361412547208801</v>
      </c>
      <c r="S31" s="70">
        <f>IF(VLOOKUP($A31,raw[],COLUMN(S$1),FALSE)=0, VLOOKUP($D31, regions[], COLUMN(S$1), FALSE), VLOOKUP($A31,raw[],COLUMN(S$1),FALSE))</f>
        <v>108.25737028284458</v>
      </c>
      <c r="T31" s="70">
        <f>IF(VLOOKUP($A31,raw[],COLUMN(U$1)-COLUMN($A$1),FALSE)=0, VLOOKUP($D31, regions[], COLUMN(U$1)-COLUMN($A$1), FALSE), VLOOKUP($A31,raw[],COLUMN(U$1)-COLUMN($A$1),FALSE))</f>
        <v>130.46871471055076</v>
      </c>
      <c r="U31" s="70">
        <f>IF(VLOOKUP($A31,raw[],COLUMN(V$1)-COLUMN($A$1),FALSE)=0, VLOOKUP($D31, regions[], COLUMN(V$1)-COLUMN($A$1), FALSE), VLOOKUP($A31,raw[],COLUMN(V$1)-COLUMN($A$1),FALSE))</f>
        <v>120.26973483735875</v>
      </c>
      <c r="V31" s="70">
        <f>IF(VLOOKUP($A31,raw[],COLUMN(W$1)-COLUMN($A$1),FALSE)=0, VLOOKUP($D31, regions[], COLUMN(W$1)-COLUMN($A$1), FALSE), VLOOKUP($A31,raw[],COLUMN(W$1)-COLUMN($A$1),FALSE))</f>
        <v>6.8954766116386441</v>
      </c>
      <c r="W31" s="70">
        <f>IF(VLOOKUP($A31,raw[],COLUMN(X$1)-COLUMN($A$1),FALSE)=0, VLOOKUP($D31, regions[], COLUMN(X$1)-COLUMN($A$1), FALSE), VLOOKUP($A31,raw[],COLUMN(X$1)-COLUMN($A$1),FALSE))</f>
        <v>6.9154766116386437</v>
      </c>
      <c r="X31" s="70">
        <f>IF(VLOOKUP($A31,raw[],COLUMN(Y$1)-COLUMN($A$1),FALSE)=0, VLOOKUP($D31, regions[], COLUMN(Y$1)-COLUMN($A$1), FALSE), VLOOKUP($A31,raw[],COLUMN(Y$1)-COLUMN($A$1),FALSE))</f>
        <v>6.4552307661715762</v>
      </c>
      <c r="Y31" s="70">
        <f>IF(VLOOKUP($A31,raw[],COLUMN(Z$1)-COLUMN($A$1),FALSE)=0, VLOOKUP($D31, regions[], COLUMN(Z$1)-COLUMN($A$1), FALSE), VLOOKUP($A31,raw[],COLUMN(Z$1)-COLUMN($A$1),FALSE))</f>
        <v>6.4752307661715758</v>
      </c>
      <c r="Z31" s="70">
        <f>IF(VLOOKUP($A31,raw[],COLUMN(AA$1)-COLUMN($A$1),FALSE)=0, VLOOKUP($D31, regions[], COLUMN(AA$1)-COLUMN($A$1), FALSE), VLOOKUP($A31,raw[],COLUMN(AA$1)-COLUMN($A$1),FALSE))</f>
        <v>6.4591490554085196</v>
      </c>
      <c r="AA31" s="70">
        <f>IF(VLOOKUP($A31,raw[],COLUMN(AB$1)-COLUMN($A$1),FALSE)=0, VLOOKUP($D31, regions[], COLUMN(AB$1)-COLUMN($A$1), FALSE), VLOOKUP($A31,raw[],COLUMN(AB$1)-COLUMN($A$1),FALSE))</f>
        <v>7.1111937526900997</v>
      </c>
      <c r="AB31" s="70">
        <f>IF(VLOOKUP($A31,raw[],COLUMN(AC$1)-COLUMN($A$1),FALSE)=0, VLOOKUP($D31, regions[], COLUMN(AC$1)-COLUMN($A$1), FALSE), VLOOKUP($A31,raw[],COLUMN(AC$1)-COLUMN($A$1),FALSE))</f>
        <v>7.1311937526900993</v>
      </c>
      <c r="AC31" s="72">
        <f>IF(VLOOKUP($A31,raw[],COLUMN(AD$1)-COLUMN($A$1),FALSE)=0, VLOOKUP($D31, regions[], COLUMN(AD$1)-COLUMN($A$1), FALSE), VLOOKUP($A31,raw[],COLUMN(AD$1)-COLUMN($A$1),FALSE))</f>
        <v>7.3181299999999462E-3</v>
      </c>
      <c r="AD31" s="72">
        <f>IF(VLOOKUP($A31,raw[],COLUMN(AE$1)-COLUMN($A$1),FALSE)=0, VLOOKUP($D31, regions[], COLUMN(AE$1)-COLUMN($A$1), FALSE), VLOOKUP($A31,raw[],COLUMN(AE$1)-COLUMN($A$1),FALSE))</f>
        <v>4.6142426273991451E-4</v>
      </c>
      <c r="AE31" s="72">
        <f>IF(VLOOKUP($A31,raw[],COLUMN(AF$1)-COLUMN($A$1),FALSE)=0, VLOOKUP($D31, regions[], COLUMN(AF$1)-COLUMN($A$1), FALSE), VLOOKUP($A31,raw[],COLUMN(AF$1)-COLUMN($A$1),FALSE))</f>
        <v>1.8918914118232766E-4</v>
      </c>
      <c r="AF31" s="72">
        <f>IF(VLOOKUP($A31,raw[],COLUMN(AG$1)-COLUMN($A$1),FALSE)=0, VLOOKUP($D31, regions[], COLUMN(AG$1)-COLUMN($A$1), FALSE), VLOOKUP($A31,raw[],COLUMN(AG$1)-COLUMN($A$1),FALSE))</f>
        <v>2.5232738020382442E-4</v>
      </c>
      <c r="AG31" s="72">
        <f>IF(VLOOKUP($A31,raw[],COLUMN(AH$1)-COLUMN($A$1),FALSE)=0, VLOOKUP($D31, regions[], COLUMN(AH$1)-COLUMN($A$1), FALSE), VLOOKUP($A31,raw[],COLUMN(AH$1)-COLUMN($A$1),FALSE))</f>
        <v>5.2172454069002096E-4</v>
      </c>
      <c r="AH31" s="72">
        <f>IF(VLOOKUP($A31,raw[],COLUMN(AI$1)-COLUMN($A$1),FALSE)=0, VLOOKUP($D31, regions[], COLUMN(AI$1)-COLUMN($A$1), FALSE), VLOOKUP($A31,raw[],COLUMN(AI$1)-COLUMN($A$1),FALSE))</f>
        <v>7.908633138036745E-4</v>
      </c>
      <c r="AI31" s="72">
        <f>IF(VLOOKUP($A31,raw[],COLUMN(AJ$1)-COLUMN($A$1),FALSE)=0, VLOOKUP($D31, regions[], COLUMN(AJ$1)-COLUMN($A$1), FALSE), VLOOKUP($A31,raw[],COLUMN(AJ$1)-COLUMN($A$1),FALSE))</f>
        <v>9.1949466879533679E-4</v>
      </c>
      <c r="AJ31" s="72">
        <f>IF(VLOOKUP($A31,raw[],COLUMN(AK$1)-COLUMN($A$1),FALSE)=0, VLOOKUP($D31, regions[], COLUMN(AK$1)-COLUMN($A$1), FALSE), VLOOKUP($A31,raw[],COLUMN(AK$1)-COLUMN($A$1),FALSE))</f>
        <v>1.0856776487376807E-3</v>
      </c>
      <c r="AK31" s="72">
        <f>IF(VLOOKUP($A31,raw[],COLUMN(AL$1)-COLUMN($A$1),FALSE)=0, VLOOKUP($D31, regions[], COLUMN(AL$1)-COLUMN($A$1), FALSE), VLOOKUP($A31,raw[],COLUMN(AL$1)-COLUMN($A$1),FALSE))</f>
        <v>1.3319622395929988E-3</v>
      </c>
      <c r="AL31" s="72">
        <f>IF(VLOOKUP($A31,raw[],COLUMN(AM$1)-COLUMN($A$1),FALSE)=0, VLOOKUP($D31, regions[], COLUMN(AM$1)-COLUMN($A$1), FALSE), VLOOKUP($A31,raw[],COLUMN(AM$1)-COLUMN($A$1),FALSE))</f>
        <v>1.7484039146829294E-3</v>
      </c>
      <c r="AM31" s="72">
        <f>IF(VLOOKUP($A31,raw[],COLUMN(AN$1)-COLUMN($A$1),FALSE)=0, VLOOKUP($D31, regions[], COLUMN(AN$1)-COLUMN($A$1), FALSE), VLOOKUP($A31,raw[],COLUMN(AN$1)-COLUMN($A$1),FALSE))</f>
        <v>2.4687342957337038E-3</v>
      </c>
      <c r="AN31" s="72">
        <f>IF(VLOOKUP($A31,raw[],COLUMN(AO$1)-COLUMN($A$1),FALSE)=0, VLOOKUP($D31, regions[], COLUMN(AO$1)-COLUMN($A$1), FALSE), VLOOKUP($A31,raw[],COLUMN(AO$1)-COLUMN($A$1),FALSE))</f>
        <v>3.6194176823825556E-3</v>
      </c>
      <c r="AO31" s="72">
        <f>IF(VLOOKUP($A31,raw[],COLUMN(AP$1)-COLUMN($A$1),FALSE)=0, VLOOKUP($D31, regions[], COLUMN(AP$1)-COLUMN($A$1), FALSE), VLOOKUP($A31,raw[],COLUMN(AP$1)-COLUMN($A$1),FALSE))</f>
        <v>5.4910944339037924E-3</v>
      </c>
      <c r="AP31" s="72">
        <f>IF(VLOOKUP($A31,raw[],COLUMN(AQ$1)-COLUMN($A$1),FALSE)=0, VLOOKUP($D31, regions[], COLUMN(AQ$1)-COLUMN($A$1), FALSE), VLOOKUP($A31,raw[],COLUMN(AQ$1)-COLUMN($A$1),FALSE))</f>
        <v>8.4570007585224993E-3</v>
      </c>
      <c r="AQ31" s="72">
        <f>IF(VLOOKUP($A31,raw[],COLUMN(AR$1)-COLUMN($A$1),FALSE)=0, VLOOKUP($D31, regions[], COLUMN(AR$1)-COLUMN($A$1), FALSE), VLOOKUP($A31,raw[],COLUMN(AR$1)-COLUMN($A$1),FALSE))</f>
        <v>1.3241919781259413E-2</v>
      </c>
      <c r="AR31" s="72">
        <f>IF(VLOOKUP($A31,raw[],COLUMN(AS$1)-COLUMN($A$1),FALSE)=0, VLOOKUP($D31, regions[], COLUMN(AS$1)-COLUMN($A$1), FALSE), VLOOKUP($A31,raw[],COLUMN(AS$1)-COLUMN($A$1),FALSE))</f>
        <v>2.0486290411796466E-2</v>
      </c>
      <c r="AS31" s="72">
        <f>IF(VLOOKUP($A31,raw[],COLUMN(AT$1)-COLUMN($A$1),FALSE)=0, VLOOKUP($D31, regions[], COLUMN(AT$1)-COLUMN($A$1), FALSE), VLOOKUP($A31,raw[],COLUMN(AT$1)-COLUMN($A$1),FALSE))</f>
        <v>3.2474185601327671E-2</v>
      </c>
      <c r="AT31" s="72">
        <f>IF(VLOOKUP($A31,raw[],COLUMN(AU$1)-COLUMN($A$1),FALSE)=0, VLOOKUP($D31, regions[], COLUMN(AU$1)-COLUMN($A$1), FALSE), VLOOKUP($A31,raw[],COLUMN(AU$1)-COLUMN($A$1),FALSE))</f>
        <v>5.0450906422022219E-2</v>
      </c>
      <c r="AU31" s="72">
        <f>IF(VLOOKUP($A31,raw[],COLUMN(AV$1)-COLUMN($A$1),FALSE)=0, VLOOKUP($D31, regions[], COLUMN(AV$1)-COLUMN($A$1), FALSE), VLOOKUP($A31,raw[],COLUMN(AV$1)-COLUMN($A$1),FALSE))</f>
        <v>7.5109505569320376E-2</v>
      </c>
      <c r="AV31" s="72">
        <f>IF(VLOOKUP($A31,raw[],COLUMN(AW$1)-COLUMN($A$1),FALSE)=0, VLOOKUP($D31, regions[], COLUMN(AW$1)-COLUMN($A$1), FALSE), VLOOKUP($A31,raw[],COLUMN(AW$1)-COLUMN($A$1),FALSE))</f>
        <v>0.10663738143527123</v>
      </c>
      <c r="AW31" s="72">
        <f>IF(VLOOKUP($A31,raw[],COLUMN(AX$1)-COLUMN($A$1),FALSE)=0, VLOOKUP($D31, regions[], COLUMN(AX$1)-COLUMN($A$1), FALSE), VLOOKUP($A31,raw[],COLUMN(AX$1)-COLUMN($A$1),FALSE))</f>
        <v>0.14167834271936142</v>
      </c>
      <c r="AX31" s="72">
        <f>IF(VLOOKUP($A31,raw[],COLUMN(AY$1)-COLUMN($A$1),FALSE)=0, VLOOKUP($D31, regions[], COLUMN(AY$1)-COLUMN($A$1), FALSE), VLOOKUP($A31,raw[],COLUMN(AY$1)-COLUMN($A$1),FALSE))</f>
        <v>80.003</v>
      </c>
      <c r="AY31" t="str">
        <f t="shared" si="0"/>
        <v>No</v>
      </c>
    </row>
    <row r="32" spans="1:51" x14ac:dyDescent="0.25">
      <c r="A32" s="53" t="s">
        <v>283</v>
      </c>
      <c r="B32" s="54" t="s">
        <v>284</v>
      </c>
      <c r="C32" s="54">
        <v>384</v>
      </c>
      <c r="D32" s="54" t="s">
        <v>207</v>
      </c>
      <c r="E32" s="54" t="s">
        <v>235</v>
      </c>
      <c r="F32" s="54" t="s">
        <v>211</v>
      </c>
      <c r="G32" s="54" t="s">
        <v>212</v>
      </c>
      <c r="H32" s="73">
        <f>VLOOKUP(lmics[[#This Row],[setting]],raw[],8,FALSE)</f>
        <v>26378275</v>
      </c>
      <c r="I32" s="73">
        <f>VLOOKUP(lmics[[#This Row],[setting]],raw[],9,FALSE)</f>
        <v>946848.18112500012</v>
      </c>
      <c r="J32" s="67">
        <f>IF(VLOOKUP($A32,raw[],COLUMN(J$1),FALSE)=0, VLOOKUP($D32, regions[], COLUMN(J$1), FALSE), VLOOKUP($A32,raw[],COLUMN(J$1),FALSE))</f>
        <v>0.69799999999999995</v>
      </c>
      <c r="K32" s="77">
        <f>VLOOKUP($A32, raw[], 11, FALSE)</f>
        <v>0.62</v>
      </c>
      <c r="L32" s="77">
        <f>VLOOKUP($A32, raw[], 12, FALSE)</f>
        <v>0.8</v>
      </c>
      <c r="M32" s="77">
        <f>IF(VLOOKUP($A32,raw[],COLUMN(M$1),FALSE)=0, VLOOKUP($D32, regions[], COLUMN(M$1), FALSE), VLOOKUP($A32,raw[],COLUMN(M$1),FALSE))</f>
        <v>0.1069</v>
      </c>
      <c r="N32" s="68">
        <f>IF(VLOOKUP($A32,raw[],COLUMN(N$1),FALSE)=0, VLOOKUP($D32, regions[], COLUMN(N$1), FALSE), VLOOKUP($A32,raw[],COLUMN(N$1),FALSE))</f>
        <v>0.29747114568885691</v>
      </c>
      <c r="O32" s="67">
        <f>IF(VLOOKUP($A32,raw[],COLUMN(O$1),FALSE)=0, VLOOKUP($D32, regions[], COLUMN(O$1), FALSE), VLOOKUP($A32,raw[],COLUMN(O$1),FALSE))</f>
        <v>0.38300000000000001</v>
      </c>
      <c r="P32" s="68">
        <f>IF(VLOOKUP($A32,raw[],COLUMN(P$1),FALSE)=0, VLOOKUP($D32, regions[], COLUMN(P$1), FALSE), VLOOKUP($A32,raw[],COLUMN(P$1),FALSE))</f>
        <v>4.8000000000000001E-2</v>
      </c>
      <c r="Q32" s="70">
        <f>IF(VLOOKUP($A32,raw[],COLUMN(Q$1),FALSE)=0, VLOOKUP($D32, regions[], COLUMN(Q$1), FALSE), VLOOKUP($A32,raw[],COLUMN(Q$1),FALSE))</f>
        <v>3.7326126436781601</v>
      </c>
      <c r="R32" s="70">
        <f>IF(VLOOKUP($A32,raw[],COLUMN(R$1),FALSE)=0, VLOOKUP($D32, regions[], COLUMN(R$1), FALSE), VLOOKUP($A32,raw[],COLUMN(R$1),FALSE))</f>
        <v>26.057992643678162</v>
      </c>
      <c r="S32" s="70">
        <f>IF(VLOOKUP($A32,raw[],COLUMN(S$1),FALSE)=0, VLOOKUP($D32, regions[], COLUMN(S$1), FALSE), VLOOKUP($A32,raw[],COLUMN(S$1),FALSE))</f>
        <v>58.49183420708799</v>
      </c>
      <c r="T32" s="70">
        <f>IF(VLOOKUP($A32,raw[],COLUMN(U$1)-COLUMN($A$1),FALSE)=0, VLOOKUP($D32, regions[], COLUMN(U$1)-COLUMN($A$1), FALSE), VLOOKUP($A32,raw[],COLUMN(U$1)-COLUMN($A$1),FALSE))</f>
        <v>60.16452641339238</v>
      </c>
      <c r="U32" s="70">
        <f>IF(VLOOKUP($A32,raw[],COLUMN(V$1)-COLUMN($A$1),FALSE)=0, VLOOKUP($D32, regions[], COLUMN(V$1)-COLUMN($A$1), FALSE), VLOOKUP($A32,raw[],COLUMN(V$1)-COLUMN($A$1),FALSE))</f>
        <v>59.39646150846643</v>
      </c>
      <c r="V32" s="70">
        <f>IF(VLOOKUP($A32,raw[],COLUMN(W$1)-COLUMN($A$1),FALSE)=0, VLOOKUP($D32, regions[], COLUMN(W$1)-COLUMN($A$1), FALSE), VLOOKUP($A32,raw[],COLUMN(W$1)-COLUMN($A$1),FALSE))</f>
        <v>2.2716675500600374</v>
      </c>
      <c r="W32" s="70">
        <f>IF(VLOOKUP($A32,raw[],COLUMN(X$1)-COLUMN($A$1),FALSE)=0, VLOOKUP($D32, regions[], COLUMN(X$1)-COLUMN($A$1), FALSE), VLOOKUP($A32,raw[],COLUMN(X$1)-COLUMN($A$1),FALSE))</f>
        <v>7.1016675500600375</v>
      </c>
      <c r="X32" s="70">
        <f>IF(VLOOKUP($A32,raw[],COLUMN(Y$1)-COLUMN($A$1),FALSE)=0, VLOOKUP($D32, regions[], COLUMN(Y$1)-COLUMN($A$1), FALSE), VLOOKUP($A32,raw[],COLUMN(Y$1)-COLUMN($A$1),FALSE))</f>
        <v>1.8569086787757421</v>
      </c>
      <c r="Y32" s="70">
        <f>IF(VLOOKUP($A32,raw[],COLUMN(Z$1)-COLUMN($A$1),FALSE)=0, VLOOKUP($D32, regions[], COLUMN(Z$1)-COLUMN($A$1), FALSE), VLOOKUP($A32,raw[],COLUMN(Z$1)-COLUMN($A$1),FALSE))</f>
        <v>6.6869086787757421</v>
      </c>
      <c r="Z32" s="70">
        <f>IF(VLOOKUP($A32,raw[],COLUMN(AA$1)-COLUMN($A$1),FALSE)=0, VLOOKUP($D32, regions[], COLUMN(AA$1)-COLUMN($A$1), FALSE), VLOOKUP($A32,raw[],COLUMN(AA$1)-COLUMN($A$1),FALSE))</f>
        <v>6.6813204815400633</v>
      </c>
      <c r="AA32" s="70">
        <f>IF(VLOOKUP($A32,raw[],COLUMN(AB$1)-COLUMN($A$1),FALSE)=0, VLOOKUP($D32, regions[], COLUMN(AB$1)-COLUMN($A$1), FALSE), VLOOKUP($A32,raw[],COLUMN(AB$1)-COLUMN($A$1),FALSE))</f>
        <v>2.4782980307506786</v>
      </c>
      <c r="AB32" s="70">
        <f>IF(VLOOKUP($A32,raw[],COLUMN(AC$1)-COLUMN($A$1),FALSE)=0, VLOOKUP($D32, regions[], COLUMN(AC$1)-COLUMN($A$1), FALSE), VLOOKUP($A32,raw[],COLUMN(AC$1)-COLUMN($A$1),FALSE))</f>
        <v>7.3082980307506791</v>
      </c>
      <c r="AC32" s="72">
        <f>IF(VLOOKUP($A32,raw[],COLUMN(AD$1)-COLUMN($A$1),FALSE)=0, VLOOKUP($D32, regions[], COLUMN(AD$1)-COLUMN($A$1), FALSE), VLOOKUP($A32,raw[],COLUMN(AD$1)-COLUMN($A$1),FALSE))</f>
        <v>6.0459799999999959E-2</v>
      </c>
      <c r="AD32" s="72">
        <f>IF(VLOOKUP($A32,raw[],COLUMN(AE$1)-COLUMN($A$1),FALSE)=0, VLOOKUP($D32, regions[], COLUMN(AE$1)-COLUMN($A$1), FALSE), VLOOKUP($A32,raw[],COLUMN(AE$1)-COLUMN($A$1),FALSE))</f>
        <v>7.0854339175694843E-3</v>
      </c>
      <c r="AE32" s="72">
        <f>IF(VLOOKUP($A32,raw[],COLUMN(AF$1)-COLUMN($A$1),FALSE)=0, VLOOKUP($D32, regions[], COLUMN(AF$1)-COLUMN($A$1), FALSE), VLOOKUP($A32,raw[],COLUMN(AF$1)-COLUMN($A$1),FALSE))</f>
        <v>2.5836663336663377E-3</v>
      </c>
      <c r="AF32" s="72">
        <f>IF(VLOOKUP($A32,raw[],COLUMN(AG$1)-COLUMN($A$1),FALSE)=0, VLOOKUP($D32, regions[], COLUMN(AG$1)-COLUMN($A$1), FALSE), VLOOKUP($A32,raw[],COLUMN(AG$1)-COLUMN($A$1),FALSE))</f>
        <v>1.8599525234577871E-3</v>
      </c>
      <c r="AG32" s="72">
        <f>IF(VLOOKUP($A32,raw[],COLUMN(AH$1)-COLUMN($A$1),FALSE)=0, VLOOKUP($D32, regions[], COLUMN(AH$1)-COLUMN($A$1), FALSE), VLOOKUP($A32,raw[],COLUMN(AH$1)-COLUMN($A$1),FALSE))</f>
        <v>2.7715887376696716E-3</v>
      </c>
      <c r="AH32" s="72">
        <f>IF(VLOOKUP($A32,raw[],COLUMN(AI$1)-COLUMN($A$1),FALSE)=0, VLOOKUP($D32, regions[], COLUMN(AI$1)-COLUMN($A$1), FALSE), VLOOKUP($A32,raw[],COLUMN(AI$1)-COLUMN($A$1),FALSE))</f>
        <v>4.0981295766211977E-3</v>
      </c>
      <c r="AI32" s="72">
        <f>IF(VLOOKUP($A32,raw[],COLUMN(AJ$1)-COLUMN($A$1),FALSE)=0, VLOOKUP($D32, regions[], COLUMN(AJ$1)-COLUMN($A$1), FALSE), VLOOKUP($A32,raw[],COLUMN(AJ$1)-COLUMN($A$1),FALSE))</f>
        <v>5.2283557631281133E-3</v>
      </c>
      <c r="AJ32" s="72">
        <f>IF(VLOOKUP($A32,raw[],COLUMN(AK$1)-COLUMN($A$1),FALSE)=0, VLOOKUP($D32, regions[], COLUMN(AK$1)-COLUMN($A$1), FALSE), VLOOKUP($A32,raw[],COLUMN(AK$1)-COLUMN($A$1),FALSE))</f>
        <v>6.4126252707657526E-3</v>
      </c>
      <c r="AK32" s="72">
        <f>IF(VLOOKUP($A32,raw[],COLUMN(AL$1)-COLUMN($A$1),FALSE)=0, VLOOKUP($D32, regions[], COLUMN(AL$1)-COLUMN($A$1), FALSE), VLOOKUP($A32,raw[],COLUMN(AL$1)-COLUMN($A$1),FALSE))</f>
        <v>8.0386040975210463E-3</v>
      </c>
      <c r="AL32" s="72">
        <f>IF(VLOOKUP($A32,raw[],COLUMN(AM$1)-COLUMN($A$1),FALSE)=0, VLOOKUP($D32, regions[], COLUMN(AM$1)-COLUMN($A$1), FALSE), VLOOKUP($A32,raw[],COLUMN(AM$1)-COLUMN($A$1),FALSE))</f>
        <v>9.7503351565958046E-3</v>
      </c>
      <c r="AM32" s="72">
        <f>IF(VLOOKUP($A32,raw[],COLUMN(AN$1)-COLUMN($A$1),FALSE)=0, VLOOKUP($D32, regions[], COLUMN(AN$1)-COLUMN($A$1), FALSE), VLOOKUP($A32,raw[],COLUMN(AN$1)-COLUMN($A$1),FALSE))</f>
        <v>1.1730824607662307E-2</v>
      </c>
      <c r="AN32" s="72">
        <f>IF(VLOOKUP($A32,raw[],COLUMN(AO$1)-COLUMN($A$1),FALSE)=0, VLOOKUP($D32, regions[], COLUMN(AO$1)-COLUMN($A$1), FALSE), VLOOKUP($A32,raw[],COLUMN(AO$1)-COLUMN($A$1),FALSE))</f>
        <v>1.531094484439299E-2</v>
      </c>
      <c r="AO32" s="72">
        <f>IF(VLOOKUP($A32,raw[],COLUMN(AP$1)-COLUMN($A$1),FALSE)=0, VLOOKUP($D32, regions[], COLUMN(AP$1)-COLUMN($A$1), FALSE), VLOOKUP($A32,raw[],COLUMN(AP$1)-COLUMN($A$1),FALSE))</f>
        <v>1.9539605890519628E-2</v>
      </c>
      <c r="AP32" s="72">
        <f>IF(VLOOKUP($A32,raw[],COLUMN(AQ$1)-COLUMN($A$1),FALSE)=0, VLOOKUP($D32, regions[], COLUMN(AQ$1)-COLUMN($A$1), FALSE), VLOOKUP($A32,raw[],COLUMN(AQ$1)-COLUMN($A$1),FALSE))</f>
        <v>2.7532192358079261E-2</v>
      </c>
      <c r="AQ32" s="72">
        <f>IF(VLOOKUP($A32,raw[],COLUMN(AR$1)-COLUMN($A$1),FALSE)=0, VLOOKUP($D32, regions[], COLUMN(AR$1)-COLUMN($A$1), FALSE), VLOOKUP($A32,raw[],COLUMN(AR$1)-COLUMN($A$1),FALSE))</f>
        <v>4.005454440234088E-2</v>
      </c>
      <c r="AR32" s="72">
        <f>IF(VLOOKUP($A32,raw[],COLUMN(AS$1)-COLUMN($A$1),FALSE)=0, VLOOKUP($D32, regions[], COLUMN(AS$1)-COLUMN($A$1), FALSE), VLOOKUP($A32,raw[],COLUMN(AS$1)-COLUMN($A$1),FALSE))</f>
        <v>5.8992919015540331E-2</v>
      </c>
      <c r="AS32" s="72">
        <f>IF(VLOOKUP($A32,raw[],COLUMN(AT$1)-COLUMN($A$1),FALSE)=0, VLOOKUP($D32, regions[], COLUMN(AT$1)-COLUMN($A$1), FALSE), VLOOKUP($A32,raw[],COLUMN(AT$1)-COLUMN($A$1),FALSE))</f>
        <v>8.5363956262810389E-2</v>
      </c>
      <c r="AT32" s="72">
        <f>IF(VLOOKUP($A32,raw[],COLUMN(AU$1)-COLUMN($A$1),FALSE)=0, VLOOKUP($D32, regions[], COLUMN(AU$1)-COLUMN($A$1), FALSE), VLOOKUP($A32,raw[],COLUMN(AU$1)-COLUMN($A$1),FALSE))</f>
        <v>0.12069078346567236</v>
      </c>
      <c r="AU32" s="72">
        <f>IF(VLOOKUP($A32,raw[],COLUMN(AV$1)-COLUMN($A$1),FALSE)=0, VLOOKUP($D32, regions[], COLUMN(AV$1)-COLUMN($A$1), FALSE), VLOOKUP($A32,raw[],COLUMN(AV$1)-COLUMN($A$1),FALSE))</f>
        <v>0.15740472383682066</v>
      </c>
      <c r="AV32" s="72">
        <f>IF(VLOOKUP($A32,raw[],COLUMN(AW$1)-COLUMN($A$1),FALSE)=0, VLOOKUP($D32, regions[], COLUMN(AW$1)-COLUMN($A$1), FALSE), VLOOKUP($A32,raw[],COLUMN(AW$1)-COLUMN($A$1),FALSE))</f>
        <v>0.18322798533596515</v>
      </c>
      <c r="AW32" s="72">
        <f>IF(VLOOKUP($A32,raw[],COLUMN(AX$1)-COLUMN($A$1),FALSE)=0, VLOOKUP($D32, regions[], COLUMN(AX$1)-COLUMN($A$1), FALSE), VLOOKUP($A32,raw[],COLUMN(AX$1)-COLUMN($A$1),FALSE))</f>
        <v>0.18956358144949656</v>
      </c>
      <c r="AX32" s="72">
        <f>IF(VLOOKUP($A32,raw[],COLUMN(AY$1)-COLUMN($A$1),FALSE)=0, VLOOKUP($D32, regions[], COLUMN(AY$1)-COLUMN($A$1), FALSE), VLOOKUP($A32,raw[],COLUMN(AY$1)-COLUMN($A$1),FALSE))</f>
        <v>57.244999999999997</v>
      </c>
      <c r="AY32" t="str">
        <f t="shared" si="0"/>
        <v>No</v>
      </c>
    </row>
    <row r="33" spans="1:51" x14ac:dyDescent="0.25">
      <c r="A33" s="55" t="s">
        <v>285</v>
      </c>
      <c r="B33" s="56" t="s">
        <v>286</v>
      </c>
      <c r="C33" s="56">
        <v>192</v>
      </c>
      <c r="D33" s="56" t="s">
        <v>215</v>
      </c>
      <c r="E33" s="56" t="s">
        <v>232</v>
      </c>
      <c r="F33" s="56" t="s">
        <v>217</v>
      </c>
      <c r="G33" s="56" t="s">
        <v>204</v>
      </c>
      <c r="H33" s="74">
        <f>VLOOKUP(lmics[[#This Row],[setting]],raw[],8,FALSE)</f>
        <v>11326616</v>
      </c>
      <c r="I33" s="74">
        <f>VLOOKUP(lmics[[#This Row],[setting]],raw[],9,FALSE)</f>
        <v>115724.03567200001</v>
      </c>
      <c r="J33" s="67">
        <f>IF(VLOOKUP($A33,raw[],COLUMN(J$1),FALSE)=0, VLOOKUP($D33, regions[], COLUMN(J$1), FALSE), VLOOKUP($A33,raw[],COLUMN(J$1),FALSE))</f>
        <v>0.999</v>
      </c>
      <c r="K33" s="77">
        <f>VLOOKUP($A33, raw[], 11, FALSE)</f>
        <v>0.99</v>
      </c>
      <c r="L33" s="77">
        <f>VLOOKUP($A33, raw[], 12, FALSE)</f>
        <v>0.99</v>
      </c>
      <c r="M33" s="77">
        <f>IF(VLOOKUP($A33,raw[],COLUMN(M$1),FALSE)=0, VLOOKUP($D33, regions[], COLUMN(M$1), FALSE), VLOOKUP($A33,raw[],COLUMN(M$1),FALSE))</f>
        <v>7.7000000000000002E-3</v>
      </c>
      <c r="N33" s="68">
        <f>IF(VLOOKUP($A33,raw[],COLUMN(N$1),FALSE)=0, VLOOKUP($D33, regions[], COLUMN(N$1), FALSE), VLOOKUP($A33,raw[],COLUMN(N$1),FALSE))</f>
        <v>0.31223161166773539</v>
      </c>
      <c r="O33" s="67">
        <f>IF(VLOOKUP($A33,raw[],COLUMN(O$1),FALSE)=0, VLOOKUP($D33, regions[], COLUMN(O$1), FALSE), VLOOKUP($A33,raw[],COLUMN(O$1),FALSE))</f>
        <v>0.8</v>
      </c>
      <c r="P33" s="68">
        <f>IF(VLOOKUP($A33,raw[],COLUMN(P$1),FALSE)=0, VLOOKUP($D33, regions[], COLUMN(P$1), FALSE), VLOOKUP($A33,raw[],COLUMN(P$1),FALSE))</f>
        <v>0.17499999999999999</v>
      </c>
      <c r="Q33" s="70">
        <f>IF(VLOOKUP($A33,raw[],COLUMN(Q$1),FALSE)=0, VLOOKUP($D33, regions[], COLUMN(Q$1), FALSE), VLOOKUP($A33,raw[],COLUMN(Q$1),FALSE))</f>
        <v>12.3150574434957</v>
      </c>
      <c r="R33" s="70">
        <f>IF(VLOOKUP($A33,raw[],COLUMN(R$1),FALSE)=0, VLOOKUP($D33, regions[], COLUMN(R$1), FALSE), VLOOKUP($A33,raw[],COLUMN(R$1),FALSE))</f>
        <v>34.640437443495699</v>
      </c>
      <c r="S33" s="70">
        <f>IF(VLOOKUP($A33,raw[],COLUMN(S$1),FALSE)=0, VLOOKUP($D33, regions[], COLUMN(S$1), FALSE), VLOOKUP($A33,raw[],COLUMN(S$1),FALSE))</f>
        <v>88.192733725763134</v>
      </c>
      <c r="T33" s="70">
        <f>IF(VLOOKUP($A33,raw[],COLUMN(U$1)-COLUMN($A$1),FALSE)=0, VLOOKUP($D33, regions[], COLUMN(U$1)-COLUMN($A$1), FALSE), VLOOKUP($A33,raw[],COLUMN(U$1)-COLUMN($A$1),FALSE))</f>
        <v>100.85684349900771</v>
      </c>
      <c r="U33" s="70">
        <f>IF(VLOOKUP($A33,raw[],COLUMN(V$1)-COLUMN($A$1),FALSE)=0, VLOOKUP($D33, regions[], COLUMN(V$1)-COLUMN($A$1), FALSE), VLOOKUP($A33,raw[],COLUMN(V$1)-COLUMN($A$1),FALSE))</f>
        <v>95.041751976312611</v>
      </c>
      <c r="V33" s="70">
        <f>IF(VLOOKUP($A33,raw[],COLUMN(W$1)-COLUMN($A$1),FALSE)=0, VLOOKUP($D33, regions[], COLUMN(W$1)-COLUMN($A$1), FALSE), VLOOKUP($A33,raw[],COLUMN(W$1)-COLUMN($A$1),FALSE))</f>
        <v>6.024688640923328</v>
      </c>
      <c r="W33" s="70">
        <f>IF(VLOOKUP($A33,raw[],COLUMN(X$1)-COLUMN($A$1),FALSE)=0, VLOOKUP($D33, regions[], COLUMN(X$1)-COLUMN($A$1), FALSE), VLOOKUP($A33,raw[],COLUMN(X$1)-COLUMN($A$1),FALSE))</f>
        <v>6.0446886409233276</v>
      </c>
      <c r="X33" s="70">
        <f>IF(VLOOKUP($A33,raw[],COLUMN(Y$1)-COLUMN($A$1),FALSE)=0, VLOOKUP($D33, regions[], COLUMN(Y$1)-COLUMN($A$1), FALSE), VLOOKUP($A33,raw[],COLUMN(Y$1)-COLUMN($A$1),FALSE))</f>
        <v>5.592623904696298</v>
      </c>
      <c r="Y33" s="70">
        <f>IF(VLOOKUP($A33,raw[],COLUMN(Z$1)-COLUMN($A$1),FALSE)=0, VLOOKUP($D33, regions[], COLUMN(Z$1)-COLUMN($A$1), FALSE), VLOOKUP($A33,raw[],COLUMN(Z$1)-COLUMN($A$1),FALSE))</f>
        <v>5.6126239046962976</v>
      </c>
      <c r="Z33" s="70">
        <f>IF(VLOOKUP($A33,raw[],COLUMN(AA$1)-COLUMN($A$1),FALSE)=0, VLOOKUP($D33, regions[], COLUMN(AA$1)-COLUMN($A$1), FALSE), VLOOKUP($A33,raw[],COLUMN(AA$1)-COLUMN($A$1),FALSE))</f>
        <v>5.5996908003685002</v>
      </c>
      <c r="AA33" s="70">
        <f>IF(VLOOKUP($A33,raw[],COLUMN(AB$1)-COLUMN($A$1),FALSE)=0, VLOOKUP($D33, regions[], COLUMN(AB$1)-COLUMN($A$1), FALSE), VLOOKUP($A33,raw[],COLUMN(AB$1)-COLUMN($A$1),FALSE))</f>
        <v>6.2374890386805104</v>
      </c>
      <c r="AB33" s="70">
        <f>IF(VLOOKUP($A33,raw[],COLUMN(AC$1)-COLUMN($A$1),FALSE)=0, VLOOKUP($D33, regions[], COLUMN(AC$1)-COLUMN($A$1), FALSE), VLOOKUP($A33,raw[],COLUMN(AC$1)-COLUMN($A$1),FALSE))</f>
        <v>6.25748903868051</v>
      </c>
      <c r="AC33" s="72">
        <f>IF(VLOOKUP($A33,raw[],COLUMN(AD$1)-COLUMN($A$1),FALSE)=0, VLOOKUP($D33, regions[], COLUMN(AD$1)-COLUMN($A$1), FALSE), VLOOKUP($A33,raw[],COLUMN(AD$1)-COLUMN($A$1),FALSE))</f>
        <v>4.4860099999999509E-3</v>
      </c>
      <c r="AD33" s="72">
        <f>IF(VLOOKUP($A33,raw[],COLUMN(AE$1)-COLUMN($A$1),FALSE)=0, VLOOKUP($D33, regions[], COLUMN(AE$1)-COLUMN($A$1), FALSE), VLOOKUP($A33,raw[],COLUMN(AE$1)-COLUMN($A$1),FALSE))</f>
        <v>2.7286407095093327E-4</v>
      </c>
      <c r="AE33" s="72">
        <f>IF(VLOOKUP($A33,raw[],COLUMN(AF$1)-COLUMN($A$1),FALSE)=0, VLOOKUP($D33, regions[], COLUMN(AF$1)-COLUMN($A$1), FALSE), VLOOKUP($A33,raw[],COLUMN(AF$1)-COLUMN($A$1),FALSE))</f>
        <v>1.6058487043142235E-4</v>
      </c>
      <c r="AF33" s="72">
        <f>IF(VLOOKUP($A33,raw[],COLUMN(AG$1)-COLUMN($A$1),FALSE)=0, VLOOKUP($D33, regions[], COLUMN(AG$1)-COLUMN($A$1), FALSE), VLOOKUP($A33,raw[],COLUMN(AG$1)-COLUMN($A$1),FALSE))</f>
        <v>2.0419291715907133E-4</v>
      </c>
      <c r="AG33" s="72">
        <f>IF(VLOOKUP($A33,raw[],COLUMN(AH$1)-COLUMN($A$1),FALSE)=0, VLOOKUP($D33, regions[], COLUMN(AH$1)-COLUMN($A$1), FALSE), VLOOKUP($A33,raw[],COLUMN(AH$1)-COLUMN($A$1),FALSE))</f>
        <v>4.2856112965182892E-4</v>
      </c>
      <c r="AH33" s="72">
        <f>IF(VLOOKUP($A33,raw[],COLUMN(AI$1)-COLUMN($A$1),FALSE)=0, VLOOKUP($D33, regions[], COLUMN(AI$1)-COLUMN($A$1), FALSE), VLOOKUP($A33,raw[],COLUMN(AI$1)-COLUMN($A$1),FALSE))</f>
        <v>5.7381236719039597E-4</v>
      </c>
      <c r="AI33" s="72">
        <f>IF(VLOOKUP($A33,raw[],COLUMN(AJ$1)-COLUMN($A$1),FALSE)=0, VLOOKUP($D33, regions[], COLUMN(AJ$1)-COLUMN($A$1), FALSE), VLOOKUP($A33,raw[],COLUMN(AJ$1)-COLUMN($A$1),FALSE))</f>
        <v>6.3449671839327154E-4</v>
      </c>
      <c r="AJ33" s="72">
        <f>IF(VLOOKUP($A33,raw[],COLUMN(AK$1)-COLUMN($A$1),FALSE)=0, VLOOKUP($D33, regions[], COLUMN(AK$1)-COLUMN($A$1), FALSE), VLOOKUP($A33,raw[],COLUMN(AK$1)-COLUMN($A$1),FALSE))</f>
        <v>7.9041557705802586E-4</v>
      </c>
      <c r="AK33" s="72">
        <f>IF(VLOOKUP($A33,raw[],COLUMN(AL$1)-COLUMN($A$1),FALSE)=0, VLOOKUP($D33, regions[], COLUMN(AL$1)-COLUMN($A$1), FALSE), VLOOKUP($A33,raw[],COLUMN(AL$1)-COLUMN($A$1),FALSE))</f>
        <v>1.0684936873866888E-3</v>
      </c>
      <c r="AL33" s="72">
        <f>IF(VLOOKUP($A33,raw[],COLUMN(AM$1)-COLUMN($A$1),FALSE)=0, VLOOKUP($D33, regions[], COLUMN(AM$1)-COLUMN($A$1), FALSE), VLOOKUP($A33,raw[],COLUMN(AM$1)-COLUMN($A$1),FALSE))</f>
        <v>1.6980494435071534E-3</v>
      </c>
      <c r="AM33" s="72">
        <f>IF(VLOOKUP($A33,raw[],COLUMN(AN$1)-COLUMN($A$1),FALSE)=0, VLOOKUP($D33, regions[], COLUMN(AN$1)-COLUMN($A$1), FALSE), VLOOKUP($A33,raw[],COLUMN(AN$1)-COLUMN($A$1),FALSE))</f>
        <v>2.8320069798676538E-3</v>
      </c>
      <c r="AN33" s="72">
        <f>IF(VLOOKUP($A33,raw[],COLUMN(AO$1)-COLUMN($A$1),FALSE)=0, VLOOKUP($D33, regions[], COLUMN(AO$1)-COLUMN($A$1), FALSE), VLOOKUP($A33,raw[],COLUMN(AO$1)-COLUMN($A$1),FALSE))</f>
        <v>4.5622141489087241E-3</v>
      </c>
      <c r="AO33" s="72">
        <f>IF(VLOOKUP($A33,raw[],COLUMN(AP$1)-COLUMN($A$1),FALSE)=0, VLOOKUP($D33, regions[], COLUMN(AP$1)-COLUMN($A$1), FALSE), VLOOKUP($A33,raw[],COLUMN(AP$1)-COLUMN($A$1),FALSE))</f>
        <v>7.0343698713799694E-3</v>
      </c>
      <c r="AP33" s="72">
        <f>IF(VLOOKUP($A33,raw[],COLUMN(AQ$1)-COLUMN($A$1),FALSE)=0, VLOOKUP($D33, regions[], COLUMN(AQ$1)-COLUMN($A$1), FALSE), VLOOKUP($A33,raw[],COLUMN(AQ$1)-COLUMN($A$1),FALSE))</f>
        <v>1.1144826118651127E-2</v>
      </c>
      <c r="AQ33" s="72">
        <f>IF(VLOOKUP($A33,raw[],COLUMN(AR$1)-COLUMN($A$1),FALSE)=0, VLOOKUP($D33, regions[], COLUMN(AR$1)-COLUMN($A$1), FALSE), VLOOKUP($A33,raw[],COLUMN(AR$1)-COLUMN($A$1),FALSE))</f>
        <v>1.7004870824126817E-2</v>
      </c>
      <c r="AR33" s="72">
        <f>IF(VLOOKUP($A33,raw[],COLUMN(AS$1)-COLUMN($A$1),FALSE)=0, VLOOKUP($D33, regions[], COLUMN(AS$1)-COLUMN($A$1), FALSE), VLOOKUP($A33,raw[],COLUMN(AS$1)-COLUMN($A$1),FALSE))</f>
        <v>2.4790327704297923E-2</v>
      </c>
      <c r="AS33" s="72">
        <f>IF(VLOOKUP($A33,raw[],COLUMN(AT$1)-COLUMN($A$1),FALSE)=0, VLOOKUP($D33, regions[], COLUMN(AT$1)-COLUMN($A$1), FALSE), VLOOKUP($A33,raw[],COLUMN(AT$1)-COLUMN($A$1),FALSE))</f>
        <v>3.7568422963982953E-2</v>
      </c>
      <c r="AT33" s="72">
        <f>IF(VLOOKUP($A33,raw[],COLUMN(AU$1)-COLUMN($A$1),FALSE)=0, VLOOKUP($D33, regions[], COLUMN(AU$1)-COLUMN($A$1), FALSE), VLOOKUP($A33,raw[],COLUMN(AU$1)-COLUMN($A$1),FALSE))</f>
        <v>6.0408823783307579E-2</v>
      </c>
      <c r="AU33" s="72">
        <f>IF(VLOOKUP($A33,raw[],COLUMN(AV$1)-COLUMN($A$1),FALSE)=0, VLOOKUP($D33, regions[], COLUMN(AV$1)-COLUMN($A$1), FALSE), VLOOKUP($A33,raw[],COLUMN(AV$1)-COLUMN($A$1),FALSE))</f>
        <v>8.5664354340569099E-2</v>
      </c>
      <c r="AV33" s="72">
        <f>IF(VLOOKUP($A33,raw[],COLUMN(AW$1)-COLUMN($A$1),FALSE)=0, VLOOKUP($D33, regions[], COLUMN(AW$1)-COLUMN($A$1), FALSE), VLOOKUP($A33,raw[],COLUMN(AW$1)-COLUMN($A$1),FALSE))</f>
        <v>0.11387042910074163</v>
      </c>
      <c r="AW33" s="72">
        <f>IF(VLOOKUP($A33,raw[],COLUMN(AX$1)-COLUMN($A$1),FALSE)=0, VLOOKUP($D33, regions[], COLUMN(AX$1)-COLUMN($A$1), FALSE), VLOOKUP($A33,raw[],COLUMN(AX$1)-COLUMN($A$1),FALSE))</f>
        <v>0.14301913227179722</v>
      </c>
      <c r="AX33" s="72">
        <f>IF(VLOOKUP($A33,raw[],COLUMN(AY$1)-COLUMN($A$1),FALSE)=0, VLOOKUP($D33, regions[], COLUMN(AY$1)-COLUMN($A$1), FALSE), VLOOKUP($A33,raw[],COLUMN(AY$1)-COLUMN($A$1),FALSE))</f>
        <v>78.685000000000002</v>
      </c>
      <c r="AY33" t="str">
        <f t="shared" si="0"/>
        <v>No</v>
      </c>
    </row>
    <row r="34" spans="1:51" x14ac:dyDescent="0.25">
      <c r="A34" s="53" t="s">
        <v>287</v>
      </c>
      <c r="B34" s="54" t="s">
        <v>288</v>
      </c>
      <c r="C34" s="54">
        <v>262</v>
      </c>
      <c r="D34" s="54" t="s">
        <v>196</v>
      </c>
      <c r="E34" s="54" t="s">
        <v>255</v>
      </c>
      <c r="F34" s="54" t="s">
        <v>211</v>
      </c>
      <c r="G34" s="54" t="s">
        <v>212</v>
      </c>
      <c r="H34" s="73">
        <f>VLOOKUP(lmics[[#This Row],[setting]],raw[],8,FALSE)</f>
        <v>988002</v>
      </c>
      <c r="I34" s="73">
        <f>VLOOKUP(lmics[[#This Row],[setting]],raw[],9,FALSE)</f>
        <v>21434.703389999999</v>
      </c>
      <c r="J34" s="67">
        <f>IF(VLOOKUP($A34,raw[],COLUMN(J$1),FALSE)=0, VLOOKUP($D34, regions[], COLUMN(J$1), FALSE), VLOOKUP($A34,raw[],COLUMN(J$1),FALSE))</f>
        <v>0.86699999999999999</v>
      </c>
      <c r="K34" s="77">
        <f>VLOOKUP($A34, raw[], 11, FALSE)</f>
        <v>0.77</v>
      </c>
      <c r="L34" s="77">
        <f>VLOOKUP($A34, raw[], 12, FALSE)</f>
        <v>0.7</v>
      </c>
      <c r="M34" s="77">
        <f>IF(VLOOKUP($A34,raw[],COLUMN(M$1),FALSE)=0, VLOOKUP($D34, regions[], COLUMN(M$1), FALSE), VLOOKUP($A34,raw[],COLUMN(M$1),FALSE))</f>
        <v>5.33E-2</v>
      </c>
      <c r="N34" s="68">
        <f>IF(VLOOKUP($A34,raw[],COLUMN(N$1),FALSE)=0, VLOOKUP($D34, regions[], COLUMN(N$1), FALSE), VLOOKUP($A34,raw[],COLUMN(N$1),FALSE))</f>
        <v>0.2560195816126718</v>
      </c>
      <c r="O34" s="67">
        <f>IF(VLOOKUP($A34,raw[],COLUMN(O$1),FALSE)=0, VLOOKUP($D34, regions[], COLUMN(O$1), FALSE), VLOOKUP($A34,raw[],COLUMN(O$1),FALSE))</f>
        <v>0.38300000000000001</v>
      </c>
      <c r="P34" s="68">
        <f>IF(VLOOKUP($A34,raw[],COLUMN(P$1),FALSE)=0, VLOOKUP($D34, regions[], COLUMN(P$1), FALSE), VLOOKUP($A34,raw[],COLUMN(P$1),FALSE))</f>
        <v>4.8000000000000001E-2</v>
      </c>
      <c r="Q34" s="70">
        <f>IF(VLOOKUP($A34,raw[],COLUMN(Q$1),FALSE)=0, VLOOKUP($D34, regions[], COLUMN(Q$1), FALSE), VLOOKUP($A34,raw[],COLUMN(Q$1),FALSE))</f>
        <v>4.3846181583793697</v>
      </c>
      <c r="R34" s="70">
        <f>IF(VLOOKUP($A34,raw[],COLUMN(R$1),FALSE)=0, VLOOKUP($D34, regions[], COLUMN(R$1), FALSE), VLOOKUP($A34,raw[],COLUMN(R$1),FALSE))</f>
        <v>26.709998158379371</v>
      </c>
      <c r="S34" s="70">
        <f>IF(VLOOKUP($A34,raw[],COLUMN(S$1),FALSE)=0, VLOOKUP($D34, regions[], COLUMN(S$1), FALSE), VLOOKUP($A34,raw[],COLUMN(S$1),FALSE))</f>
        <v>60.637996340754768</v>
      </c>
      <c r="T34" s="70">
        <f>IF(VLOOKUP($A34,raw[],COLUMN(U$1)-COLUMN($A$1),FALSE)=0, VLOOKUP($D34, regions[], COLUMN(U$1)-COLUMN($A$1), FALSE), VLOOKUP($A34,raw[],COLUMN(U$1)-COLUMN($A$1),FALSE))</f>
        <v>63.088344844742409</v>
      </c>
      <c r="U34" s="70">
        <f>IF(VLOOKUP($A34,raw[],COLUMN(V$1)-COLUMN($A$1),FALSE)=0, VLOOKUP($D34, regions[], COLUMN(V$1)-COLUMN($A$1), FALSE), VLOOKUP($A34,raw[],COLUMN(V$1)-COLUMN($A$1),FALSE))</f>
        <v>61.963196605480377</v>
      </c>
      <c r="V34" s="70">
        <f>IF(VLOOKUP($A34,raw[],COLUMN(W$1)-COLUMN($A$1),FALSE)=0, VLOOKUP($D34, regions[], COLUMN(W$1)-COLUMN($A$1), FALSE), VLOOKUP($A34,raw[],COLUMN(W$1)-COLUMN($A$1),FALSE))</f>
        <v>4.581837081274001</v>
      </c>
      <c r="W34" s="70">
        <f>IF(VLOOKUP($A34,raw[],COLUMN(X$1)-COLUMN($A$1),FALSE)=0, VLOOKUP($D34, regions[], COLUMN(X$1)-COLUMN($A$1), FALSE), VLOOKUP($A34,raw[],COLUMN(X$1)-COLUMN($A$1),FALSE))</f>
        <v>9.4118370812740011</v>
      </c>
      <c r="X34" s="70">
        <f>IF(VLOOKUP($A34,raw[],COLUMN(Y$1)-COLUMN($A$1),FALSE)=0, VLOOKUP($D34, regions[], COLUMN(Y$1)-COLUMN($A$1), FALSE), VLOOKUP($A34,raw[],COLUMN(Y$1)-COLUMN($A$1),FALSE))</f>
        <v>4.1607355624260425</v>
      </c>
      <c r="Y34" s="70">
        <f>IF(VLOOKUP($A34,raw[],COLUMN(Z$1)-COLUMN($A$1),FALSE)=0, VLOOKUP($D34, regions[], COLUMN(Z$1)-COLUMN($A$1), FALSE), VLOOKUP($A34,raw[],COLUMN(Z$1)-COLUMN($A$1),FALSE))</f>
        <v>8.9907355624260425</v>
      </c>
      <c r="Z34" s="70">
        <f>IF(VLOOKUP($A34,raw[],COLUMN(AA$1)-COLUMN($A$1),FALSE)=0, VLOOKUP($D34, regions[], COLUMN(AA$1)-COLUMN($A$1), FALSE), VLOOKUP($A34,raw[],COLUMN(AA$1)-COLUMN($A$1),FALSE))</f>
        <v>8.9826541036061194</v>
      </c>
      <c r="AA34" s="70">
        <f>IF(VLOOKUP($A34,raw[],COLUMN(AB$1)-COLUMN($A$1),FALSE)=0, VLOOKUP($D34, regions[], COLUMN(AB$1)-COLUMN($A$1), FALSE), VLOOKUP($A34,raw[],COLUMN(AB$1)-COLUMN($A$1),FALSE))</f>
        <v>4.7907288537047314</v>
      </c>
      <c r="AB34" s="70">
        <f>IF(VLOOKUP($A34,raw[],COLUMN(AC$1)-COLUMN($A$1),FALSE)=0, VLOOKUP($D34, regions[], COLUMN(AC$1)-COLUMN($A$1), FALSE), VLOOKUP($A34,raw[],COLUMN(AC$1)-COLUMN($A$1),FALSE))</f>
        <v>9.6207288537047315</v>
      </c>
      <c r="AC34" s="72">
        <f>IF(VLOOKUP($A34,raw[],COLUMN(AD$1)-COLUMN($A$1),FALSE)=0, VLOOKUP($D34, regions[], COLUMN(AD$1)-COLUMN($A$1), FALSE), VLOOKUP($A34,raw[],COLUMN(AD$1)-COLUMN($A$1),FALSE))</f>
        <v>3.3652050000000017E-2</v>
      </c>
      <c r="AD34" s="72">
        <f>IF(VLOOKUP($A34,raw[],COLUMN(AE$1)-COLUMN($A$1),FALSE)=0, VLOOKUP($D34, regions[], COLUMN(AE$1)-COLUMN($A$1), FALSE), VLOOKUP($A34,raw[],COLUMN(AE$1)-COLUMN($A$1),FALSE))</f>
        <v>4.5286948660676427E-3</v>
      </c>
      <c r="AE34" s="72">
        <f>IF(VLOOKUP($A34,raw[],COLUMN(AF$1)-COLUMN($A$1),FALSE)=0, VLOOKUP($D34, regions[], COLUMN(AF$1)-COLUMN($A$1), FALSE), VLOOKUP($A34,raw[],COLUMN(AF$1)-COLUMN($A$1),FALSE))</f>
        <v>1.7770425757683657E-3</v>
      </c>
      <c r="AF34" s="72">
        <f>IF(VLOOKUP($A34,raw[],COLUMN(AG$1)-COLUMN($A$1),FALSE)=0, VLOOKUP($D34, regions[], COLUMN(AG$1)-COLUMN($A$1), FALSE), VLOOKUP($A34,raw[],COLUMN(AG$1)-COLUMN($A$1),FALSE))</f>
        <v>1.2140762544420878E-3</v>
      </c>
      <c r="AG34" s="72">
        <f>IF(VLOOKUP($A34,raw[],COLUMN(AH$1)-COLUMN($A$1),FALSE)=0, VLOOKUP($D34, regions[], COLUMN(AH$1)-COLUMN($A$1), FALSE), VLOOKUP($A34,raw[],COLUMN(AH$1)-COLUMN($A$1),FALSE))</f>
        <v>1.6221358937118986E-3</v>
      </c>
      <c r="AH34" s="72">
        <f>IF(VLOOKUP($A34,raw[],COLUMN(AI$1)-COLUMN($A$1),FALSE)=0, VLOOKUP($D34, regions[], COLUMN(AI$1)-COLUMN($A$1), FALSE), VLOOKUP($A34,raw[],COLUMN(AI$1)-COLUMN($A$1),FALSE))</f>
        <v>2.1692584353159221E-3</v>
      </c>
      <c r="AI34" s="72">
        <f>IF(VLOOKUP($A34,raw[],COLUMN(AJ$1)-COLUMN($A$1),FALSE)=0, VLOOKUP($D34, regions[], COLUMN(AJ$1)-COLUMN($A$1), FALSE), VLOOKUP($A34,raw[],COLUMN(AJ$1)-COLUMN($A$1),FALSE))</f>
        <v>2.6138540091944569E-3</v>
      </c>
      <c r="AJ34" s="72">
        <f>IF(VLOOKUP($A34,raw[],COLUMN(AK$1)-COLUMN($A$1),FALSE)=0, VLOOKUP($D34, regions[], COLUMN(AK$1)-COLUMN($A$1), FALSE), VLOOKUP($A34,raw[],COLUMN(AK$1)-COLUMN($A$1),FALSE))</f>
        <v>3.2985286081480751E-3</v>
      </c>
      <c r="AK34" s="72">
        <f>IF(VLOOKUP($A34,raw[],COLUMN(AL$1)-COLUMN($A$1),FALSE)=0, VLOOKUP($D34, regions[], COLUMN(AL$1)-COLUMN($A$1), FALSE), VLOOKUP($A34,raw[],COLUMN(AL$1)-COLUMN($A$1),FALSE))</f>
        <v>4.4668745220981217E-3</v>
      </c>
      <c r="AL34" s="72">
        <f>IF(VLOOKUP($A34,raw[],COLUMN(AM$1)-COLUMN($A$1),FALSE)=0, VLOOKUP($D34, regions[], COLUMN(AM$1)-COLUMN($A$1), FALSE), VLOOKUP($A34,raw[],COLUMN(AM$1)-COLUMN($A$1),FALSE))</f>
        <v>5.5143666885556029E-3</v>
      </c>
      <c r="AM34" s="72">
        <f>IF(VLOOKUP($A34,raw[],COLUMN(AN$1)-COLUMN($A$1),FALSE)=0, VLOOKUP($D34, regions[], COLUMN(AN$1)-COLUMN($A$1), FALSE), VLOOKUP($A34,raw[],COLUMN(AN$1)-COLUMN($A$1),FALSE))</f>
        <v>6.6193220926600979E-3</v>
      </c>
      <c r="AN34" s="72">
        <f>IF(VLOOKUP($A34,raw[],COLUMN(AO$1)-COLUMN($A$1),FALSE)=0, VLOOKUP($D34, regions[], COLUMN(AO$1)-COLUMN($A$1), FALSE), VLOOKUP($A34,raw[],COLUMN(AO$1)-COLUMN($A$1),FALSE))</f>
        <v>8.6599715494527271E-3</v>
      </c>
      <c r="AO34" s="72">
        <f>IF(VLOOKUP($A34,raw[],COLUMN(AP$1)-COLUMN($A$1),FALSE)=0, VLOOKUP($D34, regions[], COLUMN(AP$1)-COLUMN($A$1), FALSE), VLOOKUP($A34,raw[],COLUMN(AP$1)-COLUMN($A$1),FALSE))</f>
        <v>1.1327594658021498E-2</v>
      </c>
      <c r="AP34" s="72">
        <f>IF(VLOOKUP($A34,raw[],COLUMN(AQ$1)-COLUMN($A$1),FALSE)=0, VLOOKUP($D34, regions[], COLUMN(AQ$1)-COLUMN($A$1), FALSE), VLOOKUP($A34,raw[],COLUMN(AQ$1)-COLUMN($A$1),FALSE))</f>
        <v>1.7073142130542264E-2</v>
      </c>
      <c r="AQ34" s="72">
        <f>IF(VLOOKUP($A34,raw[],COLUMN(AR$1)-COLUMN($A$1),FALSE)=0, VLOOKUP($D34, regions[], COLUMN(AR$1)-COLUMN($A$1), FALSE), VLOOKUP($A34,raw[],COLUMN(AR$1)-COLUMN($A$1),FALSE))</f>
        <v>2.6326994283116099E-2</v>
      </c>
      <c r="AR34" s="72">
        <f>IF(VLOOKUP($A34,raw[],COLUMN(AS$1)-COLUMN($A$1),FALSE)=0, VLOOKUP($D34, regions[], COLUMN(AS$1)-COLUMN($A$1), FALSE), VLOOKUP($A34,raw[],COLUMN(AS$1)-COLUMN($A$1),FALSE))</f>
        <v>4.0989689849863606E-2</v>
      </c>
      <c r="AS34" s="72">
        <f>IF(VLOOKUP($A34,raw[],COLUMN(AT$1)-COLUMN($A$1),FALSE)=0, VLOOKUP($D34, regions[], COLUMN(AT$1)-COLUMN($A$1), FALSE), VLOOKUP($A34,raw[],COLUMN(AT$1)-COLUMN($A$1),FALSE))</f>
        <v>6.2473910229660326E-2</v>
      </c>
      <c r="AT34" s="72">
        <f>IF(VLOOKUP($A34,raw[],COLUMN(AU$1)-COLUMN($A$1),FALSE)=0, VLOOKUP($D34, regions[], COLUMN(AU$1)-COLUMN($A$1), FALSE), VLOOKUP($A34,raw[],COLUMN(AU$1)-COLUMN($A$1),FALSE))</f>
        <v>9.1689805616604197E-2</v>
      </c>
      <c r="AU34" s="72">
        <f>IF(VLOOKUP($A34,raw[],COLUMN(AV$1)-COLUMN($A$1),FALSE)=0, VLOOKUP($D34, regions[], COLUMN(AV$1)-COLUMN($A$1), FALSE), VLOOKUP($A34,raw[],COLUMN(AV$1)-COLUMN($A$1),FALSE))</f>
        <v>0.12456118941341625</v>
      </c>
      <c r="AV34" s="72">
        <f>IF(VLOOKUP($A34,raw[],COLUMN(AW$1)-COLUMN($A$1),FALSE)=0, VLOOKUP($D34, regions[], COLUMN(AW$1)-COLUMN($A$1), FALSE), VLOOKUP($A34,raw[],COLUMN(AW$1)-COLUMN($A$1),FALSE))</f>
        <v>0.15352283955587445</v>
      </c>
      <c r="AW34" s="72">
        <f>IF(VLOOKUP($A34,raw[],COLUMN(AX$1)-COLUMN($A$1),FALSE)=0, VLOOKUP($D34, regions[], COLUMN(AX$1)-COLUMN($A$1), FALSE), VLOOKUP($A34,raw[],COLUMN(AX$1)-COLUMN($A$1),FALSE))</f>
        <v>0.17455336213556152</v>
      </c>
      <c r="AX34" s="72">
        <f>IF(VLOOKUP($A34,raw[],COLUMN(AY$1)-COLUMN($A$1),FALSE)=0, VLOOKUP($D34, regions[], COLUMN(AY$1)-COLUMN($A$1), FALSE), VLOOKUP($A34,raw[],COLUMN(AY$1)-COLUMN($A$1),FALSE))</f>
        <v>66.540000000000006</v>
      </c>
      <c r="AY34" t="str">
        <f t="shared" ref="AY34:AY65" si="1">IF($K34=0,"Yes", "No")</f>
        <v>No</v>
      </c>
    </row>
    <row r="35" spans="1:51" x14ac:dyDescent="0.25">
      <c r="A35" s="55" t="s">
        <v>289</v>
      </c>
      <c r="B35" s="56" t="s">
        <v>290</v>
      </c>
      <c r="C35" s="56">
        <v>212</v>
      </c>
      <c r="D35" s="56" t="s">
        <v>215</v>
      </c>
      <c r="E35" s="56" t="s">
        <v>232</v>
      </c>
      <c r="F35" s="56" t="s">
        <v>217</v>
      </c>
      <c r="G35" s="56" t="s">
        <v>204</v>
      </c>
      <c r="H35" s="74">
        <f>VLOOKUP(lmics[[#This Row],[setting]],raw[],8,FALSE)</f>
        <v>71991</v>
      </c>
      <c r="I35" s="74">
        <f>VLOOKUP(lmics[[#This Row],[setting]],raw[],9,FALSE)</f>
        <v>863.89200000000005</v>
      </c>
      <c r="J35" s="67">
        <f>IF(VLOOKUP($A35,raw[],COLUMN(J$1),FALSE)=0, VLOOKUP($D35, regions[], COLUMN(J$1), FALSE), VLOOKUP($A35,raw[],COLUMN(J$1),FALSE))</f>
        <v>0.95826653638323966</v>
      </c>
      <c r="K35" s="77">
        <f>VLOOKUP($A35, raw[], 11, FALSE)</f>
        <v>0.99</v>
      </c>
      <c r="L35" s="77">
        <f>VLOOKUP($A35, raw[], 12, FALSE)</f>
        <v>0.97</v>
      </c>
      <c r="M35" s="77">
        <f>IF(VLOOKUP($A35,raw[],COLUMN(M$1),FALSE)=0, VLOOKUP($D35, regions[], COLUMN(M$1), FALSE), VLOOKUP($A35,raw[],COLUMN(M$1),FALSE))</f>
        <v>1.54E-2</v>
      </c>
      <c r="N35" s="68">
        <f>IF(VLOOKUP($A35,raw[],COLUMN(N$1),FALSE)=0, VLOOKUP($D35, regions[], COLUMN(N$1), FALSE), VLOOKUP($A35,raw[],COLUMN(N$1),FALSE))</f>
        <v>0.31158254499930188</v>
      </c>
      <c r="O35" s="67">
        <f>IF(VLOOKUP($A35,raw[],COLUMN(O$1),FALSE)=0, VLOOKUP($D35, regions[], COLUMN(O$1), FALSE), VLOOKUP($A35,raw[],COLUMN(O$1),FALSE))</f>
        <v>0.8</v>
      </c>
      <c r="P35" s="68">
        <f>IF(VLOOKUP($A35,raw[],COLUMN(P$1),FALSE)=0, VLOOKUP($D35, regions[], COLUMN(P$1), FALSE), VLOOKUP($A35,raw[],COLUMN(P$1),FALSE))</f>
        <v>0.17499999999999999</v>
      </c>
      <c r="Q35" s="70">
        <f>IF(VLOOKUP($A35,raw[],COLUMN(Q$1),FALSE)=0, VLOOKUP($D35, regions[], COLUMN(Q$1), FALSE), VLOOKUP($A35,raw[],COLUMN(Q$1),FALSE))</f>
        <v>11.558936548759485</v>
      </c>
      <c r="R35" s="70">
        <f>IF(VLOOKUP($A35,raw[],COLUMN(R$1),FALSE)=0, VLOOKUP($D35, regions[], COLUMN(R$1), FALSE), VLOOKUP($A35,raw[],COLUMN(R$1),FALSE))</f>
        <v>33.884316548759486</v>
      </c>
      <c r="S35" s="70">
        <f>IF(VLOOKUP($A35,raw[],COLUMN(S$1),FALSE)=0, VLOOKUP($D35, regions[], COLUMN(S$1), FALSE), VLOOKUP($A35,raw[],COLUMN(S$1),FALSE))</f>
        <v>95.358428791394104</v>
      </c>
      <c r="T35" s="70">
        <f>IF(VLOOKUP($A35,raw[],COLUMN(U$1)-COLUMN($A$1),FALSE)=0, VLOOKUP($D35, regions[], COLUMN(U$1)-COLUMN($A$1), FALSE), VLOOKUP($A35,raw[],COLUMN(U$1)-COLUMN($A$1),FALSE))</f>
        <v>112.14556689545188</v>
      </c>
      <c r="U35" s="70">
        <f>IF(VLOOKUP($A35,raw[],COLUMN(V$1)-COLUMN($A$1),FALSE)=0, VLOOKUP($D35, regions[], COLUMN(V$1)-COLUMN($A$1), FALSE), VLOOKUP($A35,raw[],COLUMN(V$1)-COLUMN($A$1),FALSE))</f>
        <v>104.43726791296378</v>
      </c>
      <c r="V35" s="70">
        <f>IF(VLOOKUP($A35,raw[],COLUMN(W$1)-COLUMN($A$1),FALSE)=0, VLOOKUP($D35, regions[], COLUMN(W$1)-COLUMN($A$1), FALSE), VLOOKUP($A35,raw[],COLUMN(W$1)-COLUMN($A$1),FALSE))</f>
        <v>15.405178474589993</v>
      </c>
      <c r="W35" s="70">
        <f>IF(VLOOKUP($A35,raw[],COLUMN(X$1)-COLUMN($A$1),FALSE)=0, VLOOKUP($D35, regions[], COLUMN(X$1)-COLUMN($A$1), FALSE), VLOOKUP($A35,raw[],COLUMN(X$1)-COLUMN($A$1),FALSE))</f>
        <v>15.425178474589993</v>
      </c>
      <c r="X35" s="70">
        <f>IF(VLOOKUP($A35,raw[],COLUMN(Y$1)-COLUMN($A$1),FALSE)=0, VLOOKUP($D35, regions[], COLUMN(Y$1)-COLUMN($A$1), FALSE), VLOOKUP($A35,raw[],COLUMN(Y$1)-COLUMN($A$1),FALSE))</f>
        <v>14.982991777476984</v>
      </c>
      <c r="Y35" s="70">
        <f>IF(VLOOKUP($A35,raw[],COLUMN(Z$1)-COLUMN($A$1),FALSE)=0, VLOOKUP($D35, regions[], COLUMN(Z$1)-COLUMN($A$1), FALSE), VLOOKUP($A35,raw[],COLUMN(Z$1)-COLUMN($A$1),FALSE))</f>
        <v>15.002991777476984</v>
      </c>
      <c r="Z35" s="70">
        <f>IF(VLOOKUP($A35,raw[],COLUMN(AA$1)-COLUMN($A$1),FALSE)=0, VLOOKUP($D35, regions[], COLUMN(AA$1)-COLUMN($A$1), FALSE), VLOOKUP($A35,raw[],COLUMN(AA$1)-COLUMN($A$1),FALSE))</f>
        <v>14.994990723322861</v>
      </c>
      <c r="AA35" s="70">
        <f>IF(VLOOKUP($A35,raw[],COLUMN(AB$1)-COLUMN($A$1),FALSE)=0, VLOOKUP($D35, regions[], COLUMN(AB$1)-COLUMN($A$1), FALSE), VLOOKUP($A35,raw[],COLUMN(AB$1)-COLUMN($A$1),FALSE))</f>
        <v>15.614457136663045</v>
      </c>
      <c r="AB35" s="70">
        <f>IF(VLOOKUP($A35,raw[],COLUMN(AC$1)-COLUMN($A$1),FALSE)=0, VLOOKUP($D35, regions[], COLUMN(AC$1)-COLUMN($A$1), FALSE), VLOOKUP($A35,raw[],COLUMN(AC$1)-COLUMN($A$1),FALSE))</f>
        <v>15.634457136663045</v>
      </c>
      <c r="AC35" s="72">
        <f>IF(VLOOKUP($A35,raw[],COLUMN(AD$1)-COLUMN($A$1),FALSE)=0, VLOOKUP($D35, regions[], COLUMN(AD$1)-COLUMN($A$1), FALSE), VLOOKUP($A35,raw[],COLUMN(AD$1)-COLUMN($A$1),FALSE))</f>
        <v>1.4167019197718121E-2</v>
      </c>
      <c r="AD35" s="72">
        <f>IF(VLOOKUP($A35,raw[],COLUMN(AE$1)-COLUMN($A$1),FALSE)=0, VLOOKUP($D35, regions[], COLUMN(AE$1)-COLUMN($A$1), FALSE), VLOOKUP($A35,raw[],COLUMN(AE$1)-COLUMN($A$1),FALSE))</f>
        <v>6.6774114205300078E-4</v>
      </c>
      <c r="AE35" s="72">
        <f>IF(VLOOKUP($A35,raw[],COLUMN(AF$1)-COLUMN($A$1),FALSE)=0, VLOOKUP($D35, regions[], COLUMN(AF$1)-COLUMN($A$1), FALSE), VLOOKUP($A35,raw[],COLUMN(AF$1)-COLUMN($A$1),FALSE))</f>
        <v>2.9270414969574096E-4</v>
      </c>
      <c r="AF35" s="72">
        <f>IF(VLOOKUP($A35,raw[],COLUMN(AG$1)-COLUMN($A$1),FALSE)=0, VLOOKUP($D35, regions[], COLUMN(AG$1)-COLUMN($A$1), FALSE), VLOOKUP($A35,raw[],COLUMN(AG$1)-COLUMN($A$1),FALSE))</f>
        <v>3.5450484903542536E-4</v>
      </c>
      <c r="AG35" s="72">
        <f>IF(VLOOKUP($A35,raw[],COLUMN(AH$1)-COLUMN($A$1),FALSE)=0, VLOOKUP($D35, regions[], COLUMN(AH$1)-COLUMN($A$1), FALSE), VLOOKUP($A35,raw[],COLUMN(AH$1)-COLUMN($A$1),FALSE))</f>
        <v>9.5530136215971919E-4</v>
      </c>
      <c r="AH35" s="72">
        <f>IF(VLOOKUP($A35,raw[],COLUMN(AI$1)-COLUMN($A$1),FALSE)=0, VLOOKUP($D35, regions[], COLUMN(AI$1)-COLUMN($A$1), FALSE), VLOOKUP($A35,raw[],COLUMN(AI$1)-COLUMN($A$1),FALSE))</f>
        <v>1.5128769667047861E-3</v>
      </c>
      <c r="AI35" s="72">
        <f>IF(VLOOKUP($A35,raw[],COLUMN(AJ$1)-COLUMN($A$1),FALSE)=0, VLOOKUP($D35, regions[], COLUMN(AJ$1)-COLUMN($A$1), FALSE), VLOOKUP($A35,raw[],COLUMN(AJ$1)-COLUMN($A$1),FALSE))</f>
        <v>1.6666439577212953E-3</v>
      </c>
      <c r="AJ35" s="72">
        <f>IF(VLOOKUP($A35,raw[],COLUMN(AK$1)-COLUMN($A$1),FALSE)=0, VLOOKUP($D35, regions[], COLUMN(AK$1)-COLUMN($A$1), FALSE), VLOOKUP($A35,raw[],COLUMN(AK$1)-COLUMN($A$1),FALSE))</f>
        <v>1.8637703914786865E-3</v>
      </c>
      <c r="AK35" s="72">
        <f>IF(VLOOKUP($A35,raw[],COLUMN(AL$1)-COLUMN($A$1),FALSE)=0, VLOOKUP($D35, regions[], COLUMN(AL$1)-COLUMN($A$1), FALSE), VLOOKUP($A35,raw[],COLUMN(AL$1)-COLUMN($A$1),FALSE))</f>
        <v>2.2035230252845607E-3</v>
      </c>
      <c r="AL35" s="72">
        <f>IF(VLOOKUP($A35,raw[],COLUMN(AM$1)-COLUMN($A$1),FALSE)=0, VLOOKUP($D35, regions[], COLUMN(AM$1)-COLUMN($A$1), FALSE), VLOOKUP($A35,raw[],COLUMN(AM$1)-COLUMN($A$1),FALSE))</f>
        <v>2.8069768100064587E-3</v>
      </c>
      <c r="AM35" s="72">
        <f>IF(VLOOKUP($A35,raw[],COLUMN(AN$1)-COLUMN($A$1),FALSE)=0, VLOOKUP($D35, regions[], COLUMN(AN$1)-COLUMN($A$1), FALSE), VLOOKUP($A35,raw[],COLUMN(AN$1)-COLUMN($A$1),FALSE))</f>
        <v>3.9270343647987566E-3</v>
      </c>
      <c r="AN35" s="72">
        <f>IF(VLOOKUP($A35,raw[],COLUMN(AO$1)-COLUMN($A$1),FALSE)=0, VLOOKUP($D35, regions[], COLUMN(AO$1)-COLUMN($A$1), FALSE), VLOOKUP($A35,raw[],COLUMN(AO$1)-COLUMN($A$1),FALSE))</f>
        <v>5.7140121997915566E-3</v>
      </c>
      <c r="AO35" s="72">
        <f>IF(VLOOKUP($A35,raw[],COLUMN(AP$1)-COLUMN($A$1),FALSE)=0, VLOOKUP($D35, regions[], COLUMN(AP$1)-COLUMN($A$1), FALSE), VLOOKUP($A35,raw[],COLUMN(AP$1)-COLUMN($A$1),FALSE))</f>
        <v>8.3432552244254686E-3</v>
      </c>
      <c r="AP35" s="72">
        <f>IF(VLOOKUP($A35,raw[],COLUMN(AQ$1)-COLUMN($A$1),FALSE)=0, VLOOKUP($D35, regions[], COLUMN(AQ$1)-COLUMN($A$1), FALSE), VLOOKUP($A35,raw[],COLUMN(AQ$1)-COLUMN($A$1),FALSE))</f>
        <v>1.247892783351586E-2</v>
      </c>
      <c r="AQ35" s="72">
        <f>IF(VLOOKUP($A35,raw[],COLUMN(AR$1)-COLUMN($A$1),FALSE)=0, VLOOKUP($D35, regions[], COLUMN(AR$1)-COLUMN($A$1), FALSE), VLOOKUP($A35,raw[],COLUMN(AR$1)-COLUMN($A$1),FALSE))</f>
        <v>1.8632521580293115E-2</v>
      </c>
      <c r="AR35" s="72">
        <f>IF(VLOOKUP($A35,raw[],COLUMN(AS$1)-COLUMN($A$1),FALSE)=0, VLOOKUP($D35, regions[], COLUMN(AS$1)-COLUMN($A$1), FALSE), VLOOKUP($A35,raw[],COLUMN(AS$1)-COLUMN($A$1),FALSE))</f>
        <v>2.7487259858054988E-2</v>
      </c>
      <c r="AS35" s="72">
        <f>IF(VLOOKUP($A35,raw[],COLUMN(AT$1)-COLUMN($A$1),FALSE)=0, VLOOKUP($D35, regions[], COLUMN(AT$1)-COLUMN($A$1), FALSE), VLOOKUP($A35,raw[],COLUMN(AT$1)-COLUMN($A$1),FALSE))</f>
        <v>4.1131724743577437E-2</v>
      </c>
      <c r="AT35" s="72">
        <f>IF(VLOOKUP($A35,raw[],COLUMN(AU$1)-COLUMN($A$1),FALSE)=0, VLOOKUP($D35, regions[], COLUMN(AU$1)-COLUMN($A$1), FALSE), VLOOKUP($A35,raw[],COLUMN(AU$1)-COLUMN($A$1),FALSE))</f>
        <v>6.0388209095115636E-2</v>
      </c>
      <c r="AU35" s="72">
        <f>IF(VLOOKUP($A35,raw[],COLUMN(AV$1)-COLUMN($A$1),FALSE)=0, VLOOKUP($D35, regions[], COLUMN(AV$1)-COLUMN($A$1), FALSE), VLOOKUP($A35,raw[],COLUMN(AV$1)-COLUMN($A$1),FALSE))</f>
        <v>8.6247197348937238E-2</v>
      </c>
      <c r="AV35" s="72">
        <f>IF(VLOOKUP($A35,raw[],COLUMN(AW$1)-COLUMN($A$1),FALSE)=0, VLOOKUP($D35, regions[], COLUMN(AW$1)-COLUMN($A$1), FALSE), VLOOKUP($A35,raw[],COLUMN(AW$1)-COLUMN($A$1),FALSE))</f>
        <v>0.11343827459472006</v>
      </c>
      <c r="AW35" s="72">
        <f>IF(VLOOKUP($A35,raw[],COLUMN(AX$1)-COLUMN($A$1),FALSE)=0, VLOOKUP($D35, regions[], COLUMN(AX$1)-COLUMN($A$1), FALSE), VLOOKUP($A35,raw[],COLUMN(AX$1)-COLUMN($A$1),FALSE))</f>
        <v>0.14600660721108022</v>
      </c>
      <c r="AX35" s="72">
        <f>IF(VLOOKUP($A35,raw[],COLUMN(AY$1)-COLUMN($A$1),FALSE)=0, VLOOKUP($D35, regions[], COLUMN(AY$1)-COLUMN($A$1), FALSE), VLOOKUP($A35,raw[],COLUMN(AY$1)-COLUMN($A$1),FALSE))</f>
        <v>75.414761681585986</v>
      </c>
      <c r="AY35" t="str">
        <f t="shared" si="1"/>
        <v>No</v>
      </c>
    </row>
    <row r="36" spans="1:51" x14ac:dyDescent="0.25">
      <c r="A36" s="53" t="s">
        <v>291</v>
      </c>
      <c r="B36" s="54" t="s">
        <v>292</v>
      </c>
      <c r="C36" s="54">
        <v>214</v>
      </c>
      <c r="D36" s="54" t="s">
        <v>215</v>
      </c>
      <c r="E36" s="54" t="s">
        <v>232</v>
      </c>
      <c r="F36" s="54" t="s">
        <v>217</v>
      </c>
      <c r="G36" s="54" t="s">
        <v>204</v>
      </c>
      <c r="H36" s="73">
        <f>VLOOKUP(lmics[[#This Row],[setting]],raw[],8,FALSE)</f>
        <v>10847904</v>
      </c>
      <c r="I36" s="73">
        <f>VLOOKUP(lmics[[#This Row],[setting]],raw[],9,FALSE)</f>
        <v>213540.99023999998</v>
      </c>
      <c r="J36" s="67">
        <f>IF(VLOOKUP($A36,raw[],COLUMN(J$1),FALSE)=0, VLOOKUP($D36, regions[], COLUMN(J$1), FALSE), VLOOKUP($A36,raw[],COLUMN(J$1),FALSE))</f>
        <v>0.97900000000000009</v>
      </c>
      <c r="K36" s="77">
        <f>VLOOKUP($A36, raw[], 11, FALSE)</f>
        <v>0.66</v>
      </c>
      <c r="L36" s="77">
        <f>VLOOKUP($A36, raw[], 12, FALSE)</f>
        <v>0.81</v>
      </c>
      <c r="M36" s="77">
        <f>IF(VLOOKUP($A36,raw[],COLUMN(M$1),FALSE)=0, VLOOKUP($D36, regions[], COLUMN(M$1), FALSE), VLOOKUP($A36,raw[],COLUMN(M$1),FALSE))</f>
        <v>1.26E-2</v>
      </c>
      <c r="N36" s="68">
        <f>IF(VLOOKUP($A36,raw[],COLUMN(N$1),FALSE)=0, VLOOKUP($D36, regions[], COLUMN(N$1), FALSE), VLOOKUP($A36,raw[],COLUMN(N$1),FALSE))</f>
        <v>0.32463206947122436</v>
      </c>
      <c r="O36" s="67">
        <f>IF(VLOOKUP($A36,raw[],COLUMN(O$1),FALSE)=0, VLOOKUP($D36, regions[], COLUMN(O$1), FALSE), VLOOKUP($A36,raw[],COLUMN(O$1),FALSE))</f>
        <v>0.8</v>
      </c>
      <c r="P36" s="68">
        <f>IF(VLOOKUP($A36,raw[],COLUMN(P$1),FALSE)=0, VLOOKUP($D36, regions[], COLUMN(P$1), FALSE), VLOOKUP($A36,raw[],COLUMN(P$1),FALSE))</f>
        <v>0.17499999999999999</v>
      </c>
      <c r="Q36" s="70">
        <f>IF(VLOOKUP($A36,raw[],COLUMN(Q$1),FALSE)=0, VLOOKUP($D36, regions[], COLUMN(Q$1), FALSE), VLOOKUP($A36,raw[],COLUMN(Q$1),FALSE))</f>
        <v>9.6267321042156695</v>
      </c>
      <c r="R36" s="70">
        <f>IF(VLOOKUP($A36,raw[],COLUMN(R$1),FALSE)=0, VLOOKUP($D36, regions[], COLUMN(R$1), FALSE), VLOOKUP($A36,raw[],COLUMN(R$1),FALSE))</f>
        <v>31.952112104215672</v>
      </c>
      <c r="S36" s="70">
        <f>IF(VLOOKUP($A36,raw[],COLUMN(S$1),FALSE)=0, VLOOKUP($D36, regions[], COLUMN(S$1), FALSE), VLOOKUP($A36,raw[],COLUMN(S$1),FALSE))</f>
        <v>86.129085143348405</v>
      </c>
      <c r="T36" s="70">
        <f>IF(VLOOKUP($A36,raw[],COLUMN(U$1)-COLUMN($A$1),FALSE)=0, VLOOKUP($D36, regions[], COLUMN(U$1)-COLUMN($A$1), FALSE), VLOOKUP($A36,raw[],COLUMN(U$1)-COLUMN($A$1),FALSE))</f>
        <v>99.118317335371898</v>
      </c>
      <c r="U36" s="70">
        <f>IF(VLOOKUP($A36,raw[],COLUMN(V$1)-COLUMN($A$1),FALSE)=0, VLOOKUP($D36, regions[], COLUMN(V$1)-COLUMN($A$1), FALSE), VLOOKUP($A36,raw[],COLUMN(V$1)-COLUMN($A$1),FALSE))</f>
        <v>93.153936470185954</v>
      </c>
      <c r="V36" s="70">
        <f>IF(VLOOKUP($A36,raw[],COLUMN(W$1)-COLUMN($A$1),FALSE)=0, VLOOKUP($D36, regions[], COLUMN(W$1)-COLUMN($A$1), FALSE), VLOOKUP($A36,raw[],COLUMN(W$1)-COLUMN($A$1),FALSE))</f>
        <v>5.1556460777931026</v>
      </c>
      <c r="W36" s="70">
        <f>IF(VLOOKUP($A36,raw[],COLUMN(X$1)-COLUMN($A$1),FALSE)=0, VLOOKUP($D36, regions[], COLUMN(X$1)-COLUMN($A$1), FALSE), VLOOKUP($A36,raw[],COLUMN(X$1)-COLUMN($A$1),FALSE))</f>
        <v>5.1756460777931022</v>
      </c>
      <c r="X36" s="70">
        <f>IF(VLOOKUP($A36,raw[],COLUMN(Y$1)-COLUMN($A$1),FALSE)=0, VLOOKUP($D36, regions[], COLUMN(Y$1)-COLUMN($A$1), FALSE), VLOOKUP($A36,raw[],COLUMN(Y$1)-COLUMN($A$1),FALSE))</f>
        <v>4.7308346147246665</v>
      </c>
      <c r="Y36" s="70">
        <f>IF(VLOOKUP($A36,raw[],COLUMN(Z$1)-COLUMN($A$1),FALSE)=0, VLOOKUP($D36, regions[], COLUMN(Z$1)-COLUMN($A$1), FALSE), VLOOKUP($A36,raw[],COLUMN(Z$1)-COLUMN($A$1),FALSE))</f>
        <v>4.7508346147246661</v>
      </c>
      <c r="Z36" s="70">
        <f>IF(VLOOKUP($A36,raw[],COLUMN(AA$1)-COLUMN($A$1),FALSE)=0, VLOOKUP($D36, regions[], COLUMN(AA$1)-COLUMN($A$1), FALSE), VLOOKUP($A36,raw[],COLUMN(AA$1)-COLUMN($A$1),FALSE))</f>
        <v>4.7409237570165788</v>
      </c>
      <c r="AA36" s="70">
        <f>IF(VLOOKUP($A36,raw[],COLUMN(AB$1)-COLUMN($A$1),FALSE)=0, VLOOKUP($D36, regions[], COLUMN(AB$1)-COLUMN($A$1), FALSE), VLOOKUP($A36,raw[],COLUMN(AB$1)-COLUMN($A$1),FALSE))</f>
        <v>5.3658605259893948</v>
      </c>
      <c r="AB36" s="70">
        <f>IF(VLOOKUP($A36,raw[],COLUMN(AC$1)-COLUMN($A$1),FALSE)=0, VLOOKUP($D36, regions[], COLUMN(AC$1)-COLUMN($A$1), FALSE), VLOOKUP($A36,raw[],COLUMN(AC$1)-COLUMN($A$1),FALSE))</f>
        <v>5.3858605259893944</v>
      </c>
      <c r="AC36" s="72">
        <f>IF(VLOOKUP($A36,raw[],COLUMN(AD$1)-COLUMN($A$1),FALSE)=0, VLOOKUP($D36, regions[], COLUMN(AD$1)-COLUMN($A$1), FALSE), VLOOKUP($A36,raw[],COLUMN(AD$1)-COLUMN($A$1),FALSE))</f>
        <v>2.5863129999999946E-2</v>
      </c>
      <c r="AD36" s="72">
        <f>IF(VLOOKUP($A36,raw[],COLUMN(AE$1)-COLUMN($A$1),FALSE)=0, VLOOKUP($D36, regions[], COLUMN(AE$1)-COLUMN($A$1), FALSE), VLOOKUP($A36,raw[],COLUMN(AE$1)-COLUMN($A$1),FALSE))</f>
        <v>7.7357455939433485E-4</v>
      </c>
      <c r="AE36" s="72">
        <f>IF(VLOOKUP($A36,raw[],COLUMN(AF$1)-COLUMN($A$1),FALSE)=0, VLOOKUP($D36, regions[], COLUMN(AF$1)-COLUMN($A$1), FALSE), VLOOKUP($A36,raw[],COLUMN(AF$1)-COLUMN($A$1),FALSE))</f>
        <v>3.7187683614816214E-4</v>
      </c>
      <c r="AF36" s="72">
        <f>IF(VLOOKUP($A36,raw[],COLUMN(AG$1)-COLUMN($A$1),FALSE)=0, VLOOKUP($D36, regions[], COLUMN(AG$1)-COLUMN($A$1), FALSE), VLOOKUP($A36,raw[],COLUMN(AG$1)-COLUMN($A$1),FALSE))</f>
        <v>3.7267275157720303E-4</v>
      </c>
      <c r="AG36" s="72">
        <f>IF(VLOOKUP($A36,raw[],COLUMN(AH$1)-COLUMN($A$1),FALSE)=0, VLOOKUP($D36, regions[], COLUMN(AH$1)-COLUMN($A$1), FALSE), VLOOKUP($A36,raw[],COLUMN(AH$1)-COLUMN($A$1),FALSE))</f>
        <v>9.3912551170492601E-4</v>
      </c>
      <c r="AH36" s="72">
        <f>IF(VLOOKUP($A36,raw[],COLUMN(AI$1)-COLUMN($A$1),FALSE)=0, VLOOKUP($D36, regions[], COLUMN(AI$1)-COLUMN($A$1), FALSE), VLOOKUP($A36,raw[],COLUMN(AI$1)-COLUMN($A$1),FALSE))</f>
        <v>1.6595884607338623E-3</v>
      </c>
      <c r="AI36" s="72">
        <f>IF(VLOOKUP($A36,raw[],COLUMN(AJ$1)-COLUMN($A$1),FALSE)=0, VLOOKUP($D36, regions[], COLUMN(AJ$1)-COLUMN($A$1), FALSE), VLOOKUP($A36,raw[],COLUMN(AJ$1)-COLUMN($A$1),FALSE))</f>
        <v>2.0990892974385718E-3</v>
      </c>
      <c r="AJ36" s="72">
        <f>IF(VLOOKUP($A36,raw[],COLUMN(AK$1)-COLUMN($A$1),FALSE)=0, VLOOKUP($D36, regions[], COLUMN(AK$1)-COLUMN($A$1), FALSE), VLOOKUP($A36,raw[],COLUMN(AK$1)-COLUMN($A$1),FALSE))</f>
        <v>2.5592100458552546E-3</v>
      </c>
      <c r="AK36" s="72">
        <f>IF(VLOOKUP($A36,raw[],COLUMN(AL$1)-COLUMN($A$1),FALSE)=0, VLOOKUP($D36, regions[], COLUMN(AL$1)-COLUMN($A$1), FALSE), VLOOKUP($A36,raw[],COLUMN(AL$1)-COLUMN($A$1),FALSE))</f>
        <v>2.842646430570593E-3</v>
      </c>
      <c r="AL36" s="72">
        <f>IF(VLOOKUP($A36,raw[],COLUMN(AM$1)-COLUMN($A$1),FALSE)=0, VLOOKUP($D36, regions[], COLUMN(AM$1)-COLUMN($A$1), FALSE), VLOOKUP($A36,raw[],COLUMN(AM$1)-COLUMN($A$1),FALSE))</f>
        <v>3.5714677964116342E-3</v>
      </c>
      <c r="AM36" s="72">
        <f>IF(VLOOKUP($A36,raw[],COLUMN(AN$1)-COLUMN($A$1),FALSE)=0, VLOOKUP($D36, regions[], COLUMN(AN$1)-COLUMN($A$1), FALSE), VLOOKUP($A36,raw[],COLUMN(AN$1)-COLUMN($A$1),FALSE))</f>
        <v>4.7655679490866583E-3</v>
      </c>
      <c r="AN36" s="72">
        <f>IF(VLOOKUP($A36,raw[],COLUMN(AO$1)-COLUMN($A$1),FALSE)=0, VLOOKUP($D36, regions[], COLUMN(AO$1)-COLUMN($A$1), FALSE), VLOOKUP($A36,raw[],COLUMN(AO$1)-COLUMN($A$1),FALSE))</f>
        <v>6.3086682489530439E-3</v>
      </c>
      <c r="AO36" s="72">
        <f>IF(VLOOKUP($A36,raw[],COLUMN(AP$1)-COLUMN($A$1),FALSE)=0, VLOOKUP($D36, regions[], COLUMN(AP$1)-COLUMN($A$1), FALSE), VLOOKUP($A36,raw[],COLUMN(AP$1)-COLUMN($A$1),FALSE))</f>
        <v>9.1492027847737221E-3</v>
      </c>
      <c r="AP36" s="72">
        <f>IF(VLOOKUP($A36,raw[],COLUMN(AQ$1)-COLUMN($A$1),FALSE)=0, VLOOKUP($D36, regions[], COLUMN(AQ$1)-COLUMN($A$1), FALSE), VLOOKUP($A36,raw[],COLUMN(AQ$1)-COLUMN($A$1),FALSE))</f>
        <v>1.349657537567036E-2</v>
      </c>
      <c r="AQ36" s="72">
        <f>IF(VLOOKUP($A36,raw[],COLUMN(AR$1)-COLUMN($A$1),FALSE)=0, VLOOKUP($D36, regions[], COLUMN(AR$1)-COLUMN($A$1), FALSE), VLOOKUP($A36,raw[],COLUMN(AR$1)-COLUMN($A$1),FALSE))</f>
        <v>1.986574936550884E-2</v>
      </c>
      <c r="AR36" s="72">
        <f>IF(VLOOKUP($A36,raw[],COLUMN(AS$1)-COLUMN($A$1),FALSE)=0, VLOOKUP($D36, regions[], COLUMN(AS$1)-COLUMN($A$1), FALSE), VLOOKUP($A36,raw[],COLUMN(AS$1)-COLUMN($A$1),FALSE))</f>
        <v>2.8805916843350335E-2</v>
      </c>
      <c r="AS36" s="72">
        <f>IF(VLOOKUP($A36,raw[],COLUMN(AT$1)-COLUMN($A$1),FALSE)=0, VLOOKUP($D36, regions[], COLUMN(AT$1)-COLUMN($A$1), FALSE), VLOOKUP($A36,raw[],COLUMN(AT$1)-COLUMN($A$1),FALSE))</f>
        <v>4.1771450280558585E-2</v>
      </c>
      <c r="AT36" s="72">
        <f>IF(VLOOKUP($A36,raw[],COLUMN(AU$1)-COLUMN($A$1),FALSE)=0, VLOOKUP($D36, regions[], COLUMN(AU$1)-COLUMN($A$1), FALSE), VLOOKUP($A36,raw[],COLUMN(AU$1)-COLUMN($A$1),FALSE))</f>
        <v>5.7749967357403655E-2</v>
      </c>
      <c r="AU36" s="72">
        <f>IF(VLOOKUP($A36,raw[],COLUMN(AV$1)-COLUMN($A$1),FALSE)=0, VLOOKUP($D36, regions[], COLUMN(AV$1)-COLUMN($A$1), FALSE), VLOOKUP($A36,raw[],COLUMN(AV$1)-COLUMN($A$1),FALSE))</f>
        <v>7.6204519482658148E-2</v>
      </c>
      <c r="AV36" s="72">
        <f>IF(VLOOKUP($A36,raw[],COLUMN(AW$1)-COLUMN($A$1),FALSE)=0, VLOOKUP($D36, regions[], COLUMN(AW$1)-COLUMN($A$1), FALSE), VLOOKUP($A36,raw[],COLUMN(AW$1)-COLUMN($A$1),FALSE))</f>
        <v>9.5852149000280579E-2</v>
      </c>
      <c r="AW36" s="72">
        <f>IF(VLOOKUP($A36,raw[],COLUMN(AX$1)-COLUMN($A$1),FALSE)=0, VLOOKUP($D36, regions[], COLUMN(AX$1)-COLUMN($A$1), FALSE), VLOOKUP($A36,raw[],COLUMN(AX$1)-COLUMN($A$1),FALSE))</f>
        <v>0.11520297024996774</v>
      </c>
      <c r="AX36" s="72">
        <f>IF(VLOOKUP($A36,raw[],COLUMN(AY$1)-COLUMN($A$1),FALSE)=0, VLOOKUP($D36, regions[], COLUMN(AY$1)-COLUMN($A$1), FALSE), VLOOKUP($A36,raw[],COLUMN(AY$1)-COLUMN($A$1),FALSE))</f>
        <v>73.811000000000007</v>
      </c>
      <c r="AY36" t="str">
        <f t="shared" si="1"/>
        <v>No</v>
      </c>
    </row>
    <row r="37" spans="1:51" x14ac:dyDescent="0.25">
      <c r="A37" s="55" t="s">
        <v>293</v>
      </c>
      <c r="B37" s="56" t="s">
        <v>294</v>
      </c>
      <c r="C37" s="56">
        <v>218</v>
      </c>
      <c r="D37" s="56" t="s">
        <v>215</v>
      </c>
      <c r="E37" s="56" t="s">
        <v>240</v>
      </c>
      <c r="F37" s="56" t="s">
        <v>217</v>
      </c>
      <c r="G37" s="56" t="s">
        <v>204</v>
      </c>
      <c r="H37" s="74">
        <f>VLOOKUP(lmics[[#This Row],[setting]],raw[],8,FALSE)</f>
        <v>17643060</v>
      </c>
      <c r="I37" s="74">
        <f>VLOOKUP(lmics[[#This Row],[setting]],raw[],9,FALSE)</f>
        <v>350320.59936000005</v>
      </c>
      <c r="J37" s="67">
        <f>IF(VLOOKUP($A37,raw[],COLUMN(J$1),FALSE)=0, VLOOKUP($D37, regions[], COLUMN(J$1), FALSE), VLOOKUP($A37,raw[],COLUMN(J$1),FALSE))</f>
        <v>0.93299999999999994</v>
      </c>
      <c r="K37" s="77">
        <f>VLOOKUP($A37, raw[], 11, FALSE)</f>
        <v>0.62</v>
      </c>
      <c r="L37" s="77">
        <f>VLOOKUP($A37, raw[], 12, FALSE)</f>
        <v>0.7</v>
      </c>
      <c r="M37" s="77">
        <f>IF(VLOOKUP($A37,raw[],COLUMN(M$1),FALSE)=0, VLOOKUP($D37, regions[], COLUMN(M$1), FALSE), VLOOKUP($A37,raw[],COLUMN(M$1),FALSE))</f>
        <v>1.43E-2</v>
      </c>
      <c r="N37" s="68">
        <f>IF(VLOOKUP($A37,raw[],COLUMN(N$1),FALSE)=0, VLOOKUP($D37, regions[], COLUMN(N$1), FALSE), VLOOKUP($A37,raw[],COLUMN(N$1),FALSE))</f>
        <v>0.31201435746723727</v>
      </c>
      <c r="O37" s="67">
        <f>IF(VLOOKUP($A37,raw[],COLUMN(O$1),FALSE)=0, VLOOKUP($D37, regions[], COLUMN(O$1), FALSE), VLOOKUP($A37,raw[],COLUMN(O$1),FALSE))</f>
        <v>0.8</v>
      </c>
      <c r="P37" s="68">
        <f>IF(VLOOKUP($A37,raw[],COLUMN(P$1),FALSE)=0, VLOOKUP($D37, regions[], COLUMN(P$1), FALSE), VLOOKUP($A37,raw[],COLUMN(P$1),FALSE))</f>
        <v>0.17499999999999999</v>
      </c>
      <c r="Q37" s="70">
        <f>IF(VLOOKUP($A37,raw[],COLUMN(Q$1),FALSE)=0, VLOOKUP($D37, regions[], COLUMN(Q$1), FALSE), VLOOKUP($A37,raw[],COLUMN(Q$1),FALSE))</f>
        <v>11.558936548759485</v>
      </c>
      <c r="R37" s="70">
        <f>IF(VLOOKUP($A37,raw[],COLUMN(R$1),FALSE)=0, VLOOKUP($D37, regions[], COLUMN(R$1), FALSE), VLOOKUP($A37,raw[],COLUMN(R$1),FALSE))</f>
        <v>33.884316548759486</v>
      </c>
      <c r="S37" s="70">
        <f>IF(VLOOKUP($A37,raw[],COLUMN(S$1),FALSE)=0, VLOOKUP($D37, regions[], COLUMN(S$1), FALSE), VLOOKUP($A37,raw[],COLUMN(S$1),FALSE))</f>
        <v>95.358428791394104</v>
      </c>
      <c r="T37" s="70">
        <f>IF(VLOOKUP($A37,raw[],COLUMN(U$1)-COLUMN($A$1),FALSE)=0, VLOOKUP($D37, regions[], COLUMN(U$1)-COLUMN($A$1), FALSE), VLOOKUP($A37,raw[],COLUMN(U$1)-COLUMN($A$1),FALSE))</f>
        <v>112.14556689545188</v>
      </c>
      <c r="U37" s="70">
        <f>IF(VLOOKUP($A37,raw[],COLUMN(V$1)-COLUMN($A$1),FALSE)=0, VLOOKUP($D37, regions[], COLUMN(V$1)-COLUMN($A$1), FALSE), VLOOKUP($A37,raw[],COLUMN(V$1)-COLUMN($A$1),FALSE))</f>
        <v>104.43726791296378</v>
      </c>
      <c r="V37" s="70">
        <f>IF(VLOOKUP($A37,raw[],COLUMN(W$1)-COLUMN($A$1),FALSE)=0, VLOOKUP($D37, regions[], COLUMN(W$1)-COLUMN($A$1), FALSE), VLOOKUP($A37,raw[],COLUMN(W$1)-COLUMN($A$1),FALSE))</f>
        <v>3.5576990218214322</v>
      </c>
      <c r="W37" s="70">
        <f>IF(VLOOKUP($A37,raw[],COLUMN(X$1)-COLUMN($A$1),FALSE)=0, VLOOKUP($D37, regions[], COLUMN(X$1)-COLUMN($A$1), FALSE), VLOOKUP($A37,raw[],COLUMN(X$1)-COLUMN($A$1),FALSE))</f>
        <v>3.5776990218214322</v>
      </c>
      <c r="X37" s="70">
        <f>IF(VLOOKUP($A37,raw[],COLUMN(Y$1)-COLUMN($A$1),FALSE)=0, VLOOKUP($D37, regions[], COLUMN(Y$1)-COLUMN($A$1), FALSE), VLOOKUP($A37,raw[],COLUMN(Y$1)-COLUMN($A$1),FALSE))</f>
        <v>3.1386409552248393</v>
      </c>
      <c r="Y37" s="70">
        <f>IF(VLOOKUP($A37,raw[],COLUMN(Z$1)-COLUMN($A$1),FALSE)=0, VLOOKUP($D37, regions[], COLUMN(Z$1)-COLUMN($A$1), FALSE), VLOOKUP($A37,raw[],COLUMN(Z$1)-COLUMN($A$1),FALSE))</f>
        <v>3.1586409552248393</v>
      </c>
      <c r="Z37" s="70">
        <f>IF(VLOOKUP($A37,raw[],COLUMN(AA$1)-COLUMN($A$1),FALSE)=0, VLOOKUP($D37, regions[], COLUMN(AA$1)-COLUMN($A$1), FALSE), VLOOKUP($A37,raw[],COLUMN(AA$1)-COLUMN($A$1),FALSE))</f>
        <v>3.1512568656474906</v>
      </c>
      <c r="AA37" s="70">
        <f>IF(VLOOKUP($A37,raw[],COLUMN(AB$1)-COLUMN($A$1),FALSE)=0, VLOOKUP($D37, regions[], COLUMN(AB$1)-COLUMN($A$1), FALSE), VLOOKUP($A37,raw[],COLUMN(AB$1)-COLUMN($A$1),FALSE))</f>
        <v>3.7658622591016755</v>
      </c>
      <c r="AB37" s="70">
        <f>IF(VLOOKUP($A37,raw[],COLUMN(AC$1)-COLUMN($A$1),FALSE)=0, VLOOKUP($D37, regions[], COLUMN(AC$1)-COLUMN($A$1), FALSE), VLOOKUP($A37,raw[],COLUMN(AC$1)-COLUMN($A$1),FALSE))</f>
        <v>3.7858622591016755</v>
      </c>
      <c r="AC37" s="72">
        <f>IF(VLOOKUP($A37,raw[],COLUMN(AD$1)-COLUMN($A$1),FALSE)=0, VLOOKUP($D37, regions[], COLUMN(AD$1)-COLUMN($A$1), FALSE), VLOOKUP($A37,raw[],COLUMN(AD$1)-COLUMN($A$1),FALSE))</f>
        <v>1.3603999999999943E-2</v>
      </c>
      <c r="AD37" s="72">
        <f>IF(VLOOKUP($A37,raw[],COLUMN(AE$1)-COLUMN($A$1),FALSE)=0, VLOOKUP($D37, regions[], COLUMN(AE$1)-COLUMN($A$1), FALSE), VLOOKUP($A37,raw[],COLUMN(AE$1)-COLUMN($A$1),FALSE))</f>
        <v>6.8767006354446118E-4</v>
      </c>
      <c r="AE37" s="72">
        <f>IF(VLOOKUP($A37,raw[],COLUMN(AF$1)-COLUMN($A$1),FALSE)=0, VLOOKUP($D37, regions[], COLUMN(AF$1)-COLUMN($A$1), FALSE), VLOOKUP($A37,raw[],COLUMN(AF$1)-COLUMN($A$1),FALSE))</f>
        <v>3.9370417335979569E-4</v>
      </c>
      <c r="AF37" s="72">
        <f>IF(VLOOKUP($A37,raw[],COLUMN(AG$1)-COLUMN($A$1),FALSE)=0, VLOOKUP($D37, regions[], COLUMN(AG$1)-COLUMN($A$1), FALSE), VLOOKUP($A37,raw[],COLUMN(AG$1)-COLUMN($A$1),FALSE))</f>
        <v>4.9526642493011395E-4</v>
      </c>
      <c r="AG37" s="72">
        <f>IF(VLOOKUP($A37,raw[],COLUMN(AH$1)-COLUMN($A$1),FALSE)=0, VLOOKUP($D37, regions[], COLUMN(AH$1)-COLUMN($A$1), FALSE), VLOOKUP($A37,raw[],COLUMN(AH$1)-COLUMN($A$1),FALSE))</f>
        <v>1.0292681964982182E-3</v>
      </c>
      <c r="AH37" s="72">
        <f>IF(VLOOKUP($A37,raw[],COLUMN(AI$1)-COLUMN($A$1),FALSE)=0, VLOOKUP($D37, regions[], COLUMN(AI$1)-COLUMN($A$1), FALSE), VLOOKUP($A37,raw[],COLUMN(AI$1)-COLUMN($A$1),FALSE))</f>
        <v>1.6221000035185156E-3</v>
      </c>
      <c r="AI37" s="72">
        <f>IF(VLOOKUP($A37,raw[],COLUMN(AJ$1)-COLUMN($A$1),FALSE)=0, VLOOKUP($D37, regions[], COLUMN(AJ$1)-COLUMN($A$1), FALSE), VLOOKUP($A37,raw[],COLUMN(AJ$1)-COLUMN($A$1),FALSE))</f>
        <v>1.9509558964916247E-3</v>
      </c>
      <c r="AJ37" s="72">
        <f>IF(VLOOKUP($A37,raw[],COLUMN(AK$1)-COLUMN($A$1),FALSE)=0, VLOOKUP($D37, regions[], COLUMN(AK$1)-COLUMN($A$1), FALSE), VLOOKUP($A37,raw[],COLUMN(AK$1)-COLUMN($A$1),FALSE))</f>
        <v>2.024378160246552E-3</v>
      </c>
      <c r="AK37" s="72">
        <f>IF(VLOOKUP($A37,raw[],COLUMN(AL$1)-COLUMN($A$1),FALSE)=0, VLOOKUP($D37, regions[], COLUMN(AL$1)-COLUMN($A$1), FALSE), VLOOKUP($A37,raw[],COLUMN(AL$1)-COLUMN($A$1),FALSE))</f>
        <v>2.1684233691174424E-3</v>
      </c>
      <c r="AL37" s="72">
        <f>IF(VLOOKUP($A37,raw[],COLUMN(AM$1)-COLUMN($A$1),FALSE)=0, VLOOKUP($D37, regions[], COLUMN(AM$1)-COLUMN($A$1), FALSE), VLOOKUP($A37,raw[],COLUMN(AM$1)-COLUMN($A$1),FALSE))</f>
        <v>2.710723957563381E-3</v>
      </c>
      <c r="AM37" s="72">
        <f>IF(VLOOKUP($A37,raw[],COLUMN(AN$1)-COLUMN($A$1),FALSE)=0, VLOOKUP($D37, regions[], COLUMN(AN$1)-COLUMN($A$1), FALSE), VLOOKUP($A37,raw[],COLUMN(AN$1)-COLUMN($A$1),FALSE))</f>
        <v>3.4507564595453277E-3</v>
      </c>
      <c r="AN37" s="72">
        <f>IF(VLOOKUP($A37,raw[],COLUMN(AO$1)-COLUMN($A$1),FALSE)=0, VLOOKUP($D37, regions[], COLUMN(AO$1)-COLUMN($A$1), FALSE), VLOOKUP($A37,raw[],COLUMN(AO$1)-COLUMN($A$1),FALSE))</f>
        <v>5.0299162268145599E-3</v>
      </c>
      <c r="AO37" s="72">
        <f>IF(VLOOKUP($A37,raw[],COLUMN(AP$1)-COLUMN($A$1),FALSE)=0, VLOOKUP($D37, regions[], COLUMN(AP$1)-COLUMN($A$1), FALSE), VLOOKUP($A37,raw[],COLUMN(AP$1)-COLUMN($A$1),FALSE))</f>
        <v>6.85829796409302E-3</v>
      </c>
      <c r="AP37" s="72">
        <f>IF(VLOOKUP($A37,raw[],COLUMN(AQ$1)-COLUMN($A$1),FALSE)=0, VLOOKUP($D37, regions[], COLUMN(AQ$1)-COLUMN($A$1), FALSE), VLOOKUP($A37,raw[],COLUMN(AQ$1)-COLUMN($A$1),FALSE))</f>
        <v>9.9720927830648891E-3</v>
      </c>
      <c r="AQ37" s="72">
        <f>IF(VLOOKUP($A37,raw[],COLUMN(AR$1)-COLUMN($A$1),FALSE)=0, VLOOKUP($D37, regions[], COLUMN(AR$1)-COLUMN($A$1), FALSE), VLOOKUP($A37,raw[],COLUMN(AR$1)-COLUMN($A$1),FALSE))</f>
        <v>1.3981656629861733E-2</v>
      </c>
      <c r="AR37" s="72">
        <f>IF(VLOOKUP($A37,raw[],COLUMN(AS$1)-COLUMN($A$1),FALSE)=0, VLOOKUP($D37, regions[], COLUMN(AS$1)-COLUMN($A$1), FALSE), VLOOKUP($A37,raw[],COLUMN(AS$1)-COLUMN($A$1),FALSE))</f>
        <v>2.2815887117368309E-2</v>
      </c>
      <c r="AS37" s="72">
        <f>IF(VLOOKUP($A37,raw[],COLUMN(AT$1)-COLUMN($A$1),FALSE)=0, VLOOKUP($D37, regions[], COLUMN(AT$1)-COLUMN($A$1), FALSE), VLOOKUP($A37,raw[],COLUMN(AT$1)-COLUMN($A$1),FALSE))</f>
        <v>3.6522283012411859E-2</v>
      </c>
      <c r="AT37" s="72">
        <f>IF(VLOOKUP($A37,raw[],COLUMN(AU$1)-COLUMN($A$1),FALSE)=0, VLOOKUP($D37, regions[], COLUMN(AU$1)-COLUMN($A$1), FALSE), VLOOKUP($A37,raw[],COLUMN(AU$1)-COLUMN($A$1),FALSE))</f>
        <v>5.592534206364163E-2</v>
      </c>
      <c r="AU37" s="72">
        <f>IF(VLOOKUP($A37,raw[],COLUMN(AV$1)-COLUMN($A$1),FALSE)=0, VLOOKUP($D37, regions[], COLUMN(AV$1)-COLUMN($A$1), FALSE), VLOOKUP($A37,raw[],COLUMN(AV$1)-COLUMN($A$1),FALSE))</f>
        <v>8.5126930812053858E-2</v>
      </c>
      <c r="AV37" s="72">
        <f>IF(VLOOKUP($A37,raw[],COLUMN(AW$1)-COLUMN($A$1),FALSE)=0, VLOOKUP($D37, regions[], COLUMN(AW$1)-COLUMN($A$1), FALSE), VLOOKUP($A37,raw[],COLUMN(AW$1)-COLUMN($A$1),FALSE))</f>
        <v>0.10901687879307558</v>
      </c>
      <c r="AW37" s="72">
        <f>IF(VLOOKUP($A37,raw[],COLUMN(AX$1)-COLUMN($A$1),FALSE)=0, VLOOKUP($D37, regions[], COLUMN(AX$1)-COLUMN($A$1), FALSE), VLOOKUP($A37,raw[],COLUMN(AX$1)-COLUMN($A$1),FALSE))</f>
        <v>0.13971960254114565</v>
      </c>
      <c r="AX37" s="72">
        <f>IF(VLOOKUP($A37,raw[],COLUMN(AY$1)-COLUMN($A$1),FALSE)=0, VLOOKUP($D37, regions[], COLUMN(AY$1)-COLUMN($A$1), FALSE), VLOOKUP($A37,raw[],COLUMN(AY$1)-COLUMN($A$1),FALSE))</f>
        <v>76.701999999999998</v>
      </c>
      <c r="AY37" t="str">
        <f t="shared" si="1"/>
        <v>No</v>
      </c>
    </row>
    <row r="38" spans="1:51" x14ac:dyDescent="0.25">
      <c r="A38" s="53" t="s">
        <v>295</v>
      </c>
      <c r="B38" s="54" t="s">
        <v>296</v>
      </c>
      <c r="C38" s="54">
        <v>818</v>
      </c>
      <c r="D38" s="54" t="s">
        <v>196</v>
      </c>
      <c r="E38" s="54" t="s">
        <v>197</v>
      </c>
      <c r="F38" s="54" t="s">
        <v>197</v>
      </c>
      <c r="G38" s="54" t="s">
        <v>212</v>
      </c>
      <c r="H38" s="73">
        <f>VLOOKUP(lmics[[#This Row],[setting]],raw[],8,FALSE)</f>
        <v>102334403</v>
      </c>
      <c r="I38" s="73">
        <f>VLOOKUP(lmics[[#This Row],[setting]],raw[],9,FALSE)</f>
        <v>2715750.3868140001</v>
      </c>
      <c r="J38" s="67">
        <f>IF(VLOOKUP($A38,raw[],COLUMN(J$1),FALSE)=0, VLOOKUP($D38, regions[], COLUMN(J$1), FALSE), VLOOKUP($A38,raw[],COLUMN(J$1),FALSE))</f>
        <v>0.86699999999999999</v>
      </c>
      <c r="K38" s="77">
        <f>VLOOKUP($A38, raw[], 11, FALSE)</f>
        <v>0.92</v>
      </c>
      <c r="L38" s="77">
        <f>VLOOKUP($A38, raw[], 12, FALSE)</f>
        <v>0.94</v>
      </c>
      <c r="M38" s="77">
        <f>IF(VLOOKUP($A38,raw[],COLUMN(M$1),FALSE)=0, VLOOKUP($D38, regions[], COLUMN(M$1), FALSE), VLOOKUP($A38,raw[],COLUMN(M$1),FALSE))</f>
        <v>1.55E-2</v>
      </c>
      <c r="N38" s="68">
        <f>IF(VLOOKUP($A38,raw[],COLUMN(N$1),FALSE)=0, VLOOKUP($D38, regions[], COLUMN(N$1), FALSE), VLOOKUP($A38,raw[],COLUMN(N$1),FALSE))</f>
        <v>0.26878838285685103</v>
      </c>
      <c r="O38" s="67">
        <f>IF(VLOOKUP($A38,raw[],COLUMN(O$1),FALSE)=0, VLOOKUP($D38, regions[], COLUMN(O$1), FALSE), VLOOKUP($A38,raw[],COLUMN(O$1),FALSE))</f>
        <v>0.8</v>
      </c>
      <c r="P38" s="68">
        <f>IF(VLOOKUP($A38,raw[],COLUMN(P$1),FALSE)=0, VLOOKUP($D38, regions[], COLUMN(P$1), FALSE), VLOOKUP($A38,raw[],COLUMN(P$1),FALSE))</f>
        <v>0.17499999999999999</v>
      </c>
      <c r="Q38" s="70">
        <f>IF(VLOOKUP($A38,raw[],COLUMN(Q$1),FALSE)=0, VLOOKUP($D38, regions[], COLUMN(Q$1), FALSE), VLOOKUP($A38,raw[],COLUMN(Q$1),FALSE))</f>
        <v>6.662674060488075</v>
      </c>
      <c r="R38" s="70">
        <f>IF(VLOOKUP($A38,raw[],COLUMN(R$1),FALSE)=0, VLOOKUP($D38, regions[], COLUMN(R$1), FALSE), VLOOKUP($A38,raw[],COLUMN(R$1),FALSE))</f>
        <v>28.988054060488075</v>
      </c>
      <c r="S38" s="70">
        <f>IF(VLOOKUP($A38,raw[],COLUMN(S$1),FALSE)=0, VLOOKUP($D38, regions[], COLUMN(S$1), FALSE), VLOOKUP($A38,raw[],COLUMN(S$1),FALSE))</f>
        <v>74.09061840550558</v>
      </c>
      <c r="T38" s="70">
        <f>IF(VLOOKUP($A38,raw[],COLUMN(U$1)-COLUMN($A$1),FALSE)=0, VLOOKUP($D38, regions[], COLUMN(U$1)-COLUMN($A$1), FALSE), VLOOKUP($A38,raw[],COLUMN(U$1)-COLUMN($A$1),FALSE))</f>
        <v>82.356938033238592</v>
      </c>
      <c r="U38" s="70">
        <f>IF(VLOOKUP($A38,raw[],COLUMN(V$1)-COLUMN($A$1),FALSE)=0, VLOOKUP($D38, regions[], COLUMN(V$1)-COLUMN($A$1), FALSE), VLOOKUP($A38,raw[],COLUMN(V$1)-COLUMN($A$1),FALSE))</f>
        <v>78.561218787921035</v>
      </c>
      <c r="V38" s="70">
        <f>IF(VLOOKUP($A38,raw[],COLUMN(W$1)-COLUMN($A$1),FALSE)=0, VLOOKUP($D38, regions[], COLUMN(W$1)-COLUMN($A$1), FALSE), VLOOKUP($A38,raw[],COLUMN(W$1)-COLUMN($A$1),FALSE))</f>
        <v>2.7589009131685325</v>
      </c>
      <c r="W38" s="70">
        <f>IF(VLOOKUP($A38,raw[],COLUMN(X$1)-COLUMN($A$1),FALSE)=0, VLOOKUP($D38, regions[], COLUMN(X$1)-COLUMN($A$1), FALSE), VLOOKUP($A38,raw[],COLUMN(X$1)-COLUMN($A$1),FALSE))</f>
        <v>3.2389009131685325</v>
      </c>
      <c r="X38" s="70">
        <f>IF(VLOOKUP($A38,raw[],COLUMN(Y$1)-COLUMN($A$1),FALSE)=0, VLOOKUP($D38, regions[], COLUMN(Y$1)-COLUMN($A$1), FALSE), VLOOKUP($A38,raw[],COLUMN(Y$1)-COLUMN($A$1),FALSE))</f>
        <v>2.33714775795137</v>
      </c>
      <c r="Y38" s="70">
        <f>IF(VLOOKUP($A38,raw[],COLUMN(Z$1)-COLUMN($A$1),FALSE)=0, VLOOKUP($D38, regions[], COLUMN(Z$1)-COLUMN($A$1), FALSE), VLOOKUP($A38,raw[],COLUMN(Z$1)-COLUMN($A$1),FALSE))</f>
        <v>2.81714775795137</v>
      </c>
      <c r="Z38" s="70">
        <f>IF(VLOOKUP($A38,raw[],COLUMN(AA$1)-COLUMN($A$1),FALSE)=0, VLOOKUP($D38, regions[], COLUMN(AA$1)-COLUMN($A$1), FALSE), VLOOKUP($A38,raw[],COLUMN(AA$1)-COLUMN($A$1),FALSE))</f>
        <v>2.8088966562937792</v>
      </c>
      <c r="AA38" s="70">
        <f>IF(VLOOKUP($A38,raw[],COLUMN(AB$1)-COLUMN($A$1),FALSE)=0, VLOOKUP($D38, regions[], COLUMN(AB$1)-COLUMN($A$1), FALSE), VLOOKUP($A38,raw[],COLUMN(AB$1)-COLUMN($A$1),FALSE))</f>
        <v>2.9680250081308914</v>
      </c>
      <c r="AB38" s="70">
        <f>IF(VLOOKUP($A38,raw[],COLUMN(AC$1)-COLUMN($A$1),FALSE)=0, VLOOKUP($D38, regions[], COLUMN(AC$1)-COLUMN($A$1), FALSE), VLOOKUP($A38,raw[],COLUMN(AC$1)-COLUMN($A$1),FALSE))</f>
        <v>3.4480250081308914</v>
      </c>
      <c r="AC38" s="72">
        <f>IF(VLOOKUP($A38,raw[],COLUMN(AD$1)-COLUMN($A$1),FALSE)=0, VLOOKUP($D38, regions[], COLUMN(AD$1)-COLUMN($A$1), FALSE), VLOOKUP($A38,raw[],COLUMN(AD$1)-COLUMN($A$1),FALSE))</f>
        <v>1.5603000000000028E-2</v>
      </c>
      <c r="AD38" s="72">
        <f>IF(VLOOKUP($A38,raw[],COLUMN(AE$1)-COLUMN($A$1),FALSE)=0, VLOOKUP($D38, regions[], COLUMN(AE$1)-COLUMN($A$1), FALSE), VLOOKUP($A38,raw[],COLUMN(AE$1)-COLUMN($A$1),FALSE))</f>
        <v>1.0979411761717916E-3</v>
      </c>
      <c r="AE38" s="72">
        <f>IF(VLOOKUP($A38,raw[],COLUMN(AF$1)-COLUMN($A$1),FALSE)=0, VLOOKUP($D38, regions[], COLUMN(AF$1)-COLUMN($A$1), FALSE), VLOOKUP($A38,raw[],COLUMN(AF$1)-COLUMN($A$1),FALSE))</f>
        <v>4.0203096550612541E-4</v>
      </c>
      <c r="AF38" s="72">
        <f>IF(VLOOKUP($A38,raw[],COLUMN(AG$1)-COLUMN($A$1),FALSE)=0, VLOOKUP($D38, regions[], COLUMN(AG$1)-COLUMN($A$1), FALSE), VLOOKUP($A38,raw[],COLUMN(AG$1)-COLUMN($A$1),FALSE))</f>
        <v>3.3723214981119505E-4</v>
      </c>
      <c r="AG38" s="72">
        <f>IF(VLOOKUP($A38,raw[],COLUMN(AH$1)-COLUMN($A$1),FALSE)=0, VLOOKUP($D38, regions[], COLUMN(AH$1)-COLUMN($A$1), FALSE), VLOOKUP($A38,raw[],COLUMN(AH$1)-COLUMN($A$1),FALSE))</f>
        <v>4.8947906856727417E-4</v>
      </c>
      <c r="AH38" s="72">
        <f>IF(VLOOKUP($A38,raw[],COLUMN(AI$1)-COLUMN($A$1),FALSE)=0, VLOOKUP($D38, regions[], COLUMN(AI$1)-COLUMN($A$1), FALSE), VLOOKUP($A38,raw[],COLUMN(AI$1)-COLUMN($A$1),FALSE))</f>
        <v>7.3460421749213067E-4</v>
      </c>
      <c r="AI38" s="72">
        <f>IF(VLOOKUP($A38,raw[],COLUMN(AJ$1)-COLUMN($A$1),FALSE)=0, VLOOKUP($D38, regions[], COLUMN(AJ$1)-COLUMN($A$1), FALSE), VLOOKUP($A38,raw[],COLUMN(AJ$1)-COLUMN($A$1),FALSE))</f>
        <v>9.0669127946694952E-4</v>
      </c>
      <c r="AJ38" s="72">
        <f>IF(VLOOKUP($A38,raw[],COLUMN(AK$1)-COLUMN($A$1),FALSE)=0, VLOOKUP($D38, regions[], COLUMN(AK$1)-COLUMN($A$1), FALSE), VLOOKUP($A38,raw[],COLUMN(AK$1)-COLUMN($A$1),FALSE))</f>
        <v>1.1951674384517003E-3</v>
      </c>
      <c r="AK38" s="72">
        <f>IF(VLOOKUP($A38,raw[],COLUMN(AL$1)-COLUMN($A$1),FALSE)=0, VLOOKUP($D38, regions[], COLUMN(AL$1)-COLUMN($A$1), FALSE), VLOOKUP($A38,raw[],COLUMN(AL$1)-COLUMN($A$1),FALSE))</f>
        <v>1.4403121562159814E-3</v>
      </c>
      <c r="AL38" s="72">
        <f>IF(VLOOKUP($A38,raw[],COLUMN(AM$1)-COLUMN($A$1),FALSE)=0, VLOOKUP($D38, regions[], COLUMN(AM$1)-COLUMN($A$1), FALSE), VLOOKUP($A38,raw[],COLUMN(AM$1)-COLUMN($A$1),FALSE))</f>
        <v>2.1571886813432435E-3</v>
      </c>
      <c r="AM38" s="72">
        <f>IF(VLOOKUP($A38,raw[],COLUMN(AN$1)-COLUMN($A$1),FALSE)=0, VLOOKUP($D38, regions[], COLUMN(AN$1)-COLUMN($A$1), FALSE), VLOOKUP($A38,raw[],COLUMN(AN$1)-COLUMN($A$1),FALSE))</f>
        <v>4.4969935214368723E-3</v>
      </c>
      <c r="AN38" s="72">
        <f>IF(VLOOKUP($A38,raw[],COLUMN(AO$1)-COLUMN($A$1),FALSE)=0, VLOOKUP($D38, regions[], COLUMN(AO$1)-COLUMN($A$1), FALSE), VLOOKUP($A38,raw[],COLUMN(AO$1)-COLUMN($A$1),FALSE))</f>
        <v>8.2593242275040731E-3</v>
      </c>
      <c r="AO38" s="72">
        <f>IF(VLOOKUP($A38,raw[],COLUMN(AP$1)-COLUMN($A$1),FALSE)=0, VLOOKUP($D38, regions[], COLUMN(AP$1)-COLUMN($A$1), FALSE), VLOOKUP($A38,raw[],COLUMN(AP$1)-COLUMN($A$1),FALSE))</f>
        <v>1.1397434154598698E-2</v>
      </c>
      <c r="AP38" s="72">
        <f>IF(VLOOKUP($A38,raw[],COLUMN(AQ$1)-COLUMN($A$1),FALSE)=0, VLOOKUP($D38, regions[], COLUMN(AQ$1)-COLUMN($A$1), FALSE), VLOOKUP($A38,raw[],COLUMN(AQ$1)-COLUMN($A$1),FALSE))</f>
        <v>1.8330517874933352E-2</v>
      </c>
      <c r="AQ38" s="72">
        <f>IF(VLOOKUP($A38,raw[],COLUMN(AR$1)-COLUMN($A$1),FALSE)=0, VLOOKUP($D38, regions[], COLUMN(AR$1)-COLUMN($A$1), FALSE), VLOOKUP($A38,raw[],COLUMN(AR$1)-COLUMN($A$1),FALSE))</f>
        <v>2.8106823757184662E-2</v>
      </c>
      <c r="AR38" s="72">
        <f>IF(VLOOKUP($A38,raw[],COLUMN(AS$1)-COLUMN($A$1),FALSE)=0, VLOOKUP($D38, regions[], COLUMN(AS$1)-COLUMN($A$1), FALSE), VLOOKUP($A38,raw[],COLUMN(AS$1)-COLUMN($A$1),FALSE))</f>
        <v>4.3978088495614923E-2</v>
      </c>
      <c r="AS38" s="72">
        <f>IF(VLOOKUP($A38,raw[],COLUMN(AT$1)-COLUMN($A$1),FALSE)=0, VLOOKUP($D38, regions[], COLUMN(AT$1)-COLUMN($A$1), FALSE), VLOOKUP($A38,raw[],COLUMN(AT$1)-COLUMN($A$1),FALSE))</f>
        <v>6.7373729113522129E-2</v>
      </c>
      <c r="AT38" s="72">
        <f>IF(VLOOKUP($A38,raw[],COLUMN(AU$1)-COLUMN($A$1),FALSE)=0, VLOOKUP($D38, regions[], COLUMN(AU$1)-COLUMN($A$1), FALSE), VLOOKUP($A38,raw[],COLUMN(AU$1)-COLUMN($A$1),FALSE))</f>
        <v>9.481964846989685E-2</v>
      </c>
      <c r="AU38" s="72">
        <f>IF(VLOOKUP($A38,raw[],COLUMN(AV$1)-COLUMN($A$1),FALSE)=0, VLOOKUP($D38, regions[], COLUMN(AV$1)-COLUMN($A$1), FALSE), VLOOKUP($A38,raw[],COLUMN(AV$1)-COLUMN($A$1),FALSE))</f>
        <v>0.12462073263023554</v>
      </c>
      <c r="AV38" s="72">
        <f>IF(VLOOKUP($A38,raw[],COLUMN(AW$1)-COLUMN($A$1),FALSE)=0, VLOOKUP($D38, regions[], COLUMN(AW$1)-COLUMN($A$1), FALSE), VLOOKUP($A38,raw[],COLUMN(AW$1)-COLUMN($A$1),FALSE))</f>
        <v>0.14965792419484689</v>
      </c>
      <c r="AW38" s="72">
        <f>IF(VLOOKUP($A38,raw[],COLUMN(AX$1)-COLUMN($A$1),FALSE)=0, VLOOKUP($D38, regions[], COLUMN(AX$1)-COLUMN($A$1), FALSE), VLOOKUP($A38,raw[],COLUMN(AX$1)-COLUMN($A$1),FALSE))</f>
        <v>0.1716527449047042</v>
      </c>
      <c r="AX38" s="72">
        <f>IF(VLOOKUP($A38,raw[],COLUMN(AY$1)-COLUMN($A$1),FALSE)=0, VLOOKUP($D38, regions[], COLUMN(AY$1)-COLUMN($A$1), FALSE), VLOOKUP($A38,raw[],COLUMN(AY$1)-COLUMN($A$1),FALSE))</f>
        <v>71.744</v>
      </c>
      <c r="AY38" t="str">
        <f t="shared" si="1"/>
        <v>No</v>
      </c>
    </row>
    <row r="39" spans="1:51" x14ac:dyDescent="0.25">
      <c r="A39" s="55" t="s">
        <v>297</v>
      </c>
      <c r="B39" s="56" t="s">
        <v>298</v>
      </c>
      <c r="C39" s="56">
        <v>222</v>
      </c>
      <c r="D39" s="56" t="s">
        <v>215</v>
      </c>
      <c r="E39" s="56" t="s">
        <v>274</v>
      </c>
      <c r="F39" s="56" t="s">
        <v>217</v>
      </c>
      <c r="G39" s="56" t="s">
        <v>212</v>
      </c>
      <c r="H39" s="74">
        <f>VLOOKUP(lmics[[#This Row],[setting]],raw[],8,FALSE)</f>
        <v>6486201</v>
      </c>
      <c r="I39" s="74">
        <f>VLOOKUP(lmics[[#This Row],[setting]],raw[],9,FALSE)</f>
        <v>119229.34678200001</v>
      </c>
      <c r="J39" s="67">
        <f>IF(VLOOKUP($A39,raw[],COLUMN(J$1),FALSE)=0, VLOOKUP($D39, regions[], COLUMN(J$1), FALSE), VLOOKUP($A39,raw[],COLUMN(J$1),FALSE))</f>
        <v>0.97499999999999998</v>
      </c>
      <c r="K39" s="77">
        <f>VLOOKUP($A39, raw[], 11, FALSE)</f>
        <v>0.75</v>
      </c>
      <c r="L39" s="77">
        <f>VLOOKUP($A39, raw[], 12, FALSE)</f>
        <v>0.72</v>
      </c>
      <c r="M39" s="77">
        <f>IF(VLOOKUP($A39,raw[],COLUMN(M$1),FALSE)=0, VLOOKUP($D39, regions[], COLUMN(M$1), FALSE), VLOOKUP($A39,raw[],COLUMN(M$1),FALSE))</f>
        <v>3.7000000000000002E-3</v>
      </c>
      <c r="N39" s="68">
        <f>IF(VLOOKUP($A39,raw[],COLUMN(N$1),FALSE)=0, VLOOKUP($D39, regions[], COLUMN(N$1), FALSE), VLOOKUP($A39,raw[],COLUMN(N$1),FALSE))</f>
        <v>0.31847101781109982</v>
      </c>
      <c r="O39" s="67">
        <f>IF(VLOOKUP($A39,raw[],COLUMN(O$1),FALSE)=0, VLOOKUP($D39, regions[], COLUMN(O$1), FALSE), VLOOKUP($A39,raw[],COLUMN(O$1),FALSE))</f>
        <v>0.8</v>
      </c>
      <c r="P39" s="68">
        <f>IF(VLOOKUP($A39,raw[],COLUMN(P$1),FALSE)=0, VLOOKUP($D39, regions[], COLUMN(P$1), FALSE), VLOOKUP($A39,raw[],COLUMN(P$1),FALSE))</f>
        <v>0.17499999999999999</v>
      </c>
      <c r="Q39" s="70">
        <f>IF(VLOOKUP($A39,raw[],COLUMN(Q$1),FALSE)=0, VLOOKUP($D39, regions[], COLUMN(Q$1), FALSE), VLOOKUP($A39,raw[],COLUMN(Q$1),FALSE))</f>
        <v>11.558936548759485</v>
      </c>
      <c r="R39" s="70">
        <f>IF(VLOOKUP($A39,raw[],COLUMN(R$1),FALSE)=0, VLOOKUP($D39, regions[], COLUMN(R$1), FALSE), VLOOKUP($A39,raw[],COLUMN(R$1),FALSE))</f>
        <v>33.884316548759486</v>
      </c>
      <c r="S39" s="70">
        <f>IF(VLOOKUP($A39,raw[],COLUMN(S$1),FALSE)=0, VLOOKUP($D39, regions[], COLUMN(S$1), FALSE), VLOOKUP($A39,raw[],COLUMN(S$1),FALSE))</f>
        <v>95.358428791394104</v>
      </c>
      <c r="T39" s="70">
        <f>IF(VLOOKUP($A39,raw[],COLUMN(U$1)-COLUMN($A$1),FALSE)=0, VLOOKUP($D39, regions[], COLUMN(U$1)-COLUMN($A$1), FALSE), VLOOKUP($A39,raw[],COLUMN(U$1)-COLUMN($A$1),FALSE))</f>
        <v>112.14556689545188</v>
      </c>
      <c r="U39" s="70">
        <f>IF(VLOOKUP($A39,raw[],COLUMN(V$1)-COLUMN($A$1),FALSE)=0, VLOOKUP($D39, regions[], COLUMN(V$1)-COLUMN($A$1), FALSE), VLOOKUP($A39,raw[],COLUMN(V$1)-COLUMN($A$1),FALSE))</f>
        <v>104.43726791296378</v>
      </c>
      <c r="V39" s="70">
        <f>IF(VLOOKUP($A39,raw[],COLUMN(W$1)-COLUMN($A$1),FALSE)=0, VLOOKUP($D39, regions[], COLUMN(W$1)-COLUMN($A$1), FALSE), VLOOKUP($A39,raw[],COLUMN(W$1)-COLUMN($A$1),FALSE))</f>
        <v>3.3923935344229226</v>
      </c>
      <c r="W39" s="70">
        <f>IF(VLOOKUP($A39,raw[],COLUMN(X$1)-COLUMN($A$1),FALSE)=0, VLOOKUP($D39, regions[], COLUMN(X$1)-COLUMN($A$1), FALSE), VLOOKUP($A39,raw[],COLUMN(X$1)-COLUMN($A$1),FALSE))</f>
        <v>3.4123935344229226</v>
      </c>
      <c r="X39" s="70">
        <f>IF(VLOOKUP($A39,raw[],COLUMN(Y$1)-COLUMN($A$1),FALSE)=0, VLOOKUP($D39, regions[], COLUMN(Y$1)-COLUMN($A$1), FALSE), VLOOKUP($A39,raw[],COLUMN(Y$1)-COLUMN($A$1),FALSE))</f>
        <v>2.9680746098178332</v>
      </c>
      <c r="Y39" s="70">
        <f>IF(VLOOKUP($A39,raw[],COLUMN(Z$1)-COLUMN($A$1),FALSE)=0, VLOOKUP($D39, regions[], COLUMN(Z$1)-COLUMN($A$1), FALSE), VLOOKUP($A39,raw[],COLUMN(Z$1)-COLUMN($A$1),FALSE))</f>
        <v>2.9880746098178332</v>
      </c>
      <c r="Z39" s="70">
        <f>IF(VLOOKUP($A39,raw[],COLUMN(AA$1)-COLUMN($A$1),FALSE)=0, VLOOKUP($D39, regions[], COLUMN(AA$1)-COLUMN($A$1), FALSE), VLOOKUP($A39,raw[],COLUMN(AA$1)-COLUMN($A$1),FALSE))</f>
        <v>2.9782084583549095</v>
      </c>
      <c r="AA39" s="70">
        <f>IF(VLOOKUP($A39,raw[],COLUMN(AB$1)-COLUMN($A$1),FALSE)=0, VLOOKUP($D39, regions[], COLUMN(AB$1)-COLUMN($A$1), FALSE), VLOOKUP($A39,raw[],COLUMN(AB$1)-COLUMN($A$1),FALSE))</f>
        <v>3.6024323819496735</v>
      </c>
      <c r="AB39" s="70">
        <f>IF(VLOOKUP($A39,raw[],COLUMN(AC$1)-COLUMN($A$1),FALSE)=0, VLOOKUP($D39, regions[], COLUMN(AC$1)-COLUMN($A$1), FALSE), VLOOKUP($A39,raw[],COLUMN(AC$1)-COLUMN($A$1),FALSE))</f>
        <v>3.6224323819496735</v>
      </c>
      <c r="AC39" s="72">
        <f>IF(VLOOKUP($A39,raw[],COLUMN(AD$1)-COLUMN($A$1),FALSE)=0, VLOOKUP($D39, regions[], COLUMN(AD$1)-COLUMN($A$1), FALSE), VLOOKUP($A39,raw[],COLUMN(AD$1)-COLUMN($A$1),FALSE))</f>
        <v>1.4574100000000034E-2</v>
      </c>
      <c r="AD39" s="72">
        <f>IF(VLOOKUP($A39,raw[],COLUMN(AE$1)-COLUMN($A$1),FALSE)=0, VLOOKUP($D39, regions[], COLUMN(AE$1)-COLUMN($A$1), FALSE), VLOOKUP($A39,raw[],COLUMN(AE$1)-COLUMN($A$1),FALSE))</f>
        <v>5.8787271574654756E-4</v>
      </c>
      <c r="AE39" s="72">
        <f>IF(VLOOKUP($A39,raw[],COLUMN(AF$1)-COLUMN($A$1),FALSE)=0, VLOOKUP($D39, regions[], COLUMN(AF$1)-COLUMN($A$1), FALSE), VLOOKUP($A39,raw[],COLUMN(AF$1)-COLUMN($A$1),FALSE))</f>
        <v>2.7359335287326406E-4</v>
      </c>
      <c r="AF39" s="72">
        <f>IF(VLOOKUP($A39,raw[],COLUMN(AG$1)-COLUMN($A$1),FALSE)=0, VLOOKUP($D39, regions[], COLUMN(AG$1)-COLUMN($A$1), FALSE), VLOOKUP($A39,raw[],COLUMN(AG$1)-COLUMN($A$1),FALSE))</f>
        <v>5.6615653243363045E-4</v>
      </c>
      <c r="AG39" s="72">
        <f>IF(VLOOKUP($A39,raw[],COLUMN(AH$1)-COLUMN($A$1),FALSE)=0, VLOOKUP($D39, regions[], COLUMN(AH$1)-COLUMN($A$1), FALSE), VLOOKUP($A39,raw[],COLUMN(AH$1)-COLUMN($A$1),FALSE))</f>
        <v>1.5467045213967004E-3</v>
      </c>
      <c r="AH39" s="72">
        <f>IF(VLOOKUP($A39,raw[],COLUMN(AI$1)-COLUMN($A$1),FALSE)=0, VLOOKUP($D39, regions[], COLUMN(AI$1)-COLUMN($A$1), FALSE), VLOOKUP($A39,raw[],COLUMN(AI$1)-COLUMN($A$1),FALSE))</f>
        <v>2.5678802993155231E-3</v>
      </c>
      <c r="AI39" s="72">
        <f>IF(VLOOKUP($A39,raw[],COLUMN(AJ$1)-COLUMN($A$1),FALSE)=0, VLOOKUP($D39, regions[], COLUMN(AJ$1)-COLUMN($A$1), FALSE), VLOOKUP($A39,raw[],COLUMN(AJ$1)-COLUMN($A$1),FALSE))</f>
        <v>3.1928440582634624E-3</v>
      </c>
      <c r="AJ39" s="72">
        <f>IF(VLOOKUP($A39,raw[],COLUMN(AK$1)-COLUMN($A$1),FALSE)=0, VLOOKUP($D39, regions[], COLUMN(AK$1)-COLUMN($A$1), FALSE), VLOOKUP($A39,raw[],COLUMN(AK$1)-COLUMN($A$1),FALSE))</f>
        <v>3.3442466916200142E-3</v>
      </c>
      <c r="AK39" s="72">
        <f>IF(VLOOKUP($A39,raw[],COLUMN(AL$1)-COLUMN($A$1),FALSE)=0, VLOOKUP($D39, regions[], COLUMN(AL$1)-COLUMN($A$1), FALSE), VLOOKUP($A39,raw[],COLUMN(AL$1)-COLUMN($A$1),FALSE))</f>
        <v>3.5035388763385374E-3</v>
      </c>
      <c r="AL39" s="72">
        <f>IF(VLOOKUP($A39,raw[],COLUMN(AM$1)-COLUMN($A$1),FALSE)=0, VLOOKUP($D39, regions[], COLUMN(AM$1)-COLUMN($A$1), FALSE), VLOOKUP($A39,raw[],COLUMN(AM$1)-COLUMN($A$1),FALSE))</f>
        <v>4.1767442776819916E-3</v>
      </c>
      <c r="AM39" s="72">
        <f>IF(VLOOKUP($A39,raw[],COLUMN(AN$1)-COLUMN($A$1),FALSE)=0, VLOOKUP($D39, regions[], COLUMN(AN$1)-COLUMN($A$1), FALSE), VLOOKUP($A39,raw[],COLUMN(AN$1)-COLUMN($A$1),FALSE))</f>
        <v>5.3286807808323637E-3</v>
      </c>
      <c r="AN39" s="72">
        <f>IF(VLOOKUP($A39,raw[],COLUMN(AO$1)-COLUMN($A$1),FALSE)=0, VLOOKUP($D39, regions[], COLUMN(AO$1)-COLUMN($A$1), FALSE), VLOOKUP($A39,raw[],COLUMN(AO$1)-COLUMN($A$1),FALSE))</f>
        <v>7.0022786397334483E-3</v>
      </c>
      <c r="AO39" s="72">
        <f>IF(VLOOKUP($A39,raw[],COLUMN(AP$1)-COLUMN($A$1),FALSE)=0, VLOOKUP($D39, regions[], COLUMN(AP$1)-COLUMN($A$1), FALSE), VLOOKUP($A39,raw[],COLUMN(AP$1)-COLUMN($A$1),FALSE))</f>
        <v>9.2354011811787394E-3</v>
      </c>
      <c r="AP39" s="72">
        <f>IF(VLOOKUP($A39,raw[],COLUMN(AQ$1)-COLUMN($A$1),FALSE)=0, VLOOKUP($D39, regions[], COLUMN(AQ$1)-COLUMN($A$1), FALSE), VLOOKUP($A39,raw[],COLUMN(AQ$1)-COLUMN($A$1),FALSE))</f>
        <v>1.2596566492475666E-2</v>
      </c>
      <c r="AQ39" s="72">
        <f>IF(VLOOKUP($A39,raw[],COLUMN(AR$1)-COLUMN($A$1),FALSE)=0, VLOOKUP($D39, regions[], COLUMN(AR$1)-COLUMN($A$1), FALSE), VLOOKUP($A39,raw[],COLUMN(AR$1)-COLUMN($A$1),FALSE))</f>
        <v>1.7923417547505406E-2</v>
      </c>
      <c r="AR39" s="72">
        <f>IF(VLOOKUP($A39,raw[],COLUMN(AS$1)-COLUMN($A$1),FALSE)=0, VLOOKUP($D39, regions[], COLUMN(AS$1)-COLUMN($A$1), FALSE), VLOOKUP($A39,raw[],COLUMN(AS$1)-COLUMN($A$1),FALSE))</f>
        <v>2.5981559241636625E-2</v>
      </c>
      <c r="AS39" s="72">
        <f>IF(VLOOKUP($A39,raw[],COLUMN(AT$1)-COLUMN($A$1),FALSE)=0, VLOOKUP($D39, regions[], COLUMN(AT$1)-COLUMN($A$1), FALSE), VLOOKUP($A39,raw[],COLUMN(AT$1)-COLUMN($A$1),FALSE))</f>
        <v>4.006102477670364E-2</v>
      </c>
      <c r="AT39" s="72">
        <f>IF(VLOOKUP($A39,raw[],COLUMN(AU$1)-COLUMN($A$1),FALSE)=0, VLOOKUP($D39, regions[], COLUMN(AU$1)-COLUMN($A$1), FALSE), VLOOKUP($A39,raw[],COLUMN(AU$1)-COLUMN($A$1),FALSE))</f>
        <v>6.487128410649827E-2</v>
      </c>
      <c r="AU39" s="72">
        <f>IF(VLOOKUP($A39,raw[],COLUMN(AV$1)-COLUMN($A$1),FALSE)=0, VLOOKUP($D39, regions[], COLUMN(AV$1)-COLUMN($A$1), FALSE), VLOOKUP($A39,raw[],COLUMN(AV$1)-COLUMN($A$1),FALSE))</f>
        <v>9.7752780082995316E-2</v>
      </c>
      <c r="AV39" s="72">
        <f>IF(VLOOKUP($A39,raw[],COLUMN(AW$1)-COLUMN($A$1),FALSE)=0, VLOOKUP($D39, regions[], COLUMN(AW$1)-COLUMN($A$1), FALSE), VLOOKUP($A39,raw[],COLUMN(AW$1)-COLUMN($A$1),FALSE))</f>
        <v>0.13331544574056195</v>
      </c>
      <c r="AW39" s="72">
        <f>IF(VLOOKUP($A39,raw[],COLUMN(AX$1)-COLUMN($A$1),FALSE)=0, VLOOKUP($D39, regions[], COLUMN(AX$1)-COLUMN($A$1), FALSE), VLOOKUP($A39,raw[],COLUMN(AX$1)-COLUMN($A$1),FALSE))</f>
        <v>0.16445094512423067</v>
      </c>
      <c r="AX39" s="72">
        <f>IF(VLOOKUP($A39,raw[],COLUMN(AY$1)-COLUMN($A$1),FALSE)=0, VLOOKUP($D39, regions[], COLUMN(AY$1)-COLUMN($A$1), FALSE), VLOOKUP($A39,raw[],COLUMN(AY$1)-COLUMN($A$1),FALSE))</f>
        <v>72.986000000000004</v>
      </c>
      <c r="AY39" t="str">
        <f t="shared" si="1"/>
        <v>No</v>
      </c>
    </row>
    <row r="40" spans="1:51" x14ac:dyDescent="0.25">
      <c r="A40" s="53" t="s">
        <v>299</v>
      </c>
      <c r="B40" s="54" t="s">
        <v>300</v>
      </c>
      <c r="C40" s="54">
        <v>226</v>
      </c>
      <c r="D40" s="54" t="s">
        <v>207</v>
      </c>
      <c r="E40" s="54" t="s">
        <v>210</v>
      </c>
      <c r="F40" s="54" t="s">
        <v>211</v>
      </c>
      <c r="G40" s="54" t="s">
        <v>204</v>
      </c>
      <c r="H40" s="73">
        <f>VLOOKUP(lmics[[#This Row],[setting]],raw[],8,FALSE)</f>
        <v>1402985</v>
      </c>
      <c r="I40" s="73">
        <f>VLOOKUP(lmics[[#This Row],[setting]],raw[],9,FALSE)</f>
        <v>46935.460189999998</v>
      </c>
      <c r="J40" s="67">
        <f>IF(VLOOKUP($A40,raw[],COLUMN(J$1),FALSE)=0, VLOOKUP($D40, regions[], COLUMN(J$1), FALSE), VLOOKUP($A40,raw[],COLUMN(J$1),FALSE))</f>
        <v>0.67299999999999993</v>
      </c>
      <c r="K40" s="77">
        <f>VLOOKUP($A40, raw[], 11, FALSE)</f>
        <v>0</v>
      </c>
      <c r="L40" s="77">
        <f>VLOOKUP($A40, raw[], 12, FALSE)</f>
        <v>0.53</v>
      </c>
      <c r="M40" s="77">
        <f>IF(VLOOKUP($A40,raw[],COLUMN(M$1),FALSE)=0, VLOOKUP($D40, regions[], COLUMN(M$1), FALSE), VLOOKUP($A40,raw[],COLUMN(M$1),FALSE))</f>
        <v>8.6999999999999994E-2</v>
      </c>
      <c r="N40" s="68">
        <f>IF(VLOOKUP($A40,raw[],COLUMN(N$1),FALSE)=0, VLOOKUP($D40, regions[], COLUMN(N$1), FALSE), VLOOKUP($A40,raw[],COLUMN(N$1),FALSE))</f>
        <v>0.29421756240904251</v>
      </c>
      <c r="O40" s="67">
        <f>IF(VLOOKUP($A40,raw[],COLUMN(O$1),FALSE)=0, VLOOKUP($D40, regions[], COLUMN(O$1), FALSE), VLOOKUP($A40,raw[],COLUMN(O$1),FALSE))</f>
        <v>0.38300000000000001</v>
      </c>
      <c r="P40" s="68">
        <f>IF(VLOOKUP($A40,raw[],COLUMN(P$1),FALSE)=0, VLOOKUP($D40, regions[], COLUMN(P$1), FALSE), VLOOKUP($A40,raw[],COLUMN(P$1),FALSE))</f>
        <v>4.8000000000000001E-2</v>
      </c>
      <c r="Q40" s="70">
        <f>IF(VLOOKUP($A40,raw[],COLUMN(Q$1),FALSE)=0, VLOOKUP($D40, regions[], COLUMN(Q$1), FALSE), VLOOKUP($A40,raw[],COLUMN(Q$1),FALSE))</f>
        <v>4.604183740861723</v>
      </c>
      <c r="R40" s="70">
        <f>IF(VLOOKUP($A40,raw[],COLUMN(R$1),FALSE)=0, VLOOKUP($D40, regions[], COLUMN(R$1), FALSE), VLOOKUP($A40,raw[],COLUMN(R$1),FALSE))</f>
        <v>26.929563740861724</v>
      </c>
      <c r="S40" s="70">
        <f>IF(VLOOKUP($A40,raw[],COLUMN(S$1),FALSE)=0, VLOOKUP($D40, regions[], COLUMN(S$1), FALSE), VLOOKUP($A40,raw[],COLUMN(S$1),FALSE))</f>
        <v>62.781228115348881</v>
      </c>
      <c r="T40" s="70">
        <f>IF(VLOOKUP($A40,raw[],COLUMN(U$1)-COLUMN($A$1),FALSE)=0, VLOOKUP($D40, regions[], COLUMN(U$1)-COLUMN($A$1), FALSE), VLOOKUP($A40,raw[],COLUMN(U$1)-COLUMN($A$1),FALSE))</f>
        <v>66.23277763798994</v>
      </c>
      <c r="U40" s="70">
        <f>IF(VLOOKUP($A40,raw[],COLUMN(V$1)-COLUMN($A$1),FALSE)=0, VLOOKUP($D40, regions[], COLUMN(V$1)-COLUMN($A$1), FALSE), VLOOKUP($A40,raw[],COLUMN(V$1)-COLUMN($A$1),FALSE))</f>
        <v>64.647899053655777</v>
      </c>
      <c r="V40" s="70">
        <f>IF(VLOOKUP($A40,raw[],COLUMN(W$1)-COLUMN($A$1),FALSE)=0, VLOOKUP($D40, regions[], COLUMN(W$1)-COLUMN($A$1), FALSE), VLOOKUP($A40,raw[],COLUMN(W$1)-COLUMN($A$1),FALSE))</f>
        <v>1.8871528382185865</v>
      </c>
      <c r="W40" s="70">
        <f>IF(VLOOKUP($A40,raw[],COLUMN(X$1)-COLUMN($A$1),FALSE)=0, VLOOKUP($D40, regions[], COLUMN(X$1)-COLUMN($A$1), FALSE), VLOOKUP($A40,raw[],COLUMN(X$1)-COLUMN($A$1),FALSE))</f>
        <v>6.7171528382185866</v>
      </c>
      <c r="X40" s="70">
        <f>IF(VLOOKUP($A40,raw[],COLUMN(Y$1)-COLUMN($A$1),FALSE)=0, VLOOKUP($D40, regions[], COLUMN(Y$1)-COLUMN($A$1), FALSE), VLOOKUP($A40,raw[],COLUMN(Y$1)-COLUMN($A$1),FALSE))</f>
        <v>1.4631340988068653</v>
      </c>
      <c r="Y40" s="70">
        <f>IF(VLOOKUP($A40,raw[],COLUMN(Z$1)-COLUMN($A$1),FALSE)=0, VLOOKUP($D40, regions[], COLUMN(Z$1)-COLUMN($A$1), FALSE), VLOOKUP($A40,raw[],COLUMN(Z$1)-COLUMN($A$1),FALSE))</f>
        <v>6.2931340988068651</v>
      </c>
      <c r="Z40" s="70">
        <f>IF(VLOOKUP($A40,raw[],COLUMN(AA$1)-COLUMN($A$1),FALSE)=0, VLOOKUP($D40, regions[], COLUMN(AA$1)-COLUMN($A$1), FALSE), VLOOKUP($A40,raw[],COLUMN(AA$1)-COLUMN($A$1),FALSE))</f>
        <v>6.2837312343217775</v>
      </c>
      <c r="AA40" s="70">
        <f>IF(VLOOKUP($A40,raw[],COLUMN(AB$1)-COLUMN($A$1),FALSE)=0, VLOOKUP($D40, regions[], COLUMN(AB$1)-COLUMN($A$1), FALSE), VLOOKUP($A40,raw[],COLUMN(AB$1)-COLUMN($A$1),FALSE))</f>
        <v>2.0970846631981361</v>
      </c>
      <c r="AB40" s="70">
        <f>IF(VLOOKUP($A40,raw[],COLUMN(AC$1)-COLUMN($A$1),FALSE)=0, VLOOKUP($D40, regions[], COLUMN(AC$1)-COLUMN($A$1), FALSE), VLOOKUP($A40,raw[],COLUMN(AC$1)-COLUMN($A$1),FALSE))</f>
        <v>6.9270846631981362</v>
      </c>
      <c r="AC40" s="72">
        <f>IF(VLOOKUP($A40,raw[],COLUMN(AD$1)-COLUMN($A$1),FALSE)=0, VLOOKUP($D40, regions[], COLUMN(AD$1)-COLUMN($A$1), FALSE), VLOOKUP($A40,raw[],COLUMN(AD$1)-COLUMN($A$1),FALSE))</f>
        <v>6.615154999999999E-2</v>
      </c>
      <c r="AD40" s="72">
        <f>IF(VLOOKUP($A40,raw[],COLUMN(AE$1)-COLUMN($A$1),FALSE)=0, VLOOKUP($D40, regions[], COLUMN(AE$1)-COLUMN($A$1), FALSE), VLOOKUP($A40,raw[],COLUMN(AE$1)-COLUMN($A$1),FALSE))</f>
        <v>7.402633157446486E-3</v>
      </c>
      <c r="AE40" s="72">
        <f>IF(VLOOKUP($A40,raw[],COLUMN(AF$1)-COLUMN($A$1),FALSE)=0, VLOOKUP($D40, regions[], COLUMN(AF$1)-COLUMN($A$1), FALSE), VLOOKUP($A40,raw[],COLUMN(AF$1)-COLUMN($A$1),FALSE))</f>
        <v>2.1810695183507099E-3</v>
      </c>
      <c r="AF40" s="72">
        <f>IF(VLOOKUP($A40,raw[],COLUMN(AG$1)-COLUMN($A$1),FALSE)=0, VLOOKUP($D40, regions[], COLUMN(AG$1)-COLUMN($A$1), FALSE), VLOOKUP($A40,raw[],COLUMN(AG$1)-COLUMN($A$1),FALSE))</f>
        <v>1.5562487226160725E-3</v>
      </c>
      <c r="AG40" s="72">
        <f>IF(VLOOKUP($A40,raw[],COLUMN(AH$1)-COLUMN($A$1),FALSE)=0, VLOOKUP($D40, regions[], COLUMN(AH$1)-COLUMN($A$1), FALSE), VLOOKUP($A40,raw[],COLUMN(AH$1)-COLUMN($A$1),FALSE))</f>
        <v>2.3132551113445414E-3</v>
      </c>
      <c r="AH40" s="72">
        <f>IF(VLOOKUP($A40,raw[],COLUMN(AI$1)-COLUMN($A$1),FALSE)=0, VLOOKUP($D40, regions[], COLUMN(AI$1)-COLUMN($A$1), FALSE), VLOOKUP($A40,raw[],COLUMN(AI$1)-COLUMN($A$1),FALSE))</f>
        <v>3.4802340590138416E-3</v>
      </c>
      <c r="AI40" s="72">
        <f>IF(VLOOKUP($A40,raw[],COLUMN(AJ$1)-COLUMN($A$1),FALSE)=0, VLOOKUP($D40, regions[], COLUMN(AJ$1)-COLUMN($A$1), FALSE), VLOOKUP($A40,raw[],COLUMN(AJ$1)-COLUMN($A$1),FALSE))</f>
        <v>4.5521277188898144E-3</v>
      </c>
      <c r="AJ40" s="72">
        <f>IF(VLOOKUP($A40,raw[],COLUMN(AK$1)-COLUMN($A$1),FALSE)=0, VLOOKUP($D40, regions[], COLUMN(AK$1)-COLUMN($A$1), FALSE), VLOOKUP($A40,raw[],COLUMN(AK$1)-COLUMN($A$1),FALSE))</f>
        <v>5.7480766731512912E-3</v>
      </c>
      <c r="AK40" s="72">
        <f>IF(VLOOKUP($A40,raw[],COLUMN(AL$1)-COLUMN($A$1),FALSE)=0, VLOOKUP($D40, regions[], COLUMN(AL$1)-COLUMN($A$1), FALSE), VLOOKUP($A40,raw[],COLUMN(AL$1)-COLUMN($A$1),FALSE))</f>
        <v>7.4241408926806708E-3</v>
      </c>
      <c r="AL40" s="72">
        <f>IF(VLOOKUP($A40,raw[],COLUMN(AM$1)-COLUMN($A$1),FALSE)=0, VLOOKUP($D40, regions[], COLUMN(AM$1)-COLUMN($A$1), FALSE), VLOOKUP($A40,raw[],COLUMN(AM$1)-COLUMN($A$1),FALSE))</f>
        <v>9.0465084276737297E-3</v>
      </c>
      <c r="AM40" s="72">
        <f>IF(VLOOKUP($A40,raw[],COLUMN(AN$1)-COLUMN($A$1),FALSE)=0, VLOOKUP($D40, regions[], COLUMN(AN$1)-COLUMN($A$1), FALSE), VLOOKUP($A40,raw[],COLUMN(AN$1)-COLUMN($A$1),FALSE))</f>
        <v>1.0861773807009084E-2</v>
      </c>
      <c r="AN40" s="72">
        <f>IF(VLOOKUP($A40,raw[],COLUMN(AO$1)-COLUMN($A$1),FALSE)=0, VLOOKUP($D40, regions[], COLUMN(AO$1)-COLUMN($A$1), FALSE), VLOOKUP($A40,raw[],COLUMN(AO$1)-COLUMN($A$1),FALSE))</f>
        <v>1.3991105432571413E-2</v>
      </c>
      <c r="AO40" s="72">
        <f>IF(VLOOKUP($A40,raw[],COLUMN(AP$1)-COLUMN($A$1),FALSE)=0, VLOOKUP($D40, regions[], COLUMN(AP$1)-COLUMN($A$1), FALSE), VLOOKUP($A40,raw[],COLUMN(AP$1)-COLUMN($A$1),FALSE))</f>
        <v>1.7756206547881865E-2</v>
      </c>
      <c r="AP40" s="72">
        <f>IF(VLOOKUP($A40,raw[],COLUMN(AQ$1)-COLUMN($A$1),FALSE)=0, VLOOKUP($D40, regions[], COLUMN(AQ$1)-COLUMN($A$1), FALSE), VLOOKUP($A40,raw[],COLUMN(AQ$1)-COLUMN($A$1),FALSE))</f>
        <v>2.4992880145554782E-2</v>
      </c>
      <c r="AQ40" s="72">
        <f>IF(VLOOKUP($A40,raw[],COLUMN(AR$1)-COLUMN($A$1),FALSE)=0, VLOOKUP($D40, regions[], COLUMN(AR$1)-COLUMN($A$1), FALSE), VLOOKUP($A40,raw[],COLUMN(AR$1)-COLUMN($A$1),FALSE))</f>
        <v>3.6571653590172899E-2</v>
      </c>
      <c r="AR40" s="72">
        <f>IF(VLOOKUP($A40,raw[],COLUMN(AS$1)-COLUMN($A$1),FALSE)=0, VLOOKUP($D40, regions[], COLUMN(AS$1)-COLUMN($A$1), FALSE), VLOOKUP($A40,raw[],COLUMN(AS$1)-COLUMN($A$1),FALSE))</f>
        <v>5.4569874871999657E-2</v>
      </c>
      <c r="AS40" s="72">
        <f>IF(VLOOKUP($A40,raw[],COLUMN(AT$1)-COLUMN($A$1),FALSE)=0, VLOOKUP($D40, regions[], COLUMN(AT$1)-COLUMN($A$1), FALSE), VLOOKUP($A40,raw[],COLUMN(AT$1)-COLUMN($A$1),FALSE))</f>
        <v>8.0250756410082932E-2</v>
      </c>
      <c r="AT40" s="72">
        <f>IF(VLOOKUP($A40,raw[],COLUMN(AU$1)-COLUMN($A$1),FALSE)=0, VLOOKUP($D40, regions[], COLUMN(AU$1)-COLUMN($A$1), FALSE), VLOOKUP($A40,raw[],COLUMN(AU$1)-COLUMN($A$1),FALSE))</f>
        <v>0.11593152791385582</v>
      </c>
      <c r="AU40" s="72">
        <f>IF(VLOOKUP($A40,raw[],COLUMN(AV$1)-COLUMN($A$1),FALSE)=0, VLOOKUP($D40, regions[], COLUMN(AV$1)-COLUMN($A$1), FALSE), VLOOKUP($A40,raw[],COLUMN(AV$1)-COLUMN($A$1),FALSE))</f>
        <v>0.15409844685016419</v>
      </c>
      <c r="AV40" s="72">
        <f>IF(VLOOKUP($A40,raw[],COLUMN(AW$1)-COLUMN($A$1),FALSE)=0, VLOOKUP($D40, regions[], COLUMN(AW$1)-COLUMN($A$1), FALSE), VLOOKUP($A40,raw[],COLUMN(AW$1)-COLUMN($A$1),FALSE))</f>
        <v>0.18164158514648934</v>
      </c>
      <c r="AW40" s="72">
        <f>IF(VLOOKUP($A40,raw[],COLUMN(AX$1)-COLUMN($A$1),FALSE)=0, VLOOKUP($D40, regions[], COLUMN(AX$1)-COLUMN($A$1), FALSE), VLOOKUP($A40,raw[],COLUMN(AX$1)-COLUMN($A$1),FALSE))</f>
        <v>0.18918617294163986</v>
      </c>
      <c r="AX40" s="72">
        <f>IF(VLOOKUP($A40,raw[],COLUMN(AY$1)-COLUMN($A$1),FALSE)=0, VLOOKUP($D40, regions[], COLUMN(AY$1)-COLUMN($A$1), FALSE), VLOOKUP($A40,raw[],COLUMN(AY$1)-COLUMN($A$1),FALSE))</f>
        <v>58.246000000000002</v>
      </c>
      <c r="AY40" t="str">
        <f t="shared" si="1"/>
        <v>Yes</v>
      </c>
    </row>
    <row r="41" spans="1:51" x14ac:dyDescent="0.25">
      <c r="A41" s="55" t="s">
        <v>301</v>
      </c>
      <c r="B41" s="56" t="s">
        <v>302</v>
      </c>
      <c r="C41" s="56">
        <v>232</v>
      </c>
      <c r="D41" s="56" t="s">
        <v>207</v>
      </c>
      <c r="E41" s="56" t="s">
        <v>255</v>
      </c>
      <c r="F41" s="56" t="s">
        <v>211</v>
      </c>
      <c r="G41" s="56" t="s">
        <v>198</v>
      </c>
      <c r="H41" s="74">
        <f>VLOOKUP(lmics[[#This Row],[setting]],raw[],8,FALSE)</f>
        <v>3546427</v>
      </c>
      <c r="I41" s="74">
        <f>VLOOKUP(lmics[[#This Row],[setting]],raw[],9,FALSE)</f>
        <v>108648.337572</v>
      </c>
      <c r="J41" s="67">
        <f>IF(VLOOKUP($A41,raw[],COLUMN(J$1),FALSE)=0, VLOOKUP($D41, regions[], COLUMN(J$1), FALSE), VLOOKUP($A41,raw[],COLUMN(J$1),FALSE))</f>
        <v>0.33700000000000002</v>
      </c>
      <c r="K41" s="77">
        <f>VLOOKUP($A41, raw[], 11, FALSE)</f>
        <v>0</v>
      </c>
      <c r="L41" s="77">
        <f>VLOOKUP($A41, raw[], 12, FALSE)</f>
        <v>0.95</v>
      </c>
      <c r="M41" s="77">
        <f>IF(VLOOKUP($A41,raw[],COLUMN(M$1),FALSE)=0, VLOOKUP($D41, regions[], COLUMN(M$1), FALSE), VLOOKUP($A41,raw[],COLUMN(M$1),FALSE))</f>
        <v>4.3799999999999999E-2</v>
      </c>
      <c r="N41" s="68">
        <f>IF(VLOOKUP($A41,raw[],COLUMN(N$1),FALSE)=0, VLOOKUP($D41, regions[], COLUMN(N$1), FALSE), VLOOKUP($A41,raw[],COLUMN(N$1),FALSE))</f>
        <v>0.28032204375965358</v>
      </c>
      <c r="O41" s="67">
        <f>IF(VLOOKUP($A41,raw[],COLUMN(O$1),FALSE)=0, VLOOKUP($D41, regions[], COLUMN(O$1), FALSE), VLOOKUP($A41,raw[],COLUMN(O$1),FALSE))</f>
        <v>0.38300000000000001</v>
      </c>
      <c r="P41" s="68">
        <f>IF(VLOOKUP($A41,raw[],COLUMN(P$1),FALSE)=0, VLOOKUP($D41, regions[], COLUMN(P$1), FALSE), VLOOKUP($A41,raw[],COLUMN(P$1),FALSE))</f>
        <v>4.8000000000000001E-2</v>
      </c>
      <c r="Q41" s="70">
        <f>IF(VLOOKUP($A41,raw[],COLUMN(Q$1),FALSE)=0, VLOOKUP($D41, regions[], COLUMN(Q$1), FALSE), VLOOKUP($A41,raw[],COLUMN(Q$1),FALSE))</f>
        <v>2.3576962352941182</v>
      </c>
      <c r="R41" s="70">
        <f>IF(VLOOKUP($A41,raw[],COLUMN(R$1),FALSE)=0, VLOOKUP($D41, regions[], COLUMN(R$1), FALSE), VLOOKUP($A41,raw[],COLUMN(R$1),FALSE))</f>
        <v>24.68307623529412</v>
      </c>
      <c r="S41" s="70">
        <f>IF(VLOOKUP($A41,raw[],COLUMN(S$1),FALSE)=0, VLOOKUP($D41, regions[], COLUMN(S$1), FALSE), VLOOKUP($A41,raw[],COLUMN(S$1),FALSE))</f>
        <v>54.323590925386782</v>
      </c>
      <c r="T41" s="70">
        <f>IF(VLOOKUP($A41,raw[],COLUMN(U$1)-COLUMN($A$1),FALSE)=0, VLOOKUP($D41, regions[], COLUMN(U$1)-COLUMN($A$1), FALSE), VLOOKUP($A41,raw[],COLUMN(U$1)-COLUMN($A$1),FALSE))</f>
        <v>54.542454124109071</v>
      </c>
      <c r="U41" s="70">
        <f>IF(VLOOKUP($A41,raw[],COLUMN(V$1)-COLUMN($A$1),FALSE)=0, VLOOKUP($D41, regions[], COLUMN(V$1)-COLUMN($A$1), FALSE), VLOOKUP($A41,raw[],COLUMN(V$1)-COLUMN($A$1),FALSE))</f>
        <v>54.441956769434462</v>
      </c>
      <c r="V41" s="70">
        <f>IF(VLOOKUP($A41,raw[],COLUMN(W$1)-COLUMN($A$1),FALSE)=0, VLOOKUP($D41, regions[], COLUMN(W$1)-COLUMN($A$1), FALSE), VLOOKUP($A41,raw[],COLUMN(W$1)-COLUMN($A$1),FALSE))</f>
        <v>3.9978660097412022</v>
      </c>
      <c r="W41" s="70">
        <f>IF(VLOOKUP($A41,raw[],COLUMN(X$1)-COLUMN($A$1),FALSE)=0, VLOOKUP($D41, regions[], COLUMN(X$1)-COLUMN($A$1), FALSE), VLOOKUP($A41,raw[],COLUMN(X$1)-COLUMN($A$1),FALSE))</f>
        <v>8.8278660097412018</v>
      </c>
      <c r="X41" s="70">
        <f>IF(VLOOKUP($A41,raw[],COLUMN(Y$1)-COLUMN($A$1),FALSE)=0, VLOOKUP($D41, regions[], COLUMN(Y$1)-COLUMN($A$1), FALSE), VLOOKUP($A41,raw[],COLUMN(Y$1)-COLUMN($A$1),FALSE))</f>
        <v>3.5913549988729287</v>
      </c>
      <c r="Y41" s="70">
        <f>IF(VLOOKUP($A41,raw[],COLUMN(Z$1)-COLUMN($A$1),FALSE)=0, VLOOKUP($D41, regions[], COLUMN(Z$1)-COLUMN($A$1), FALSE), VLOOKUP($A41,raw[],COLUMN(Z$1)-COLUMN($A$1),FALSE))</f>
        <v>8.4213549988729284</v>
      </c>
      <c r="Z41" s="70">
        <f>IF(VLOOKUP($A41,raw[],COLUMN(AA$1)-COLUMN($A$1),FALSE)=0, VLOOKUP($D41, regions[], COLUMN(AA$1)-COLUMN($A$1), FALSE), VLOOKUP($A41,raw[],COLUMN(AA$1)-COLUMN($A$1),FALSE))</f>
        <v>8.4192761685551485</v>
      </c>
      <c r="AA41" s="70">
        <f>IF(VLOOKUP($A41,raw[],COLUMN(AB$1)-COLUMN($A$1),FALSE)=0, VLOOKUP($D41, regions[], COLUMN(AB$1)-COLUMN($A$1), FALSE), VLOOKUP($A41,raw[],COLUMN(AB$1)-COLUMN($A$1),FALSE))</f>
        <v>4.201555948892219</v>
      </c>
      <c r="AB41" s="70">
        <f>IF(VLOOKUP($A41,raw[],COLUMN(AC$1)-COLUMN($A$1),FALSE)=0, VLOOKUP($D41, regions[], COLUMN(AC$1)-COLUMN($A$1), FALSE), VLOOKUP($A41,raw[],COLUMN(AC$1)-COLUMN($A$1),FALSE))</f>
        <v>9.031555948892219</v>
      </c>
      <c r="AC41" s="72">
        <f>IF(VLOOKUP($A41,raw[],COLUMN(AD$1)-COLUMN($A$1),FALSE)=0, VLOOKUP($D41, regions[], COLUMN(AD$1)-COLUMN($A$1), FALSE), VLOOKUP($A41,raw[],COLUMN(AD$1)-COLUMN($A$1),FALSE))</f>
        <v>3.4723760000000041E-2</v>
      </c>
      <c r="AD41" s="72">
        <f>IF(VLOOKUP($A41,raw[],COLUMN(AE$1)-COLUMN($A$1),FALSE)=0, VLOOKUP($D41, regions[], COLUMN(AE$1)-COLUMN($A$1), FALSE), VLOOKUP($A41,raw[],COLUMN(AE$1)-COLUMN($A$1),FALSE))</f>
        <v>2.4781015018042821E-3</v>
      </c>
      <c r="AE41" s="72">
        <f>IF(VLOOKUP($A41,raw[],COLUMN(AF$1)-COLUMN($A$1),FALSE)=0, VLOOKUP($D41, regions[], COLUMN(AF$1)-COLUMN($A$1), FALSE), VLOOKUP($A41,raw[],COLUMN(AF$1)-COLUMN($A$1),FALSE))</f>
        <v>8.4167337173048572E-4</v>
      </c>
      <c r="AF41" s="72">
        <f>IF(VLOOKUP($A41,raw[],COLUMN(AG$1)-COLUMN($A$1),FALSE)=0, VLOOKUP($D41, regions[], COLUMN(AG$1)-COLUMN($A$1), FALSE), VLOOKUP($A41,raw[],COLUMN(AG$1)-COLUMN($A$1),FALSE))</f>
        <v>6.3627494974549182E-4</v>
      </c>
      <c r="AG41" s="72">
        <f>IF(VLOOKUP($A41,raw[],COLUMN(AH$1)-COLUMN($A$1),FALSE)=0, VLOOKUP($D41, regions[], COLUMN(AH$1)-COLUMN($A$1), FALSE), VLOOKUP($A41,raw[],COLUMN(AH$1)-COLUMN($A$1),FALSE))</f>
        <v>1.2279952533809392E-3</v>
      </c>
      <c r="AH41" s="72">
        <f>IF(VLOOKUP($A41,raw[],COLUMN(AI$1)-COLUMN($A$1),FALSE)=0, VLOOKUP($D41, regions[], COLUMN(AI$1)-COLUMN($A$1), FALSE), VLOOKUP($A41,raw[],COLUMN(AI$1)-COLUMN($A$1),FALSE))</f>
        <v>1.7458328942756751E-3</v>
      </c>
      <c r="AI41" s="72">
        <f>IF(VLOOKUP($A41,raw[],COLUMN(AJ$1)-COLUMN($A$1),FALSE)=0, VLOOKUP($D41, regions[], COLUMN(AJ$1)-COLUMN($A$1), FALSE), VLOOKUP($A41,raw[],COLUMN(AJ$1)-COLUMN($A$1),FALSE))</f>
        <v>2.3091203916955402E-3</v>
      </c>
      <c r="AJ41" s="72">
        <f>IF(VLOOKUP($A41,raw[],COLUMN(AK$1)-COLUMN($A$1),FALSE)=0, VLOOKUP($D41, regions[], COLUMN(AK$1)-COLUMN($A$1), FALSE), VLOOKUP($A41,raw[],COLUMN(AK$1)-COLUMN($A$1),FALSE))</f>
        <v>3.0931500050215776E-3</v>
      </c>
      <c r="AK41" s="72">
        <f>IF(VLOOKUP($A41,raw[],COLUMN(AL$1)-COLUMN($A$1),FALSE)=0, VLOOKUP($D41, regions[], COLUMN(AL$1)-COLUMN($A$1), FALSE), VLOOKUP($A41,raw[],COLUMN(AL$1)-COLUMN($A$1),FALSE))</f>
        <v>4.0145967103637353E-3</v>
      </c>
      <c r="AL41" s="72">
        <f>IF(VLOOKUP($A41,raw[],COLUMN(AM$1)-COLUMN($A$1),FALSE)=0, VLOOKUP($D41, regions[], COLUMN(AM$1)-COLUMN($A$1), FALSE), VLOOKUP($A41,raw[],COLUMN(AM$1)-COLUMN($A$1),FALSE))</f>
        <v>5.8038531347772357E-3</v>
      </c>
      <c r="AM41" s="72">
        <f>IF(VLOOKUP($A41,raw[],COLUMN(AN$1)-COLUMN($A$1),FALSE)=0, VLOOKUP($D41, regions[], COLUMN(AN$1)-COLUMN($A$1), FALSE), VLOOKUP($A41,raw[],COLUMN(AN$1)-COLUMN($A$1),FALSE))</f>
        <v>7.8511851733448889E-3</v>
      </c>
      <c r="AN41" s="72">
        <f>IF(VLOOKUP($A41,raw[],COLUMN(AO$1)-COLUMN($A$1),FALSE)=0, VLOOKUP($D41, regions[], COLUMN(AO$1)-COLUMN($A$1), FALSE), VLOOKUP($A41,raw[],COLUMN(AO$1)-COLUMN($A$1),FALSE))</f>
        <v>1.1601511257012974E-2</v>
      </c>
      <c r="AO41" s="72">
        <f>IF(VLOOKUP($A41,raw[],COLUMN(AP$1)-COLUMN($A$1),FALSE)=0, VLOOKUP($D41, regions[], COLUMN(AP$1)-COLUMN($A$1), FALSE), VLOOKUP($A41,raw[],COLUMN(AP$1)-COLUMN($A$1),FALSE))</f>
        <v>1.6819371008290708E-2</v>
      </c>
      <c r="AP41" s="72">
        <f>IF(VLOOKUP($A41,raw[],COLUMN(AQ$1)-COLUMN($A$1),FALSE)=0, VLOOKUP($D41, regions[], COLUMN(AQ$1)-COLUMN($A$1), FALSE), VLOOKUP($A41,raw[],COLUMN(AQ$1)-COLUMN($A$1),FALSE))</f>
        <v>2.4093849190500269E-2</v>
      </c>
      <c r="AQ41" s="72">
        <f>IF(VLOOKUP($A41,raw[],COLUMN(AR$1)-COLUMN($A$1),FALSE)=0, VLOOKUP($D41, regions[], COLUMN(AR$1)-COLUMN($A$1), FALSE), VLOOKUP($A41,raw[],COLUMN(AR$1)-COLUMN($A$1),FALSE))</f>
        <v>3.3915841624018422E-2</v>
      </c>
      <c r="AR41" s="72">
        <f>IF(VLOOKUP($A41,raw[],COLUMN(AS$1)-COLUMN($A$1),FALSE)=0, VLOOKUP($D41, regions[], COLUMN(AS$1)-COLUMN($A$1), FALSE), VLOOKUP($A41,raw[],COLUMN(AS$1)-COLUMN($A$1),FALSE))</f>
        <v>5.0132268661539331E-2</v>
      </c>
      <c r="AS41" s="72">
        <f>IF(VLOOKUP($A41,raw[],COLUMN(AT$1)-COLUMN($A$1),FALSE)=0, VLOOKUP($D41, regions[], COLUMN(AT$1)-COLUMN($A$1), FALSE), VLOOKUP($A41,raw[],COLUMN(AT$1)-COLUMN($A$1),FALSE))</f>
        <v>6.8765768717437184E-2</v>
      </c>
      <c r="AT41" s="72">
        <f>IF(VLOOKUP($A41,raw[],COLUMN(AU$1)-COLUMN($A$1),FALSE)=0, VLOOKUP($D41, regions[], COLUMN(AU$1)-COLUMN($A$1), FALSE), VLOOKUP($A41,raw[],COLUMN(AU$1)-COLUMN($A$1),FALSE))</f>
        <v>9.5663090170238829E-2</v>
      </c>
      <c r="AU41" s="72">
        <f>IF(VLOOKUP($A41,raw[],COLUMN(AV$1)-COLUMN($A$1),FALSE)=0, VLOOKUP($D41, regions[], COLUMN(AV$1)-COLUMN($A$1), FALSE), VLOOKUP($A41,raw[],COLUMN(AV$1)-COLUMN($A$1),FALSE))</f>
        <v>0.12187267007815591</v>
      </c>
      <c r="AV41" s="72">
        <f>IF(VLOOKUP($A41,raw[],COLUMN(AW$1)-COLUMN($A$1),FALSE)=0, VLOOKUP($D41, regions[], COLUMN(AW$1)-COLUMN($A$1), FALSE), VLOOKUP($A41,raw[],COLUMN(AW$1)-COLUMN($A$1),FALSE))</f>
        <v>0.14350139431758438</v>
      </c>
      <c r="AW41" s="72">
        <f>IF(VLOOKUP($A41,raw[],COLUMN(AX$1)-COLUMN($A$1),FALSE)=0, VLOOKUP($D41, regions[], COLUMN(AX$1)-COLUMN($A$1), FALSE), VLOOKUP($A41,raw[],COLUMN(AX$1)-COLUMN($A$1),FALSE))</f>
        <v>0.16133688006745536</v>
      </c>
      <c r="AX41" s="72">
        <f>IF(VLOOKUP($A41,raw[],COLUMN(AY$1)-COLUMN($A$1),FALSE)=0, VLOOKUP($D41, regions[], COLUMN(AY$1)-COLUMN($A$1), FALSE), VLOOKUP($A41,raw[],COLUMN(AY$1)-COLUMN($A$1),FALSE))</f>
        <v>65.742999999999995</v>
      </c>
      <c r="AY41" t="str">
        <f t="shared" si="1"/>
        <v>Yes</v>
      </c>
    </row>
    <row r="42" spans="1:51" x14ac:dyDescent="0.25">
      <c r="A42" s="53" t="s">
        <v>303</v>
      </c>
      <c r="B42" s="54" t="s">
        <v>304</v>
      </c>
      <c r="C42" s="54">
        <v>748</v>
      </c>
      <c r="D42" s="54" t="s">
        <v>207</v>
      </c>
      <c r="E42" s="54" t="s">
        <v>245</v>
      </c>
      <c r="F42" s="54" t="s">
        <v>211</v>
      </c>
      <c r="G42" s="54" t="s">
        <v>212</v>
      </c>
      <c r="H42" s="73">
        <f>VLOOKUP(lmics[[#This Row],[setting]],raw[],8,FALSE)</f>
        <v>1160164</v>
      </c>
      <c r="I42" s="73">
        <f>VLOOKUP(lmics[[#This Row],[setting]],raw[],9,FALSE)</f>
        <v>30991.460932000002</v>
      </c>
      <c r="J42" s="67">
        <f>IF(VLOOKUP($A42,raw[],COLUMN(J$1),FALSE)=0, VLOOKUP($D42, regions[], COLUMN(J$1), FALSE), VLOOKUP($A42,raw[],COLUMN(J$1),FALSE))</f>
        <v>0.877</v>
      </c>
      <c r="K42" s="77">
        <f>VLOOKUP($A42, raw[], 11, FALSE)</f>
        <v>0</v>
      </c>
      <c r="L42" s="77">
        <f>VLOOKUP($A42, raw[], 12, FALSE)</f>
        <v>0.83</v>
      </c>
      <c r="M42" s="77">
        <f>IF(VLOOKUP($A42,raw[],COLUMN(M$1),FALSE)=0, VLOOKUP($D42, regions[], COLUMN(M$1), FALSE), VLOOKUP($A42,raw[],COLUMN(M$1),FALSE))</f>
        <v>3.3700000000000001E-2</v>
      </c>
      <c r="N42" s="68">
        <f>IF(VLOOKUP($A42,raw[],COLUMN(N$1),FALSE)=0, VLOOKUP($D42, regions[], COLUMN(N$1), FALSE), VLOOKUP($A42,raw[],COLUMN(N$1),FALSE))</f>
        <v>0.26669916009179478</v>
      </c>
      <c r="O42" s="67">
        <f>IF(VLOOKUP($A42,raw[],COLUMN(O$1),FALSE)=0, VLOOKUP($D42, regions[], COLUMN(O$1), FALSE), VLOOKUP($A42,raw[],COLUMN(O$1),FALSE))</f>
        <v>0.38300000000000001</v>
      </c>
      <c r="P42" s="68">
        <f>IF(VLOOKUP($A42,raw[],COLUMN(P$1),FALSE)=0, VLOOKUP($D42, regions[], COLUMN(P$1), FALSE), VLOOKUP($A42,raw[],COLUMN(P$1),FALSE))</f>
        <v>4.8000000000000001E-2</v>
      </c>
      <c r="Q42" s="70">
        <f>IF(VLOOKUP($A42,raw[],COLUMN(Q$1),FALSE)=0, VLOOKUP($D42, regions[], COLUMN(Q$1), FALSE), VLOOKUP($A42,raw[],COLUMN(Q$1),FALSE))</f>
        <v>6.7625510543131</v>
      </c>
      <c r="R42" s="70">
        <f>IF(VLOOKUP($A42,raw[],COLUMN(R$1),FALSE)=0, VLOOKUP($D42, regions[], COLUMN(R$1), FALSE), VLOOKUP($A42,raw[],COLUMN(R$1),FALSE))</f>
        <v>29.087931054313103</v>
      </c>
      <c r="S42" s="70">
        <f>IF(VLOOKUP($A42,raw[],COLUMN(S$1),FALSE)=0, VLOOKUP($D42, regions[], COLUMN(S$1), FALSE), VLOOKUP($A42,raw[],COLUMN(S$1),FALSE))</f>
        <v>70.986650446623642</v>
      </c>
      <c r="T42" s="70">
        <f>IF(VLOOKUP($A42,raw[],COLUMN(U$1)-COLUMN($A$1),FALSE)=0, VLOOKUP($D42, regions[], COLUMN(U$1)-COLUMN($A$1), FALSE), VLOOKUP($A42,raw[],COLUMN(U$1)-COLUMN($A$1),FALSE))</f>
        <v>77.585480754530067</v>
      </c>
      <c r="U42" s="70">
        <f>IF(VLOOKUP($A42,raw[],COLUMN(V$1)-COLUMN($A$1),FALSE)=0, VLOOKUP($D42, regions[], COLUMN(V$1)-COLUMN($A$1), FALSE), VLOOKUP($A42,raw[],COLUMN(V$1)-COLUMN($A$1),FALSE))</f>
        <v>74.555437358642877</v>
      </c>
      <c r="V42" s="70">
        <f>IF(VLOOKUP($A42,raw[],COLUMN(W$1)-COLUMN($A$1),FALSE)=0, VLOOKUP($D42, regions[], COLUMN(W$1)-COLUMN($A$1), FALSE), VLOOKUP($A42,raw[],COLUMN(W$1)-COLUMN($A$1),FALSE))</f>
        <v>6.291373879834147</v>
      </c>
      <c r="W42" s="70">
        <f>IF(VLOOKUP($A42,raw[],COLUMN(X$1)-COLUMN($A$1),FALSE)=0, VLOOKUP($D42, regions[], COLUMN(X$1)-COLUMN($A$1), FALSE), VLOOKUP($A42,raw[],COLUMN(X$1)-COLUMN($A$1),FALSE))</f>
        <v>11.121373879834147</v>
      </c>
      <c r="X42" s="70">
        <f>IF(VLOOKUP($A42,raw[],COLUMN(Y$1)-COLUMN($A$1),FALSE)=0, VLOOKUP($D42, regions[], COLUMN(Y$1)-COLUMN($A$1), FALSE), VLOOKUP($A42,raw[],COLUMN(Y$1)-COLUMN($A$1),FALSE))</f>
        <v>5.8709417361737843</v>
      </c>
      <c r="Y42" s="70">
        <f>IF(VLOOKUP($A42,raw[],COLUMN(Z$1)-COLUMN($A$1),FALSE)=0, VLOOKUP($D42, regions[], COLUMN(Z$1)-COLUMN($A$1), FALSE), VLOOKUP($A42,raw[],COLUMN(Z$1)-COLUMN($A$1),FALSE))</f>
        <v>10.700941736173785</v>
      </c>
      <c r="Z42" s="70">
        <f>IF(VLOOKUP($A42,raw[],COLUMN(AA$1)-COLUMN($A$1),FALSE)=0, VLOOKUP($D42, regions[], COLUMN(AA$1)-COLUMN($A$1), FALSE), VLOOKUP($A42,raw[],COLUMN(AA$1)-COLUMN($A$1),FALSE))</f>
        <v>10.693446720301095</v>
      </c>
      <c r="AA42" s="70">
        <f>IF(VLOOKUP($A42,raw[],COLUMN(AB$1)-COLUMN($A$1),FALSE)=0, VLOOKUP($D42, regions[], COLUMN(AB$1)-COLUMN($A$1), FALSE), VLOOKUP($A42,raw[],COLUMN(AB$1)-COLUMN($A$1),FALSE))</f>
        <v>6.5000270054588647</v>
      </c>
      <c r="AB42" s="70">
        <f>IF(VLOOKUP($A42,raw[],COLUMN(AC$1)-COLUMN($A$1),FALSE)=0, VLOOKUP($D42, regions[], COLUMN(AC$1)-COLUMN($A$1), FALSE), VLOOKUP($A42,raw[],COLUMN(AC$1)-COLUMN($A$1),FALSE))</f>
        <v>11.330027005458865</v>
      </c>
      <c r="AC42" s="72">
        <f>IF(VLOOKUP($A42,raw[],COLUMN(AD$1)-COLUMN($A$1),FALSE)=0, VLOOKUP($D42, regions[], COLUMN(AD$1)-COLUMN($A$1), FALSE), VLOOKUP($A42,raw[],COLUMN(AD$1)-COLUMN($A$1),FALSE))</f>
        <v>4.1364780000000025E-2</v>
      </c>
      <c r="AD42" s="72">
        <f>IF(VLOOKUP($A42,raw[],COLUMN(AE$1)-COLUMN($A$1),FALSE)=0, VLOOKUP($D42, regions[], COLUMN(AE$1)-COLUMN($A$1), FALSE), VLOOKUP($A42,raw[],COLUMN(AE$1)-COLUMN($A$1),FALSE))</f>
        <v>3.4059410001647896E-3</v>
      </c>
      <c r="AE42" s="72">
        <f>IF(VLOOKUP($A42,raw[],COLUMN(AF$1)-COLUMN($A$1),FALSE)=0, VLOOKUP($D42, regions[], COLUMN(AF$1)-COLUMN($A$1), FALSE), VLOOKUP($A42,raw[],COLUMN(AF$1)-COLUMN($A$1),FALSE))</f>
        <v>9.8030722047431234E-4</v>
      </c>
      <c r="AF42" s="72">
        <f>IF(VLOOKUP($A42,raw[],COLUMN(AG$1)-COLUMN($A$1),FALSE)=0, VLOOKUP($D42, regions[], COLUMN(AG$1)-COLUMN($A$1), FALSE), VLOOKUP($A42,raw[],COLUMN(AG$1)-COLUMN($A$1),FALSE))</f>
        <v>8.6807639205732548E-4</v>
      </c>
      <c r="AG42" s="72">
        <f>IF(VLOOKUP($A42,raw[],COLUMN(AH$1)-COLUMN($A$1),FALSE)=0, VLOOKUP($D42, regions[], COLUMN(AH$1)-COLUMN($A$1), FALSE), VLOOKUP($A42,raw[],COLUMN(AH$1)-COLUMN($A$1),FALSE))</f>
        <v>1.4461408425982657E-3</v>
      </c>
      <c r="AH42" s="72">
        <f>IF(VLOOKUP($A42,raw[],COLUMN(AI$1)-COLUMN($A$1),FALSE)=0, VLOOKUP($D42, regions[], COLUMN(AI$1)-COLUMN($A$1), FALSE), VLOOKUP($A42,raw[],COLUMN(AI$1)-COLUMN($A$1),FALSE))</f>
        <v>2.7145884310466198E-3</v>
      </c>
      <c r="AI42" s="72">
        <f>IF(VLOOKUP($A42,raw[],COLUMN(AJ$1)-COLUMN($A$1),FALSE)=0, VLOOKUP($D42, regions[], COLUMN(AJ$1)-COLUMN($A$1), FALSE), VLOOKUP($A42,raw[],COLUMN(AJ$1)-COLUMN($A$1),FALSE))</f>
        <v>5.1136808851141866E-3</v>
      </c>
      <c r="AJ42" s="72">
        <f>IF(VLOOKUP($A42,raw[],COLUMN(AK$1)-COLUMN($A$1),FALSE)=0, VLOOKUP($D42, regions[], COLUMN(AK$1)-COLUMN($A$1), FALSE), VLOOKUP($A42,raw[],COLUMN(AK$1)-COLUMN($A$1),FALSE))</f>
        <v>7.891072324963902E-3</v>
      </c>
      <c r="AK42" s="72">
        <f>IF(VLOOKUP($A42,raw[],COLUMN(AL$1)-COLUMN($A$1),FALSE)=0, VLOOKUP($D42, regions[], COLUMN(AL$1)-COLUMN($A$1), FALSE), VLOOKUP($A42,raw[],COLUMN(AL$1)-COLUMN($A$1),FALSE))</f>
        <v>1.184394012407225E-2</v>
      </c>
      <c r="AL42" s="72">
        <f>IF(VLOOKUP($A42,raw[],COLUMN(AM$1)-COLUMN($A$1),FALSE)=0, VLOOKUP($D42, regions[], COLUMN(AM$1)-COLUMN($A$1), FALSE), VLOOKUP($A42,raw[],COLUMN(AM$1)-COLUMN($A$1),FALSE))</f>
        <v>1.3774594490664763E-2</v>
      </c>
      <c r="AM42" s="72">
        <f>IF(VLOOKUP($A42,raw[],COLUMN(AN$1)-COLUMN($A$1),FALSE)=0, VLOOKUP($D42, regions[], COLUMN(AN$1)-COLUMN($A$1), FALSE), VLOOKUP($A42,raw[],COLUMN(AN$1)-COLUMN($A$1),FALSE))</f>
        <v>1.6473925374650578E-2</v>
      </c>
      <c r="AN42" s="72">
        <f>IF(VLOOKUP($A42,raw[],COLUMN(AO$1)-COLUMN($A$1),FALSE)=0, VLOOKUP($D42, regions[], COLUMN(AO$1)-COLUMN($A$1), FALSE), VLOOKUP($A42,raw[],COLUMN(AO$1)-COLUMN($A$1),FALSE))</f>
        <v>1.9192056716447851E-2</v>
      </c>
      <c r="AO42" s="72">
        <f>IF(VLOOKUP($A42,raw[],COLUMN(AP$1)-COLUMN($A$1),FALSE)=0, VLOOKUP($D42, regions[], COLUMN(AP$1)-COLUMN($A$1), FALSE), VLOOKUP($A42,raw[],COLUMN(AP$1)-COLUMN($A$1),FALSE))</f>
        <v>2.2386772623661511E-2</v>
      </c>
      <c r="AP42" s="72">
        <f>IF(VLOOKUP($A42,raw[],COLUMN(AQ$1)-COLUMN($A$1),FALSE)=0, VLOOKUP($D42, regions[], COLUMN(AQ$1)-COLUMN($A$1), FALSE), VLOOKUP($A42,raw[],COLUMN(AQ$1)-COLUMN($A$1),FALSE))</f>
        <v>2.7120612335334537E-2</v>
      </c>
      <c r="AQ42" s="72">
        <f>IF(VLOOKUP($A42,raw[],COLUMN(AR$1)-COLUMN($A$1),FALSE)=0, VLOOKUP($D42, regions[], COLUMN(AR$1)-COLUMN($A$1), FALSE), VLOOKUP($A42,raw[],COLUMN(AR$1)-COLUMN($A$1),FALSE))</f>
        <v>3.492585157254887E-2</v>
      </c>
      <c r="AR42" s="72">
        <f>IF(VLOOKUP($A42,raw[],COLUMN(AS$1)-COLUMN($A$1),FALSE)=0, VLOOKUP($D42, regions[], COLUMN(AS$1)-COLUMN($A$1), FALSE), VLOOKUP($A42,raw[],COLUMN(AS$1)-COLUMN($A$1),FALSE))</f>
        <v>4.7731677173213805E-2</v>
      </c>
      <c r="AS42" s="72">
        <f>IF(VLOOKUP($A42,raw[],COLUMN(AT$1)-COLUMN($A$1),FALSE)=0, VLOOKUP($D42, regions[], COLUMN(AT$1)-COLUMN($A$1), FALSE), VLOOKUP($A42,raw[],COLUMN(AT$1)-COLUMN($A$1),FALSE))</f>
        <v>6.6573082502703551E-2</v>
      </c>
      <c r="AT42" s="72">
        <f>IF(VLOOKUP($A42,raw[],COLUMN(AU$1)-COLUMN($A$1),FALSE)=0, VLOOKUP($D42, regions[], COLUMN(AU$1)-COLUMN($A$1), FALSE), VLOOKUP($A42,raw[],COLUMN(AU$1)-COLUMN($A$1),FALSE))</f>
        <v>9.7492856558824795E-2</v>
      </c>
      <c r="AU42" s="72">
        <f>IF(VLOOKUP($A42,raw[],COLUMN(AV$1)-COLUMN($A$1),FALSE)=0, VLOOKUP($D42, regions[], COLUMN(AV$1)-COLUMN($A$1), FALSE), VLOOKUP($A42,raw[],COLUMN(AV$1)-COLUMN($A$1),FALSE))</f>
        <v>0.13733419141121558</v>
      </c>
      <c r="AV42" s="72">
        <f>IF(VLOOKUP($A42,raw[],COLUMN(AW$1)-COLUMN($A$1),FALSE)=0, VLOOKUP($D42, regions[], COLUMN(AW$1)-COLUMN($A$1), FALSE), VLOOKUP($A42,raw[],COLUMN(AW$1)-COLUMN($A$1),FALSE))</f>
        <v>0.16949007393556464</v>
      </c>
      <c r="AW42" s="72">
        <f>IF(VLOOKUP($A42,raw[],COLUMN(AX$1)-COLUMN($A$1),FALSE)=0, VLOOKUP($D42, regions[], COLUMN(AX$1)-COLUMN($A$1), FALSE), VLOOKUP($A42,raw[],COLUMN(AX$1)-COLUMN($A$1),FALSE))</f>
        <v>0.18298509554159806</v>
      </c>
      <c r="AX42" s="72">
        <f>IF(VLOOKUP($A42,raw[],COLUMN(AY$1)-COLUMN($A$1),FALSE)=0, VLOOKUP($D42, regions[], COLUMN(AY$1)-COLUMN($A$1), FALSE), VLOOKUP($A42,raw[],COLUMN(AY$1)-COLUMN($A$1),FALSE))</f>
        <v>59.314</v>
      </c>
      <c r="AY42" t="str">
        <f t="shared" si="1"/>
        <v>Yes</v>
      </c>
    </row>
    <row r="43" spans="1:51" x14ac:dyDescent="0.25">
      <c r="A43" s="55" t="s">
        <v>305</v>
      </c>
      <c r="B43" s="56" t="s">
        <v>306</v>
      </c>
      <c r="C43" s="56">
        <v>231</v>
      </c>
      <c r="D43" s="56" t="s">
        <v>207</v>
      </c>
      <c r="E43" s="56" t="s">
        <v>255</v>
      </c>
      <c r="F43" s="56" t="s">
        <v>211</v>
      </c>
      <c r="G43" s="56" t="s">
        <v>198</v>
      </c>
      <c r="H43" s="74">
        <f>VLOOKUP(lmics[[#This Row],[setting]],raw[],8,FALSE)</f>
        <v>114963583</v>
      </c>
      <c r="I43" s="74">
        <f>VLOOKUP(lmics[[#This Row],[setting]],raw[],9,FALSE)</f>
        <v>3744478.8618929996</v>
      </c>
      <c r="J43" s="67">
        <f>IF(VLOOKUP($A43,raw[],COLUMN(J$1),FALSE)=0, VLOOKUP($D43, regions[], COLUMN(J$1), FALSE), VLOOKUP($A43,raw[],COLUMN(J$1),FALSE))</f>
        <v>0.47499999999999998</v>
      </c>
      <c r="K43" s="77">
        <f>VLOOKUP($A43, raw[], 11, FALSE)</f>
        <v>0</v>
      </c>
      <c r="L43" s="77">
        <f>VLOOKUP($A43, raw[], 12, FALSE)</f>
        <v>0.71</v>
      </c>
      <c r="M43" s="77">
        <f>IF(VLOOKUP($A43,raw[],COLUMN(M$1),FALSE)=0, VLOOKUP($D43, regions[], COLUMN(M$1), FALSE), VLOOKUP($A43,raw[],COLUMN(M$1),FALSE))</f>
        <v>4.9100000000000005E-2</v>
      </c>
      <c r="N43" s="68">
        <f>IF(VLOOKUP($A43,raw[],COLUMN(N$1),FALSE)=0, VLOOKUP($D43, regions[], COLUMN(N$1), FALSE), VLOOKUP($A43,raw[],COLUMN(N$1),FALSE))</f>
        <v>0.28503182774365166</v>
      </c>
      <c r="O43" s="67">
        <f>IF(VLOOKUP($A43,raw[],COLUMN(O$1),FALSE)=0, VLOOKUP($D43, regions[], COLUMN(O$1), FALSE), VLOOKUP($A43,raw[],COLUMN(O$1),FALSE))</f>
        <v>0.38300000000000001</v>
      </c>
      <c r="P43" s="68">
        <f>IF(VLOOKUP($A43,raw[],COLUMN(P$1),FALSE)=0, VLOOKUP($D43, regions[], COLUMN(P$1), FALSE), VLOOKUP($A43,raw[],COLUMN(P$1),FALSE))</f>
        <v>4.8000000000000001E-2</v>
      </c>
      <c r="Q43" s="70">
        <f>IF(VLOOKUP($A43,raw[],COLUMN(Q$1),FALSE)=0, VLOOKUP($D43, regions[], COLUMN(Q$1), FALSE), VLOOKUP($A43,raw[],COLUMN(Q$1),FALSE))</f>
        <v>2.5761982054616381</v>
      </c>
      <c r="R43" s="70">
        <f>IF(VLOOKUP($A43,raw[],COLUMN(R$1),FALSE)=0, VLOOKUP($D43, regions[], COLUMN(R$1), FALSE), VLOOKUP($A43,raw[],COLUMN(R$1),FALSE))</f>
        <v>24.901578205461639</v>
      </c>
      <c r="S43" s="70">
        <f>IF(VLOOKUP($A43,raw[],COLUMN(S$1),FALSE)=0, VLOOKUP($D43, regions[], COLUMN(S$1), FALSE), VLOOKUP($A43,raw[],COLUMN(S$1),FALSE))</f>
        <v>54.98658742089053</v>
      </c>
      <c r="T43" s="70">
        <f>IF(VLOOKUP($A43,raw[],COLUMN(U$1)-COLUMN($A$1),FALSE)=0, VLOOKUP($D43, regions[], COLUMN(U$1)-COLUMN($A$1), FALSE), VLOOKUP($A43,raw[],COLUMN(U$1)-COLUMN($A$1),FALSE))</f>
        <v>55.436794484456613</v>
      </c>
      <c r="U43" s="70">
        <f>IF(VLOOKUP($A43,raw[],COLUMN(V$1)-COLUMN($A$1),FALSE)=0, VLOOKUP($D43, regions[], COLUMN(V$1)-COLUMN($A$1), FALSE), VLOOKUP($A43,raw[],COLUMN(V$1)-COLUMN($A$1),FALSE))</f>
        <v>55.230068917032078</v>
      </c>
      <c r="V43" s="70">
        <f>IF(VLOOKUP($A43,raw[],COLUMN(W$1)-COLUMN($A$1),FALSE)=0, VLOOKUP($D43, regions[], COLUMN(W$1)-COLUMN($A$1), FALSE), VLOOKUP($A43,raw[],COLUMN(W$1)-COLUMN($A$1),FALSE))</f>
        <v>1.2201796854020799</v>
      </c>
      <c r="W43" s="70">
        <f>IF(VLOOKUP($A43,raw[],COLUMN(X$1)-COLUMN($A$1),FALSE)=0, VLOOKUP($D43, regions[], COLUMN(X$1)-COLUMN($A$1), FALSE), VLOOKUP($A43,raw[],COLUMN(X$1)-COLUMN($A$1),FALSE))</f>
        <v>6.05017968540208</v>
      </c>
      <c r="X43" s="70">
        <f>IF(VLOOKUP($A43,raw[],COLUMN(Y$1)-COLUMN($A$1),FALSE)=0, VLOOKUP($D43, regions[], COLUMN(Y$1)-COLUMN($A$1), FALSE), VLOOKUP($A43,raw[],COLUMN(Y$1)-COLUMN($A$1),FALSE))</f>
        <v>0.81104599640899488</v>
      </c>
      <c r="Y43" s="70">
        <f>IF(VLOOKUP($A43,raw[],COLUMN(Z$1)-COLUMN($A$1),FALSE)=0, VLOOKUP($D43, regions[], COLUMN(Z$1)-COLUMN($A$1), FALSE), VLOOKUP($A43,raw[],COLUMN(Z$1)-COLUMN($A$1),FALSE))</f>
        <v>5.6410459964089945</v>
      </c>
      <c r="Z43" s="70">
        <f>IF(VLOOKUP($A43,raw[],COLUMN(AA$1)-COLUMN($A$1),FALSE)=0, VLOOKUP($D43, regions[], COLUMN(AA$1)-COLUMN($A$1), FALSE), VLOOKUP($A43,raw[],COLUMN(AA$1)-COLUMN($A$1),FALSE))</f>
        <v>5.6379312552106704</v>
      </c>
      <c r="AA43" s="70">
        <f>IF(VLOOKUP($A43,raw[],COLUMN(AB$1)-COLUMN($A$1),FALSE)=0, VLOOKUP($D43, regions[], COLUMN(AB$1)-COLUMN($A$1), FALSE), VLOOKUP($A43,raw[],COLUMN(AB$1)-COLUMN($A$1),FALSE))</f>
        <v>1.4248046663193334</v>
      </c>
      <c r="AB43" s="70">
        <f>IF(VLOOKUP($A43,raw[],COLUMN(AC$1)-COLUMN($A$1),FALSE)=0, VLOOKUP($D43, regions[], COLUMN(AC$1)-COLUMN($A$1), FALSE), VLOOKUP($A43,raw[],COLUMN(AC$1)-COLUMN($A$1),FALSE))</f>
        <v>6.254804666319334</v>
      </c>
      <c r="AC43" s="72">
        <f>IF(VLOOKUP($A43,raw[],COLUMN(AD$1)-COLUMN($A$1),FALSE)=0, VLOOKUP($D43, regions[], COLUMN(AD$1)-COLUMN($A$1), FALSE), VLOOKUP($A43,raw[],COLUMN(AD$1)-COLUMN($A$1),FALSE))</f>
        <v>3.7012740000000051E-2</v>
      </c>
      <c r="AD43" s="72">
        <f>IF(VLOOKUP($A43,raw[],COLUMN(AE$1)-COLUMN($A$1),FALSE)=0, VLOOKUP($D43, regions[], COLUMN(AE$1)-COLUMN($A$1), FALSE), VLOOKUP($A43,raw[],COLUMN(AE$1)-COLUMN($A$1),FALSE))</f>
        <v>4.6414736577096265E-3</v>
      </c>
      <c r="AE43" s="72">
        <f>IF(VLOOKUP($A43,raw[],COLUMN(AF$1)-COLUMN($A$1),FALSE)=0, VLOOKUP($D43, regions[], COLUMN(AF$1)-COLUMN($A$1), FALSE), VLOOKUP($A43,raw[],COLUMN(AF$1)-COLUMN($A$1),FALSE))</f>
        <v>1.9935509206170151E-3</v>
      </c>
      <c r="AF43" s="72">
        <f>IF(VLOOKUP($A43,raw[],COLUMN(AG$1)-COLUMN($A$1),FALSE)=0, VLOOKUP($D43, regions[], COLUMN(AG$1)-COLUMN($A$1), FALSE), VLOOKUP($A43,raw[],COLUMN(AG$1)-COLUMN($A$1),FALSE))</f>
        <v>1.5454682631205908E-3</v>
      </c>
      <c r="AG43" s="72">
        <f>IF(VLOOKUP($A43,raw[],COLUMN(AH$1)-COLUMN($A$1),FALSE)=0, VLOOKUP($D43, regions[], COLUMN(AH$1)-COLUMN($A$1), FALSE), VLOOKUP($A43,raw[],COLUMN(AH$1)-COLUMN($A$1),FALSE))</f>
        <v>1.9050779435204272E-3</v>
      </c>
      <c r="AH43" s="72">
        <f>IF(VLOOKUP($A43,raw[],COLUMN(AI$1)-COLUMN($A$1),FALSE)=0, VLOOKUP($D43, regions[], COLUMN(AI$1)-COLUMN($A$1), FALSE), VLOOKUP($A43,raw[],COLUMN(AI$1)-COLUMN($A$1),FALSE))</f>
        <v>2.3477185739406736E-3</v>
      </c>
      <c r="AI43" s="72">
        <f>IF(VLOOKUP($A43,raw[],COLUMN(AJ$1)-COLUMN($A$1),FALSE)=0, VLOOKUP($D43, regions[], COLUMN(AJ$1)-COLUMN($A$1), FALSE), VLOOKUP($A43,raw[],COLUMN(AJ$1)-COLUMN($A$1),FALSE))</f>
        <v>2.7097529005401357E-3</v>
      </c>
      <c r="AJ43" s="72">
        <f>IF(VLOOKUP($A43,raw[],COLUMN(AK$1)-COLUMN($A$1),FALSE)=0, VLOOKUP($D43, regions[], COLUMN(AK$1)-COLUMN($A$1), FALSE), VLOOKUP($A43,raw[],COLUMN(AK$1)-COLUMN($A$1),FALSE))</f>
        <v>3.4293316886060874E-3</v>
      </c>
      <c r="AK43" s="72">
        <f>IF(VLOOKUP($A43,raw[],COLUMN(AL$1)-COLUMN($A$1),FALSE)=0, VLOOKUP($D43, regions[], COLUMN(AL$1)-COLUMN($A$1), FALSE), VLOOKUP($A43,raw[],COLUMN(AL$1)-COLUMN($A$1),FALSE))</f>
        <v>4.7462675394306575E-3</v>
      </c>
      <c r="AL43" s="72">
        <f>IF(VLOOKUP($A43,raw[],COLUMN(AM$1)-COLUMN($A$1),FALSE)=0, VLOOKUP($D43, regions[], COLUMN(AM$1)-COLUMN($A$1), FALSE), VLOOKUP($A43,raw[],COLUMN(AM$1)-COLUMN($A$1),FALSE))</f>
        <v>5.7779081057784164E-3</v>
      </c>
      <c r="AM43" s="72">
        <f>IF(VLOOKUP($A43,raw[],COLUMN(AN$1)-COLUMN($A$1),FALSE)=0, VLOOKUP($D43, regions[], COLUMN(AN$1)-COLUMN($A$1), FALSE), VLOOKUP($A43,raw[],COLUMN(AN$1)-COLUMN($A$1),FALSE))</f>
        <v>6.7330993208277378E-3</v>
      </c>
      <c r="AN43" s="72">
        <f>IF(VLOOKUP($A43,raw[],COLUMN(AO$1)-COLUMN($A$1),FALSE)=0, VLOOKUP($D43, regions[], COLUMN(AO$1)-COLUMN($A$1), FALSE), VLOOKUP($A43,raw[],COLUMN(AO$1)-COLUMN($A$1),FALSE))</f>
        <v>8.631628649689525E-3</v>
      </c>
      <c r="AO43" s="72">
        <f>IF(VLOOKUP($A43,raw[],COLUMN(AP$1)-COLUMN($A$1),FALSE)=0, VLOOKUP($D43, regions[], COLUMN(AP$1)-COLUMN($A$1), FALSE), VLOOKUP($A43,raw[],COLUMN(AP$1)-COLUMN($A$1),FALSE))</f>
        <v>1.109764170343012E-2</v>
      </c>
      <c r="AP43" s="72">
        <f>IF(VLOOKUP($A43,raw[],COLUMN(AQ$1)-COLUMN($A$1),FALSE)=0, VLOOKUP($D43, regions[], COLUMN(AQ$1)-COLUMN($A$1), FALSE), VLOOKUP($A43,raw[],COLUMN(AQ$1)-COLUMN($A$1),FALSE))</f>
        <v>1.6761832968059817E-2</v>
      </c>
      <c r="AQ43" s="72">
        <f>IF(VLOOKUP($A43,raw[],COLUMN(AR$1)-COLUMN($A$1),FALSE)=0, VLOOKUP($D43, regions[], COLUMN(AR$1)-COLUMN($A$1), FALSE), VLOOKUP($A43,raw[],COLUMN(AR$1)-COLUMN($A$1),FALSE))</f>
        <v>2.5944878137743488E-2</v>
      </c>
      <c r="AR43" s="72">
        <f>IF(VLOOKUP($A43,raw[],COLUMN(AS$1)-COLUMN($A$1),FALSE)=0, VLOOKUP($D43, regions[], COLUMN(AS$1)-COLUMN($A$1), FALSE), VLOOKUP($A43,raw[],COLUMN(AS$1)-COLUMN($A$1),FALSE))</f>
        <v>4.0497096687850065E-2</v>
      </c>
      <c r="AS43" s="72">
        <f>IF(VLOOKUP($A43,raw[],COLUMN(AT$1)-COLUMN($A$1),FALSE)=0, VLOOKUP($D43, regions[], COLUMN(AT$1)-COLUMN($A$1), FALSE), VLOOKUP($A43,raw[],COLUMN(AT$1)-COLUMN($A$1),FALSE))</f>
        <v>6.2082622674679316E-2</v>
      </c>
      <c r="AT43" s="72">
        <f>IF(VLOOKUP($A43,raw[],COLUMN(AU$1)-COLUMN($A$1),FALSE)=0, VLOOKUP($D43, regions[], COLUMN(AU$1)-COLUMN($A$1), FALSE), VLOOKUP($A43,raw[],COLUMN(AU$1)-COLUMN($A$1),FALSE))</f>
        <v>9.1379287062263045E-2</v>
      </c>
      <c r="AU43" s="72">
        <f>IF(VLOOKUP($A43,raw[],COLUMN(AV$1)-COLUMN($A$1),FALSE)=0, VLOOKUP($D43, regions[], COLUMN(AV$1)-COLUMN($A$1), FALSE), VLOOKUP($A43,raw[],COLUMN(AV$1)-COLUMN($A$1),FALSE))</f>
        <v>0.12421080985599947</v>
      </c>
      <c r="AV43" s="72">
        <f>IF(VLOOKUP($A43,raw[],COLUMN(AW$1)-COLUMN($A$1),FALSE)=0, VLOOKUP($D43, regions[], COLUMN(AW$1)-COLUMN($A$1), FALSE), VLOOKUP($A43,raw[],COLUMN(AW$1)-COLUMN($A$1),FALSE))</f>
        <v>0.15312231087451061</v>
      </c>
      <c r="AW43" s="72">
        <f>IF(VLOOKUP($A43,raw[],COLUMN(AX$1)-COLUMN($A$1),FALSE)=0, VLOOKUP($D43, regions[], COLUMN(AX$1)-COLUMN($A$1), FALSE), VLOOKUP($A43,raw[],COLUMN(AX$1)-COLUMN($A$1),FALSE))</f>
        <v>0.1732068676439589</v>
      </c>
      <c r="AX43" s="72">
        <f>IF(VLOOKUP($A43,raw[],COLUMN(AY$1)-COLUMN($A$1),FALSE)=0, VLOOKUP($D43, regions[], COLUMN(AY$1)-COLUMN($A$1), FALSE), VLOOKUP($A43,raw[],COLUMN(AY$1)-COLUMN($A$1),FALSE))</f>
        <v>65.966999999999999</v>
      </c>
      <c r="AY43" t="str">
        <f t="shared" si="1"/>
        <v>Yes</v>
      </c>
    </row>
    <row r="44" spans="1:51" x14ac:dyDescent="0.25">
      <c r="A44" s="53" t="s">
        <v>307</v>
      </c>
      <c r="B44" s="54" t="s">
        <v>308</v>
      </c>
      <c r="C44" s="54">
        <v>242</v>
      </c>
      <c r="D44" s="54" t="s">
        <v>260</v>
      </c>
      <c r="E44" s="54" t="s">
        <v>309</v>
      </c>
      <c r="F44" s="54" t="s">
        <v>262</v>
      </c>
      <c r="G44" s="54" t="s">
        <v>204</v>
      </c>
      <c r="H44" s="73">
        <f>VLOOKUP(lmics[[#This Row],[setting]],raw[],8,FALSE)</f>
        <v>896444</v>
      </c>
      <c r="I44" s="73">
        <f>VLOOKUP(lmics[[#This Row],[setting]],raw[],9,FALSE)</f>
        <v>19249.342011999997</v>
      </c>
      <c r="J44" s="67">
        <f>IF(VLOOKUP($A44,raw[],COLUMN(J$1),FALSE)=0, VLOOKUP($D44, regions[], COLUMN(J$1), FALSE), VLOOKUP($A44,raw[],COLUMN(J$1),FALSE))</f>
        <v>0.98699999999999999</v>
      </c>
      <c r="K44" s="77">
        <f>VLOOKUP($A44, raw[], 11, FALSE)</f>
        <v>0.99</v>
      </c>
      <c r="L44" s="77">
        <f>VLOOKUP($A44, raw[], 12, FALSE)</f>
        <v>0.99</v>
      </c>
      <c r="M44" s="77">
        <f>IF(VLOOKUP($A44,raw[],COLUMN(M$1),FALSE)=0, VLOOKUP($D44, regions[], COLUMN(M$1), FALSE), VLOOKUP($A44,raw[],COLUMN(M$1),FALSE))</f>
        <v>2.7999999999999997E-2</v>
      </c>
      <c r="N44" s="68">
        <f>IF(VLOOKUP($A44,raw[],COLUMN(N$1),FALSE)=0, VLOOKUP($D44, regions[], COLUMN(N$1), FALSE), VLOOKUP($A44,raw[],COLUMN(N$1),FALSE))</f>
        <v>0.33599766658927327</v>
      </c>
      <c r="O44" s="67">
        <f>IF(VLOOKUP($A44,raw[],COLUMN(O$1),FALSE)=0, VLOOKUP($D44, regions[], COLUMN(O$1), FALSE), VLOOKUP($A44,raw[],COLUMN(O$1),FALSE))</f>
        <v>0.8</v>
      </c>
      <c r="P44" s="68">
        <f>IF(VLOOKUP($A44,raw[],COLUMN(P$1),FALSE)=0, VLOOKUP($D44, regions[], COLUMN(P$1), FALSE), VLOOKUP($A44,raw[],COLUMN(P$1),FALSE))</f>
        <v>0.17499999999999999</v>
      </c>
      <c r="Q44" s="70">
        <f>IF(VLOOKUP($A44,raw[],COLUMN(Q$1),FALSE)=0, VLOOKUP($D44, regions[], COLUMN(Q$1), FALSE), VLOOKUP($A44,raw[],COLUMN(Q$1),FALSE))</f>
        <v>6.3290720463001202</v>
      </c>
      <c r="R44" s="70">
        <f>IF(VLOOKUP($A44,raw[],COLUMN(R$1),FALSE)=0, VLOOKUP($D44, regions[], COLUMN(R$1), FALSE), VLOOKUP($A44,raw[],COLUMN(R$1),FALSE))</f>
        <v>28.654452046300122</v>
      </c>
      <c r="S44" s="70">
        <f>IF(VLOOKUP($A44,raw[],COLUMN(S$1),FALSE)=0, VLOOKUP($D44, regions[], COLUMN(S$1), FALSE), VLOOKUP($A44,raw[],COLUMN(S$1),FALSE))</f>
        <v>68.856599508838627</v>
      </c>
      <c r="T44" s="70">
        <f>IF(VLOOKUP($A44,raw[],COLUMN(U$1)-COLUMN($A$1),FALSE)=0, VLOOKUP($D44, regions[], COLUMN(U$1)-COLUMN($A$1), FALSE), VLOOKUP($A44,raw[],COLUMN(U$1)-COLUMN($A$1),FALSE))</f>
        <v>74.572423424434419</v>
      </c>
      <c r="U44" s="70">
        <f>IF(VLOOKUP($A44,raw[],COLUMN(V$1)-COLUMN($A$1),FALSE)=0, VLOOKUP($D44, regions[], COLUMN(V$1)-COLUMN($A$1), FALSE), VLOOKUP($A44,raw[],COLUMN(V$1)-COLUMN($A$1),FALSE))</f>
        <v>71.947837899518888</v>
      </c>
      <c r="V44" s="70">
        <f>IF(VLOOKUP($A44,raw[],COLUMN(W$1)-COLUMN($A$1),FALSE)=0, VLOOKUP($D44, regions[], COLUMN(W$1)-COLUMN($A$1), FALSE), VLOOKUP($A44,raw[],COLUMN(W$1)-COLUMN($A$1),FALSE))</f>
        <v>9.6849213061640675</v>
      </c>
      <c r="W44" s="70">
        <f>IF(VLOOKUP($A44,raw[],COLUMN(X$1)-COLUMN($A$1),FALSE)=0, VLOOKUP($D44, regions[], COLUMN(X$1)-COLUMN($A$1), FALSE), VLOOKUP($A44,raw[],COLUMN(X$1)-COLUMN($A$1),FALSE))</f>
        <v>10.314921306164068</v>
      </c>
      <c r="X44" s="70">
        <f>IF(VLOOKUP($A44,raw[],COLUMN(Y$1)-COLUMN($A$1),FALSE)=0, VLOOKUP($D44, regions[], COLUMN(Y$1)-COLUMN($A$1), FALSE), VLOOKUP($A44,raw[],COLUMN(Y$1)-COLUMN($A$1),FALSE))</f>
        <v>9.2684402224669977</v>
      </c>
      <c r="Y44" s="70">
        <f>IF(VLOOKUP($A44,raw[],COLUMN(Z$1)-COLUMN($A$1),FALSE)=0, VLOOKUP($D44, regions[], COLUMN(Z$1)-COLUMN($A$1), FALSE), VLOOKUP($A44,raw[],COLUMN(Z$1)-COLUMN($A$1),FALSE))</f>
        <v>9.8984402224669985</v>
      </c>
      <c r="Z44" s="70">
        <f>IF(VLOOKUP($A44,raw[],COLUMN(AA$1)-COLUMN($A$1),FALSE)=0, VLOOKUP($D44, regions[], COLUMN(AA$1)-COLUMN($A$1), FALSE), VLOOKUP($A44,raw[],COLUMN(AA$1)-COLUMN($A$1),FALSE))</f>
        <v>9.8924993276692383</v>
      </c>
      <c r="AA44" s="70">
        <f>IF(VLOOKUP($A44,raw[],COLUMN(AB$1)-COLUMN($A$1),FALSE)=0, VLOOKUP($D44, regions[], COLUMN(AB$1)-COLUMN($A$1), FALSE), VLOOKUP($A44,raw[],COLUMN(AB$1)-COLUMN($A$1),FALSE))</f>
        <v>9.8921657930192648</v>
      </c>
      <c r="AB44" s="70">
        <f>IF(VLOOKUP($A44,raw[],COLUMN(AC$1)-COLUMN($A$1),FALSE)=0, VLOOKUP($D44, regions[], COLUMN(AC$1)-COLUMN($A$1), FALSE), VLOOKUP($A44,raw[],COLUMN(AC$1)-COLUMN($A$1),FALSE))</f>
        <v>10.522165793019266</v>
      </c>
      <c r="AC44" s="72">
        <f>IF(VLOOKUP($A44,raw[],COLUMN(AD$1)-COLUMN($A$1),FALSE)=0, VLOOKUP($D44, regions[], COLUMN(AD$1)-COLUMN($A$1), FALSE), VLOOKUP($A44,raw[],COLUMN(AD$1)-COLUMN($A$1),FALSE))</f>
        <v>2.0327489999999962E-2</v>
      </c>
      <c r="AD44" s="72">
        <f>IF(VLOOKUP($A44,raw[],COLUMN(AE$1)-COLUMN($A$1),FALSE)=0, VLOOKUP($D44, regions[], COLUMN(AE$1)-COLUMN($A$1), FALSE), VLOOKUP($A44,raw[],COLUMN(AE$1)-COLUMN($A$1),FALSE))</f>
        <v>1.0965807339025986E-3</v>
      </c>
      <c r="AE44" s="72">
        <f>IF(VLOOKUP($A44,raw[],COLUMN(AF$1)-COLUMN($A$1),FALSE)=0, VLOOKUP($D44, regions[], COLUMN(AF$1)-COLUMN($A$1), FALSE), VLOOKUP($A44,raw[],COLUMN(AF$1)-COLUMN($A$1),FALSE))</f>
        <v>7.2825092411859626E-4</v>
      </c>
      <c r="AF44" s="72">
        <f>IF(VLOOKUP($A44,raw[],COLUMN(AG$1)-COLUMN($A$1),FALSE)=0, VLOOKUP($D44, regions[], COLUMN(AG$1)-COLUMN($A$1), FALSE), VLOOKUP($A44,raw[],COLUMN(AG$1)-COLUMN($A$1),FALSE))</f>
        <v>6.7875887290512428E-4</v>
      </c>
      <c r="AG44" s="72">
        <f>IF(VLOOKUP($A44,raw[],COLUMN(AH$1)-COLUMN($A$1),FALSE)=0, VLOOKUP($D44, regions[], COLUMN(AH$1)-COLUMN($A$1), FALSE), VLOOKUP($A44,raw[],COLUMN(AH$1)-COLUMN($A$1),FALSE))</f>
        <v>1.5185453179404377E-3</v>
      </c>
      <c r="AH44" s="72">
        <f>IF(VLOOKUP($A44,raw[],COLUMN(AI$1)-COLUMN($A$1),FALSE)=0, VLOOKUP($D44, regions[], COLUMN(AI$1)-COLUMN($A$1), FALSE), VLOOKUP($A44,raw[],COLUMN(AI$1)-COLUMN($A$1),FALSE))</f>
        <v>2.1563365818124533E-3</v>
      </c>
      <c r="AI44" s="72">
        <f>IF(VLOOKUP($A44,raw[],COLUMN(AJ$1)-COLUMN($A$1),FALSE)=0, VLOOKUP($D44, regions[], COLUMN(AJ$1)-COLUMN($A$1), FALSE), VLOOKUP($A44,raw[],COLUMN(AJ$1)-COLUMN($A$1),FALSE))</f>
        <v>2.3915281641432853E-3</v>
      </c>
      <c r="AJ44" s="72">
        <f>IF(VLOOKUP($A44,raw[],COLUMN(AK$1)-COLUMN($A$1),FALSE)=0, VLOOKUP($D44, regions[], COLUMN(AK$1)-COLUMN($A$1), FALSE), VLOOKUP($A44,raw[],COLUMN(AK$1)-COLUMN($A$1),FALSE))</f>
        <v>2.8039936499999326E-3</v>
      </c>
      <c r="AK44" s="72">
        <f>IF(VLOOKUP($A44,raw[],COLUMN(AL$1)-COLUMN($A$1),FALSE)=0, VLOOKUP($D44, regions[], COLUMN(AL$1)-COLUMN($A$1), FALSE), VLOOKUP($A44,raw[],COLUMN(AL$1)-COLUMN($A$1),FALSE))</f>
        <v>3.5914512687979555E-3</v>
      </c>
      <c r="AL44" s="72">
        <f>IF(VLOOKUP($A44,raw[],COLUMN(AM$1)-COLUMN($A$1),FALSE)=0, VLOOKUP($D44, regions[], COLUMN(AM$1)-COLUMN($A$1), FALSE), VLOOKUP($A44,raw[],COLUMN(AM$1)-COLUMN($A$1),FALSE))</f>
        <v>4.8388408359874143E-3</v>
      </c>
      <c r="AM44" s="72">
        <f>IF(VLOOKUP($A44,raw[],COLUMN(AN$1)-COLUMN($A$1),FALSE)=0, VLOOKUP($D44, regions[], COLUMN(AN$1)-COLUMN($A$1), FALSE), VLOOKUP($A44,raw[],COLUMN(AN$1)-COLUMN($A$1),FALSE))</f>
        <v>6.8665980996010702E-3</v>
      </c>
      <c r="AN44" s="72">
        <f>IF(VLOOKUP($A44,raw[],COLUMN(AO$1)-COLUMN($A$1),FALSE)=0, VLOOKUP($D44, regions[], COLUMN(AO$1)-COLUMN($A$1), FALSE), VLOOKUP($A44,raw[],COLUMN(AO$1)-COLUMN($A$1),FALSE))</f>
        <v>9.9144025039840707E-3</v>
      </c>
      <c r="AO44" s="72">
        <f>IF(VLOOKUP($A44,raw[],COLUMN(AP$1)-COLUMN($A$1),FALSE)=0, VLOOKUP($D44, regions[], COLUMN(AP$1)-COLUMN($A$1), FALSE), VLOOKUP($A44,raw[],COLUMN(AP$1)-COLUMN($A$1),FALSE))</f>
        <v>1.4400169866841899E-2</v>
      </c>
      <c r="AP44" s="72">
        <f>IF(VLOOKUP($A44,raw[],COLUMN(AQ$1)-COLUMN($A$1),FALSE)=0, VLOOKUP($D44, regions[], COLUMN(AQ$1)-COLUMN($A$1), FALSE), VLOOKUP($A44,raw[],COLUMN(AQ$1)-COLUMN($A$1),FALSE))</f>
        <v>2.2381014757687345E-2</v>
      </c>
      <c r="AQ44" s="72">
        <f>IF(VLOOKUP($A44,raw[],COLUMN(AR$1)-COLUMN($A$1),FALSE)=0, VLOOKUP($D44, regions[], COLUMN(AR$1)-COLUMN($A$1), FALSE), VLOOKUP($A44,raw[],COLUMN(AR$1)-COLUMN($A$1),FALSE))</f>
        <v>3.4740935896048833E-2</v>
      </c>
      <c r="AR44" s="72">
        <f>IF(VLOOKUP($A44,raw[],COLUMN(AS$1)-COLUMN($A$1),FALSE)=0, VLOOKUP($D44, regions[], COLUMN(AS$1)-COLUMN($A$1), FALSE), VLOOKUP($A44,raw[],COLUMN(AS$1)-COLUMN($A$1),FALSE))</f>
        <v>5.2248719569785697E-2</v>
      </c>
      <c r="AS44" s="72">
        <f>IF(VLOOKUP($A44,raw[],COLUMN(AT$1)-COLUMN($A$1),FALSE)=0, VLOOKUP($D44, regions[], COLUMN(AT$1)-COLUMN($A$1), FALSE), VLOOKUP($A44,raw[],COLUMN(AT$1)-COLUMN($A$1),FALSE))</f>
        <v>7.6233131228191808E-2</v>
      </c>
      <c r="AT44" s="72">
        <f>IF(VLOOKUP($A44,raw[],COLUMN(AU$1)-COLUMN($A$1),FALSE)=0, VLOOKUP($D44, regions[], COLUMN(AU$1)-COLUMN($A$1), FALSE), VLOOKUP($A44,raw[],COLUMN(AU$1)-COLUMN($A$1),FALSE))</f>
        <v>0.1074735981205143</v>
      </c>
      <c r="AU44" s="72">
        <f>IF(VLOOKUP($A44,raw[],COLUMN(AV$1)-COLUMN($A$1),FALSE)=0, VLOOKUP($D44, regions[], COLUMN(AV$1)-COLUMN($A$1), FALSE), VLOOKUP($A44,raw[],COLUMN(AV$1)-COLUMN($A$1),FALSE))</f>
        <v>0.14106182345401735</v>
      </c>
      <c r="AV44" s="72">
        <f>IF(VLOOKUP($A44,raw[],COLUMN(AW$1)-COLUMN($A$1),FALSE)=0, VLOOKUP($D44, regions[], COLUMN(AW$1)-COLUMN($A$1), FALSE), VLOOKUP($A44,raw[],COLUMN(AW$1)-COLUMN($A$1),FALSE))</f>
        <v>0.16739284900489815</v>
      </c>
      <c r="AW44" s="72">
        <f>IF(VLOOKUP($A44,raw[],COLUMN(AX$1)-COLUMN($A$1),FALSE)=0, VLOOKUP($D44, regions[], COLUMN(AX$1)-COLUMN($A$1), FALSE), VLOOKUP($A44,raw[],COLUMN(AX$1)-COLUMN($A$1),FALSE))</f>
        <v>0.18357140929969654</v>
      </c>
      <c r="AX44" s="72">
        <f>IF(VLOOKUP($A44,raw[],COLUMN(AY$1)-COLUMN($A$1),FALSE)=0, VLOOKUP($D44, regions[], COLUMN(AY$1)-COLUMN($A$1), FALSE), VLOOKUP($A44,raw[],COLUMN(AY$1)-COLUMN($A$1),FALSE))</f>
        <v>67.272999999999996</v>
      </c>
      <c r="AY44" t="str">
        <f t="shared" si="1"/>
        <v>No</v>
      </c>
    </row>
    <row r="45" spans="1:51" x14ac:dyDescent="0.25">
      <c r="A45" s="55" t="s">
        <v>310</v>
      </c>
      <c r="B45" s="56" t="s">
        <v>311</v>
      </c>
      <c r="C45" s="56">
        <v>266</v>
      </c>
      <c r="D45" s="56" t="s">
        <v>207</v>
      </c>
      <c r="E45" s="56" t="s">
        <v>210</v>
      </c>
      <c r="F45" s="56" t="s">
        <v>211</v>
      </c>
      <c r="G45" s="56" t="s">
        <v>204</v>
      </c>
      <c r="H45" s="74">
        <f>VLOOKUP(lmics[[#This Row],[setting]],raw[],8,FALSE)</f>
        <v>2225728</v>
      </c>
      <c r="I45" s="74">
        <f>VLOOKUP(lmics[[#This Row],[setting]],raw[],9,FALSE)</f>
        <v>71214.393087999997</v>
      </c>
      <c r="J45" s="67">
        <f>IF(VLOOKUP($A45,raw[],COLUMN(J$1),FALSE)=0, VLOOKUP($D45, regions[], COLUMN(J$1), FALSE), VLOOKUP($A45,raw[],COLUMN(J$1),FALSE))</f>
        <v>0.90200000000000002</v>
      </c>
      <c r="K45" s="77">
        <f>VLOOKUP($A45, raw[], 11, FALSE)</f>
        <v>0</v>
      </c>
      <c r="L45" s="77">
        <f>VLOOKUP($A45, raw[], 12, FALSE)</f>
        <v>0.63</v>
      </c>
      <c r="M45" s="77">
        <f>IF(VLOOKUP($A45,raw[],COLUMN(M$1),FALSE)=0, VLOOKUP($D45, regions[], COLUMN(M$1), FALSE), VLOOKUP($A45,raw[],COLUMN(M$1),FALSE))</f>
        <v>7.1800000000000003E-2</v>
      </c>
      <c r="N45" s="68">
        <f>IF(VLOOKUP($A45,raw[],COLUMN(N$1),FALSE)=0, VLOOKUP($D45, regions[], COLUMN(N$1), FALSE), VLOOKUP($A45,raw[],COLUMN(N$1),FALSE))</f>
        <v>0.28132112561296718</v>
      </c>
      <c r="O45" s="67">
        <f>IF(VLOOKUP($A45,raw[],COLUMN(O$1),FALSE)=0, VLOOKUP($D45, regions[], COLUMN(O$1), FALSE), VLOOKUP($A45,raw[],COLUMN(O$1),FALSE))</f>
        <v>0.38300000000000001</v>
      </c>
      <c r="P45" s="68">
        <f>IF(VLOOKUP($A45,raw[],COLUMN(P$1),FALSE)=0, VLOOKUP($D45, regions[], COLUMN(P$1), FALSE), VLOOKUP($A45,raw[],COLUMN(P$1),FALSE))</f>
        <v>4.8000000000000001E-2</v>
      </c>
      <c r="Q45" s="70">
        <f>IF(VLOOKUP($A45,raw[],COLUMN(Q$1),FALSE)=0, VLOOKUP($D45, regions[], COLUMN(Q$1), FALSE), VLOOKUP($A45,raw[],COLUMN(Q$1),FALSE))</f>
        <v>14.7500999632651</v>
      </c>
      <c r="R45" s="70">
        <f>IF(VLOOKUP($A45,raw[],COLUMN(R$1),FALSE)=0, VLOOKUP($D45, regions[], COLUMN(R$1), FALSE), VLOOKUP($A45,raw[],COLUMN(R$1),FALSE))</f>
        <v>37.075479963265103</v>
      </c>
      <c r="S45" s="70">
        <f>IF(VLOOKUP($A45,raw[],COLUMN(S$1),FALSE)=0, VLOOKUP($D45, regions[], COLUMN(S$1), FALSE), VLOOKUP($A45,raw[],COLUMN(S$1),FALSE))</f>
        <v>114.98755908811953</v>
      </c>
      <c r="T45" s="70">
        <f>IF(VLOOKUP($A45,raw[],COLUMN(U$1)-COLUMN($A$1),FALSE)=0, VLOOKUP($D45, regions[], COLUMN(U$1)-COLUMN($A$1), FALSE), VLOOKUP($A45,raw[],COLUMN(U$1)-COLUMN($A$1),FALSE))</f>
        <v>140.33008442856817</v>
      </c>
      <c r="U45" s="70">
        <f>IF(VLOOKUP($A45,raw[],COLUMN(V$1)-COLUMN($A$1),FALSE)=0, VLOOKUP($D45, regions[], COLUMN(V$1)-COLUMN($A$1), FALSE), VLOOKUP($A45,raw[],COLUMN(V$1)-COLUMN($A$1),FALSE))</f>
        <v>128.69333246497769</v>
      </c>
      <c r="V45" s="70">
        <f>IF(VLOOKUP($A45,raw[],COLUMN(W$1)-COLUMN($A$1),FALSE)=0, VLOOKUP($D45, regions[], COLUMN(W$1)-COLUMN($A$1), FALSE), VLOOKUP($A45,raw[],COLUMN(W$1)-COLUMN($A$1),FALSE))</f>
        <v>3.820882997492542</v>
      </c>
      <c r="W45" s="70">
        <f>IF(VLOOKUP($A45,raw[],COLUMN(X$1)-COLUMN($A$1),FALSE)=0, VLOOKUP($D45, regions[], COLUMN(X$1)-COLUMN($A$1), FALSE), VLOOKUP($A45,raw[],COLUMN(X$1)-COLUMN($A$1),FALSE))</f>
        <v>8.6508829974925412</v>
      </c>
      <c r="X45" s="70">
        <f>IF(VLOOKUP($A45,raw[],COLUMN(Y$1)-COLUMN($A$1),FALSE)=0, VLOOKUP($D45, regions[], COLUMN(Y$1)-COLUMN($A$1), FALSE), VLOOKUP($A45,raw[],COLUMN(Y$1)-COLUMN($A$1),FALSE))</f>
        <v>3.3988831410553746</v>
      </c>
      <c r="Y45" s="70">
        <f>IF(VLOOKUP($A45,raw[],COLUMN(Z$1)-COLUMN($A$1),FALSE)=0, VLOOKUP($D45, regions[], COLUMN(Z$1)-COLUMN($A$1), FALSE), VLOOKUP($A45,raw[],COLUMN(Z$1)-COLUMN($A$1),FALSE))</f>
        <v>8.2288831410553751</v>
      </c>
      <c r="Z45" s="70">
        <f>IF(VLOOKUP($A45,raw[],COLUMN(AA$1)-COLUMN($A$1),FALSE)=0, VLOOKUP($D45, regions[], COLUMN(AA$1)-COLUMN($A$1), FALSE), VLOOKUP($A45,raw[],COLUMN(AA$1)-COLUMN($A$1),FALSE))</f>
        <v>8.2208604916821137</v>
      </c>
      <c r="AA45" s="70">
        <f>IF(VLOOKUP($A45,raw[],COLUMN(AB$1)-COLUMN($A$1),FALSE)=0, VLOOKUP($D45, regions[], COLUMN(AB$1)-COLUMN($A$1), FALSE), VLOOKUP($A45,raw[],COLUMN(AB$1)-COLUMN($A$1),FALSE))</f>
        <v>4.0300950468029031</v>
      </c>
      <c r="AB45" s="70">
        <f>IF(VLOOKUP($A45,raw[],COLUMN(AC$1)-COLUMN($A$1),FALSE)=0, VLOOKUP($D45, regions[], COLUMN(AC$1)-COLUMN($A$1), FALSE), VLOOKUP($A45,raw[],COLUMN(AC$1)-COLUMN($A$1),FALSE))</f>
        <v>8.8600950468029041</v>
      </c>
      <c r="AC45" s="72">
        <f>IF(VLOOKUP($A45,raw[],COLUMN(AD$1)-COLUMN($A$1),FALSE)=0, VLOOKUP($D45, regions[], COLUMN(AD$1)-COLUMN($A$1), FALSE), VLOOKUP($A45,raw[],COLUMN(AD$1)-COLUMN($A$1),FALSE))</f>
        <v>3.5289049999999988E-2</v>
      </c>
      <c r="AD45" s="72">
        <f>IF(VLOOKUP($A45,raw[],COLUMN(AE$1)-COLUMN($A$1),FALSE)=0, VLOOKUP($D45, regions[], COLUMN(AE$1)-COLUMN($A$1), FALSE), VLOOKUP($A45,raw[],COLUMN(AE$1)-COLUMN($A$1),FALSE))</f>
        <v>3.2822266607422609E-3</v>
      </c>
      <c r="AE45" s="72">
        <f>IF(VLOOKUP($A45,raw[],COLUMN(AF$1)-COLUMN($A$1),FALSE)=0, VLOOKUP($D45, regions[], COLUMN(AF$1)-COLUMN($A$1), FALSE), VLOOKUP($A45,raw[],COLUMN(AF$1)-COLUMN($A$1),FALSE))</f>
        <v>1.4246611256491133E-3</v>
      </c>
      <c r="AF45" s="72">
        <f>IF(VLOOKUP($A45,raw[],COLUMN(AG$1)-COLUMN($A$1),FALSE)=0, VLOOKUP($D45, regions[], COLUMN(AG$1)-COLUMN($A$1), FALSE), VLOOKUP($A45,raw[],COLUMN(AG$1)-COLUMN($A$1),FALSE))</f>
        <v>1.0168697486343512E-3</v>
      </c>
      <c r="AG45" s="72">
        <f>IF(VLOOKUP($A45,raw[],COLUMN(AH$1)-COLUMN($A$1),FALSE)=0, VLOOKUP($D45, regions[], COLUMN(AH$1)-COLUMN($A$1), FALSE), VLOOKUP($A45,raw[],COLUMN(AH$1)-COLUMN($A$1),FALSE))</f>
        <v>1.6831402253875375E-3</v>
      </c>
      <c r="AH45" s="72">
        <f>IF(VLOOKUP($A45,raw[],COLUMN(AI$1)-COLUMN($A$1),FALSE)=0, VLOOKUP($D45, regions[], COLUMN(AI$1)-COLUMN($A$1), FALSE), VLOOKUP($A45,raw[],COLUMN(AI$1)-COLUMN($A$1),FALSE))</f>
        <v>2.4521700865733679E-3</v>
      </c>
      <c r="AI45" s="72">
        <f>IF(VLOOKUP($A45,raw[],COLUMN(AJ$1)-COLUMN($A$1),FALSE)=0, VLOOKUP($D45, regions[], COLUMN(AJ$1)-COLUMN($A$1), FALSE), VLOOKUP($A45,raw[],COLUMN(AJ$1)-COLUMN($A$1),FALSE))</f>
        <v>2.8030899832170719E-3</v>
      </c>
      <c r="AJ45" s="72">
        <f>IF(VLOOKUP($A45,raw[],COLUMN(AK$1)-COLUMN($A$1),FALSE)=0, VLOOKUP($D45, regions[], COLUMN(AK$1)-COLUMN($A$1), FALSE), VLOOKUP($A45,raw[],COLUMN(AK$1)-COLUMN($A$1),FALSE))</f>
        <v>3.2615302728932773E-3</v>
      </c>
      <c r="AK45" s="72">
        <f>IF(VLOOKUP($A45,raw[],COLUMN(AL$1)-COLUMN($A$1),FALSE)=0, VLOOKUP($D45, regions[], COLUMN(AL$1)-COLUMN($A$1), FALSE), VLOOKUP($A45,raw[],COLUMN(AL$1)-COLUMN($A$1),FALSE))</f>
        <v>3.9674325463094733E-3</v>
      </c>
      <c r="AL45" s="72">
        <f>IF(VLOOKUP($A45,raw[],COLUMN(AM$1)-COLUMN($A$1),FALSE)=0, VLOOKUP($D45, regions[], COLUMN(AM$1)-COLUMN($A$1), FALSE), VLOOKUP($A45,raw[],COLUMN(AM$1)-COLUMN($A$1),FALSE))</f>
        <v>5.0423508811659017E-3</v>
      </c>
      <c r="AM45" s="72">
        <f>IF(VLOOKUP($A45,raw[],COLUMN(AN$1)-COLUMN($A$1),FALSE)=0, VLOOKUP($D45, regions[], COLUMN(AN$1)-COLUMN($A$1), FALSE), VLOOKUP($A45,raw[],COLUMN(AN$1)-COLUMN($A$1),FALSE))</f>
        <v>6.4192521777389194E-3</v>
      </c>
      <c r="AN45" s="72">
        <f>IF(VLOOKUP($A45,raw[],COLUMN(AO$1)-COLUMN($A$1),FALSE)=0, VLOOKUP($D45, regions[], COLUMN(AO$1)-COLUMN($A$1), FALSE), VLOOKUP($A45,raw[],COLUMN(AO$1)-COLUMN($A$1),FALSE))</f>
        <v>9.1931682307958215E-3</v>
      </c>
      <c r="AO45" s="72">
        <f>IF(VLOOKUP($A45,raw[],COLUMN(AP$1)-COLUMN($A$1),FALSE)=0, VLOOKUP($D45, regions[], COLUMN(AP$1)-COLUMN($A$1), FALSE), VLOOKUP($A45,raw[],COLUMN(AP$1)-COLUMN($A$1),FALSE))</f>
        <v>1.2376268022031546E-2</v>
      </c>
      <c r="AP45" s="72">
        <f>IF(VLOOKUP($A45,raw[],COLUMN(AQ$1)-COLUMN($A$1),FALSE)=0, VLOOKUP($D45, regions[], COLUMN(AQ$1)-COLUMN($A$1), FALSE), VLOOKUP($A45,raw[],COLUMN(AQ$1)-COLUMN($A$1),FALSE))</f>
        <v>1.8788781969380986E-2</v>
      </c>
      <c r="AQ45" s="72">
        <f>IF(VLOOKUP($A45,raw[],COLUMN(AR$1)-COLUMN($A$1),FALSE)=0, VLOOKUP($D45, regions[], COLUMN(AR$1)-COLUMN($A$1), FALSE), VLOOKUP($A45,raw[],COLUMN(AR$1)-COLUMN($A$1),FALSE))</f>
        <v>2.9231552200221736E-2</v>
      </c>
      <c r="AR45" s="72">
        <f>IF(VLOOKUP($A45,raw[],COLUMN(AS$1)-COLUMN($A$1),FALSE)=0, VLOOKUP($D45, regions[], COLUMN(AS$1)-COLUMN($A$1), FALSE), VLOOKUP($A45,raw[],COLUMN(AS$1)-COLUMN($A$1),FALSE))</f>
        <v>4.547283590363508E-2</v>
      </c>
      <c r="AS45" s="72">
        <f>IF(VLOOKUP($A45,raw[],COLUMN(AT$1)-COLUMN($A$1),FALSE)=0, VLOOKUP($D45, regions[], COLUMN(AT$1)-COLUMN($A$1), FALSE), VLOOKUP($A45,raw[],COLUMN(AT$1)-COLUMN($A$1),FALSE))</f>
        <v>6.9728157093137316E-2</v>
      </c>
      <c r="AT45" s="72">
        <f>IF(VLOOKUP($A45,raw[],COLUMN(AU$1)-COLUMN($A$1),FALSE)=0, VLOOKUP($D45, regions[], COLUMN(AU$1)-COLUMN($A$1), FALSE), VLOOKUP($A45,raw[],COLUMN(AU$1)-COLUMN($A$1),FALSE))</f>
        <v>0.10415017804360961</v>
      </c>
      <c r="AU45" s="72">
        <f>IF(VLOOKUP($A45,raw[],COLUMN(AV$1)-COLUMN($A$1),FALSE)=0, VLOOKUP($D45, regions[], COLUMN(AV$1)-COLUMN($A$1), FALSE), VLOOKUP($A45,raw[],COLUMN(AV$1)-COLUMN($A$1),FALSE))</f>
        <v>0.14414752105565432</v>
      </c>
      <c r="AV45" s="72">
        <f>IF(VLOOKUP($A45,raw[],COLUMN(AW$1)-COLUMN($A$1),FALSE)=0, VLOOKUP($D45, regions[], COLUMN(AW$1)-COLUMN($A$1), FALSE), VLOOKUP($A45,raw[],COLUMN(AW$1)-COLUMN($A$1),FALSE))</f>
        <v>0.17836414951536853</v>
      </c>
      <c r="AW45" s="72">
        <f>IF(VLOOKUP($A45,raw[],COLUMN(AX$1)-COLUMN($A$1),FALSE)=0, VLOOKUP($D45, regions[], COLUMN(AX$1)-COLUMN($A$1), FALSE), VLOOKUP($A45,raw[],COLUMN(AX$1)-COLUMN($A$1),FALSE))</f>
        <v>0.18954100115392675</v>
      </c>
      <c r="AX45" s="72">
        <f>IF(VLOOKUP($A45,raw[],COLUMN(AY$1)-COLUMN($A$1),FALSE)=0, VLOOKUP($D45, regions[], COLUMN(AY$1)-COLUMN($A$1), FALSE), VLOOKUP($A45,raw[],COLUMN(AY$1)-COLUMN($A$1),FALSE))</f>
        <v>66.06</v>
      </c>
      <c r="AY45" t="str">
        <f t="shared" si="1"/>
        <v>Yes</v>
      </c>
    </row>
    <row r="46" spans="1:51" x14ac:dyDescent="0.25">
      <c r="A46" s="53" t="s">
        <v>312</v>
      </c>
      <c r="B46" s="54" t="s">
        <v>313</v>
      </c>
      <c r="C46" s="54">
        <v>270</v>
      </c>
      <c r="D46" s="54" t="s">
        <v>207</v>
      </c>
      <c r="E46" s="54" t="s">
        <v>235</v>
      </c>
      <c r="F46" s="54" t="s">
        <v>211</v>
      </c>
      <c r="G46" s="54" t="s">
        <v>198</v>
      </c>
      <c r="H46" s="73">
        <f>VLOOKUP(lmics[[#This Row],[setting]],raw[],8,FALSE)</f>
        <v>2416664</v>
      </c>
      <c r="I46" s="73">
        <f>VLOOKUP(lmics[[#This Row],[setting]],raw[],9,FALSE)</f>
        <v>93655.396655999997</v>
      </c>
      <c r="J46" s="67">
        <f>IF(VLOOKUP($A46,raw[],COLUMN(J$1),FALSE)=0, VLOOKUP($D46, regions[], COLUMN(J$1), FALSE), VLOOKUP($A46,raw[],COLUMN(J$1),FALSE))</f>
        <v>0.83700000000000008</v>
      </c>
      <c r="K46" s="77">
        <f>VLOOKUP($A46, raw[], 11, FALSE)</f>
        <v>0</v>
      </c>
      <c r="L46" s="77">
        <f>VLOOKUP($A46, raw[], 12, FALSE)</f>
        <v>0.88</v>
      </c>
      <c r="M46" s="77">
        <f>IF(VLOOKUP($A46,raw[],COLUMN(M$1),FALSE)=0, VLOOKUP($D46, regions[], COLUMN(M$1), FALSE), VLOOKUP($A46,raw[],COLUMN(M$1),FALSE))</f>
        <v>5.4000000000000006E-2</v>
      </c>
      <c r="N46" s="68">
        <f>IF(VLOOKUP($A46,raw[],COLUMN(N$1),FALSE)=0, VLOOKUP($D46, regions[], COLUMN(N$1), FALSE), VLOOKUP($A46,raw[],COLUMN(N$1),FALSE))</f>
        <v>0.28511757354019951</v>
      </c>
      <c r="O46" s="67">
        <f>IF(VLOOKUP($A46,raw[],COLUMN(O$1),FALSE)=0, VLOOKUP($D46, regions[], COLUMN(O$1), FALSE), VLOOKUP($A46,raw[],COLUMN(O$1),FALSE))</f>
        <v>0.38300000000000001</v>
      </c>
      <c r="P46" s="68">
        <f>IF(VLOOKUP($A46,raw[],COLUMN(P$1),FALSE)=0, VLOOKUP($D46, regions[], COLUMN(P$1), FALSE), VLOOKUP($A46,raw[],COLUMN(P$1),FALSE))</f>
        <v>4.8000000000000001E-2</v>
      </c>
      <c r="Q46" s="70">
        <f>IF(VLOOKUP($A46,raw[],COLUMN(Q$1),FALSE)=0, VLOOKUP($D46, regions[], COLUMN(Q$1), FALSE), VLOOKUP($A46,raw[],COLUMN(Q$1),FALSE))</f>
        <v>3.3362173608720602</v>
      </c>
      <c r="R46" s="70">
        <f>IF(VLOOKUP($A46,raw[],COLUMN(R$1),FALSE)=0, VLOOKUP($D46, regions[], COLUMN(R$1), FALSE), VLOOKUP($A46,raw[],COLUMN(R$1),FALSE))</f>
        <v>25.661597360872062</v>
      </c>
      <c r="S46" s="70">
        <f>IF(VLOOKUP($A46,raw[],COLUMN(S$1),FALSE)=0, VLOOKUP($D46, regions[], COLUMN(S$1), FALSE), VLOOKUP($A46,raw[],COLUMN(S$1),FALSE))</f>
        <v>57.394235466554235</v>
      </c>
      <c r="T46" s="70">
        <f>IF(VLOOKUP($A46,raw[],COLUMN(U$1)-COLUMN($A$1),FALSE)=0, VLOOKUP($D46, regions[], COLUMN(U$1)-COLUMN($A$1), FALSE), VLOOKUP($A46,raw[],COLUMN(U$1)-COLUMN($A$1),FALSE))</f>
        <v>58.701975780976838</v>
      </c>
      <c r="U46" s="70">
        <f>IF(VLOOKUP($A46,raw[],COLUMN(V$1)-COLUMN($A$1),FALSE)=0, VLOOKUP($D46, regions[], COLUMN(V$1)-COLUMN($A$1), FALSE), VLOOKUP($A46,raw[],COLUMN(V$1)-COLUMN($A$1),FALSE))</f>
        <v>58.101489070702755</v>
      </c>
      <c r="V46" s="70">
        <f>IF(VLOOKUP($A46,raw[],COLUMN(W$1)-COLUMN($A$1),FALSE)=0, VLOOKUP($D46, regions[], COLUMN(W$1)-COLUMN($A$1), FALSE), VLOOKUP($A46,raw[],COLUMN(W$1)-COLUMN($A$1),FALSE))</f>
        <v>4.0309485398891729</v>
      </c>
      <c r="W46" s="70">
        <f>IF(VLOOKUP($A46,raw[],COLUMN(X$1)-COLUMN($A$1),FALSE)=0, VLOOKUP($D46, regions[], COLUMN(X$1)-COLUMN($A$1), FALSE), VLOOKUP($A46,raw[],COLUMN(X$1)-COLUMN($A$1),FALSE))</f>
        <v>8.8609485398891721</v>
      </c>
      <c r="X46" s="70">
        <f>IF(VLOOKUP($A46,raw[],COLUMN(Y$1)-COLUMN($A$1),FALSE)=0, VLOOKUP($D46, regions[], COLUMN(Y$1)-COLUMN($A$1), FALSE), VLOOKUP($A46,raw[],COLUMN(Y$1)-COLUMN($A$1),FALSE))</f>
        <v>3.6232868928097282</v>
      </c>
      <c r="Y46" s="70">
        <f>IF(VLOOKUP($A46,raw[],COLUMN(Z$1)-COLUMN($A$1),FALSE)=0, VLOOKUP($D46, regions[], COLUMN(Z$1)-COLUMN($A$1), FALSE), VLOOKUP($A46,raw[],COLUMN(Z$1)-COLUMN($A$1),FALSE))</f>
        <v>8.4532868928097287</v>
      </c>
      <c r="Z46" s="70">
        <f>IF(VLOOKUP($A46,raw[],COLUMN(AA$1)-COLUMN($A$1),FALSE)=0, VLOOKUP($D46, regions[], COLUMN(AA$1)-COLUMN($A$1), FALSE), VLOOKUP($A46,raw[],COLUMN(AA$1)-COLUMN($A$1),FALSE))</f>
        <v>8.4507604472549698</v>
      </c>
      <c r="AA46" s="70">
        <f>IF(VLOOKUP($A46,raw[],COLUMN(AB$1)-COLUMN($A$1),FALSE)=0, VLOOKUP($D46, regions[], COLUMN(AB$1)-COLUMN($A$1), FALSE), VLOOKUP($A46,raw[],COLUMN(AB$1)-COLUMN($A$1),FALSE))</f>
        <v>4.235048705863302</v>
      </c>
      <c r="AB46" s="70">
        <f>IF(VLOOKUP($A46,raw[],COLUMN(AC$1)-COLUMN($A$1),FALSE)=0, VLOOKUP($D46, regions[], COLUMN(AC$1)-COLUMN($A$1), FALSE), VLOOKUP($A46,raw[],COLUMN(AC$1)-COLUMN($A$1),FALSE))</f>
        <v>9.0650487058633011</v>
      </c>
      <c r="AC46" s="72">
        <f>IF(VLOOKUP($A46,raw[],COLUMN(AD$1)-COLUMN($A$1),FALSE)=0, VLOOKUP($D46, regions[], COLUMN(AD$1)-COLUMN($A$1), FALSE), VLOOKUP($A46,raw[],COLUMN(AD$1)-COLUMN($A$1),FALSE))</f>
        <v>4.4846699999999982E-2</v>
      </c>
      <c r="AD46" s="72">
        <f>IF(VLOOKUP($A46,raw[],COLUMN(AE$1)-COLUMN($A$1),FALSE)=0, VLOOKUP($D46, regions[], COLUMN(AE$1)-COLUMN($A$1), FALSE), VLOOKUP($A46,raw[],COLUMN(AE$1)-COLUMN($A$1),FALSE))</f>
        <v>6.0042168100136557E-3</v>
      </c>
      <c r="AE46" s="72">
        <f>IF(VLOOKUP($A46,raw[],COLUMN(AF$1)-COLUMN($A$1),FALSE)=0, VLOOKUP($D46, regions[], COLUMN(AF$1)-COLUMN($A$1), FALSE), VLOOKUP($A46,raw[],COLUMN(AF$1)-COLUMN($A$1),FALSE))</f>
        <v>2.8182363501683258E-3</v>
      </c>
      <c r="AF46" s="72">
        <f>IF(VLOOKUP($A46,raw[],COLUMN(AG$1)-COLUMN($A$1),FALSE)=0, VLOOKUP($D46, regions[], COLUMN(AG$1)-COLUMN($A$1), FALSE), VLOOKUP($A46,raw[],COLUMN(AG$1)-COLUMN($A$1),FALSE))</f>
        <v>1.6928909326386164E-3</v>
      </c>
      <c r="AG46" s="72">
        <f>IF(VLOOKUP($A46,raw[],COLUMN(AH$1)-COLUMN($A$1),FALSE)=0, VLOOKUP($D46, regions[], COLUMN(AH$1)-COLUMN($A$1), FALSE), VLOOKUP($A46,raw[],COLUMN(AH$1)-COLUMN($A$1),FALSE))</f>
        <v>2.5842259310052498E-3</v>
      </c>
      <c r="AH46" s="72">
        <f>IF(VLOOKUP($A46,raw[],COLUMN(AI$1)-COLUMN($A$1),FALSE)=0, VLOOKUP($D46, regions[], COLUMN(AI$1)-COLUMN($A$1), FALSE), VLOOKUP($A46,raw[],COLUMN(AI$1)-COLUMN($A$1),FALSE))</f>
        <v>3.6404715507950859E-3</v>
      </c>
      <c r="AI46" s="72">
        <f>IF(VLOOKUP($A46,raw[],COLUMN(AJ$1)-COLUMN($A$1),FALSE)=0, VLOOKUP($D46, regions[], COLUMN(AJ$1)-COLUMN($A$1), FALSE), VLOOKUP($A46,raw[],COLUMN(AJ$1)-COLUMN($A$1),FALSE))</f>
        <v>3.866848876643869E-3</v>
      </c>
      <c r="AJ46" s="72">
        <f>IF(VLOOKUP($A46,raw[],COLUMN(AK$1)-COLUMN($A$1),FALSE)=0, VLOOKUP($D46, regions[], COLUMN(AK$1)-COLUMN($A$1), FALSE), VLOOKUP($A46,raw[],COLUMN(AK$1)-COLUMN($A$1),FALSE))</f>
        <v>4.2444775193489276E-3</v>
      </c>
      <c r="AK46" s="72">
        <f>IF(VLOOKUP($A46,raw[],COLUMN(AL$1)-COLUMN($A$1),FALSE)=0, VLOOKUP($D46, regions[], COLUMN(AL$1)-COLUMN($A$1), FALSE), VLOOKUP($A46,raw[],COLUMN(AL$1)-COLUMN($A$1),FALSE))</f>
        <v>4.8541267331024705E-3</v>
      </c>
      <c r="AL46" s="72">
        <f>IF(VLOOKUP($A46,raw[],COLUMN(AM$1)-COLUMN($A$1),FALSE)=0, VLOOKUP($D46, regions[], COLUMN(AM$1)-COLUMN($A$1), FALSE), VLOOKUP($A46,raw[],COLUMN(AM$1)-COLUMN($A$1),FALSE))</f>
        <v>5.9551070629616102E-3</v>
      </c>
      <c r="AM46" s="72">
        <f>IF(VLOOKUP($A46,raw[],COLUMN(AN$1)-COLUMN($A$1),FALSE)=0, VLOOKUP($D46, regions[], COLUMN(AN$1)-COLUMN($A$1), FALSE), VLOOKUP($A46,raw[],COLUMN(AN$1)-COLUMN($A$1),FALSE))</f>
        <v>7.431462649688041E-3</v>
      </c>
      <c r="AN46" s="72">
        <f>IF(VLOOKUP($A46,raw[],COLUMN(AO$1)-COLUMN($A$1),FALSE)=0, VLOOKUP($D46, regions[], COLUMN(AO$1)-COLUMN($A$1), FALSE), VLOOKUP($A46,raw[],COLUMN(AO$1)-COLUMN($A$1),FALSE))</f>
        <v>1.0387347107233732E-2</v>
      </c>
      <c r="AO46" s="72">
        <f>IF(VLOOKUP($A46,raw[],COLUMN(AP$1)-COLUMN($A$1),FALSE)=0, VLOOKUP($D46, regions[], COLUMN(AP$1)-COLUMN($A$1), FALSE), VLOOKUP($A46,raw[],COLUMN(AP$1)-COLUMN($A$1),FALSE))</f>
        <v>1.4813591881899082E-2</v>
      </c>
      <c r="AP46" s="72">
        <f>IF(VLOOKUP($A46,raw[],COLUMN(AQ$1)-COLUMN($A$1),FALSE)=0, VLOOKUP($D46, regions[], COLUMN(AQ$1)-COLUMN($A$1), FALSE), VLOOKUP($A46,raw[],COLUMN(AQ$1)-COLUMN($A$1),FALSE))</f>
        <v>2.2951012443546647E-2</v>
      </c>
      <c r="AQ46" s="72">
        <f>IF(VLOOKUP($A46,raw[],COLUMN(AR$1)-COLUMN($A$1),FALSE)=0, VLOOKUP($D46, regions[], COLUMN(AR$1)-COLUMN($A$1), FALSE), VLOOKUP($A46,raw[],COLUMN(AR$1)-COLUMN($A$1),FALSE))</f>
        <v>3.5087979162260245E-2</v>
      </c>
      <c r="AR46" s="72">
        <f>IF(VLOOKUP($A46,raw[],COLUMN(AS$1)-COLUMN($A$1),FALSE)=0, VLOOKUP($D46, regions[], COLUMN(AS$1)-COLUMN($A$1), FALSE), VLOOKUP($A46,raw[],COLUMN(AS$1)-COLUMN($A$1),FALSE))</f>
        <v>5.5866513026930048E-2</v>
      </c>
      <c r="AS46" s="72">
        <f>IF(VLOOKUP($A46,raw[],COLUMN(AT$1)-COLUMN($A$1),FALSE)=0, VLOOKUP($D46, regions[], COLUMN(AT$1)-COLUMN($A$1), FALSE), VLOOKUP($A46,raw[],COLUMN(AT$1)-COLUMN($A$1),FALSE))</f>
        <v>8.5511449355615179E-2</v>
      </c>
      <c r="AT46" s="72">
        <f>IF(VLOOKUP($A46,raw[],COLUMN(AU$1)-COLUMN($A$1),FALSE)=0, VLOOKUP($D46, regions[], COLUMN(AU$1)-COLUMN($A$1), FALSE), VLOOKUP($A46,raw[],COLUMN(AU$1)-COLUMN($A$1),FALSE))</f>
        <v>0.12162201543909797</v>
      </c>
      <c r="AU46" s="72">
        <f>IF(VLOOKUP($A46,raw[],COLUMN(AV$1)-COLUMN($A$1),FALSE)=0, VLOOKUP($D46, regions[], COLUMN(AV$1)-COLUMN($A$1), FALSE), VLOOKUP($A46,raw[],COLUMN(AV$1)-COLUMN($A$1),FALSE))</f>
        <v>0.15459474780737206</v>
      </c>
      <c r="AV46" s="72">
        <f>IF(VLOOKUP($A46,raw[],COLUMN(AW$1)-COLUMN($A$1),FALSE)=0, VLOOKUP($D46, regions[], COLUMN(AW$1)-COLUMN($A$1), FALSE), VLOOKUP($A46,raw[],COLUMN(AW$1)-COLUMN($A$1),FALSE))</f>
        <v>0.17718941763536672</v>
      </c>
      <c r="AW46" s="72">
        <f>IF(VLOOKUP($A46,raw[],COLUMN(AX$1)-COLUMN($A$1),FALSE)=0, VLOOKUP($D46, regions[], COLUMN(AX$1)-COLUMN($A$1), FALSE), VLOOKUP($A46,raw[],COLUMN(AX$1)-COLUMN($A$1),FALSE))</f>
        <v>0.18781110355425057</v>
      </c>
      <c r="AX46" s="72">
        <f>IF(VLOOKUP($A46,raw[],COLUMN(AY$1)-COLUMN($A$1),FALSE)=0, VLOOKUP($D46, regions[], COLUMN(AY$1)-COLUMN($A$1), FALSE), VLOOKUP($A46,raw[],COLUMN(AY$1)-COLUMN($A$1),FALSE))</f>
        <v>61.536000000000001</v>
      </c>
      <c r="AY46" t="str">
        <f t="shared" si="1"/>
        <v>Yes</v>
      </c>
    </row>
    <row r="47" spans="1:51" x14ac:dyDescent="0.25">
      <c r="A47" s="55" t="s">
        <v>314</v>
      </c>
      <c r="B47" s="56" t="s">
        <v>315</v>
      </c>
      <c r="C47" s="56">
        <v>268</v>
      </c>
      <c r="D47" s="56" t="s">
        <v>201</v>
      </c>
      <c r="E47" s="56" t="s">
        <v>220</v>
      </c>
      <c r="F47" s="56" t="s">
        <v>203</v>
      </c>
      <c r="G47" s="56" t="s">
        <v>204</v>
      </c>
      <c r="H47" s="74">
        <f>VLOOKUP(lmics[[#This Row],[setting]],raw[],8,FALSE)</f>
        <v>3989175</v>
      </c>
      <c r="I47" s="74">
        <f>VLOOKUP(lmics[[#This Row],[setting]],raw[],9,FALSE)</f>
        <v>54236.823300000004</v>
      </c>
      <c r="J47" s="67">
        <f>IF(VLOOKUP($A47,raw[],COLUMN(J$1),FALSE)=0, VLOOKUP($D47, regions[], COLUMN(J$1), FALSE), VLOOKUP($A47,raw[],COLUMN(J$1),FALSE))</f>
        <v>0.99400000000000011</v>
      </c>
      <c r="K47" s="77">
        <f>VLOOKUP($A47, raw[], 11, FALSE)</f>
        <v>0.97</v>
      </c>
      <c r="L47" s="77">
        <f>VLOOKUP($A47, raw[], 12, FALSE)</f>
        <v>0.88</v>
      </c>
      <c r="M47" s="77">
        <f>IF(VLOOKUP($A47,raw[],COLUMN(M$1),FALSE)=0, VLOOKUP($D47, regions[], COLUMN(M$1), FALSE), VLOOKUP($A47,raw[],COLUMN(M$1),FALSE))</f>
        <v>1.6799999999999999E-2</v>
      </c>
      <c r="N47" s="68">
        <f>IF(VLOOKUP($A47,raw[],COLUMN(N$1),FALSE)=0, VLOOKUP($D47, regions[], COLUMN(N$1), FALSE), VLOOKUP($A47,raw[],COLUMN(N$1),FALSE))</f>
        <v>0.30226538426236971</v>
      </c>
      <c r="O47" s="67">
        <f>IF(VLOOKUP($A47,raw[],COLUMN(O$1),FALSE)=0, VLOOKUP($D47, regions[], COLUMN(O$1), FALSE), VLOOKUP($A47,raw[],COLUMN(O$1),FALSE))</f>
        <v>0.8</v>
      </c>
      <c r="P47" s="68">
        <f>IF(VLOOKUP($A47,raw[],COLUMN(P$1),FALSE)=0, VLOOKUP($D47, regions[], COLUMN(P$1), FALSE), VLOOKUP($A47,raw[],COLUMN(P$1),FALSE))</f>
        <v>0.17499999999999999</v>
      </c>
      <c r="Q47" s="70">
        <f>IF(VLOOKUP($A47,raw[],COLUMN(Q$1),FALSE)=0, VLOOKUP($D47, regions[], COLUMN(Q$1), FALSE), VLOOKUP($A47,raw[],COLUMN(Q$1),FALSE))</f>
        <v>6.0768318999817499</v>
      </c>
      <c r="R47" s="70">
        <f>IF(VLOOKUP($A47,raw[],COLUMN(R$1),FALSE)=0, VLOOKUP($D47, regions[], COLUMN(R$1), FALSE), VLOOKUP($A47,raw[],COLUMN(R$1),FALSE))</f>
        <v>28.402211899981751</v>
      </c>
      <c r="S47" s="70">
        <f>IF(VLOOKUP($A47,raw[],COLUMN(S$1),FALSE)=0, VLOOKUP($D47, regions[], COLUMN(S$1), FALSE), VLOOKUP($A47,raw[],COLUMN(S$1),FALSE))</f>
        <v>68.40550531899035</v>
      </c>
      <c r="T47" s="70">
        <f>IF(VLOOKUP($A47,raw[],COLUMN(U$1)-COLUMN($A$1),FALSE)=0, VLOOKUP($D47, regions[], COLUMN(U$1)-COLUMN($A$1), FALSE), VLOOKUP($A47,raw[],COLUMN(U$1)-COLUMN($A$1),FALSE))</f>
        <v>74.017832655105821</v>
      </c>
      <c r="U47" s="70">
        <f>IF(VLOOKUP($A47,raw[],COLUMN(V$1)-COLUMN($A$1),FALSE)=0, VLOOKUP($D47, regions[], COLUMN(V$1)-COLUMN($A$1), FALSE), VLOOKUP($A47,raw[],COLUMN(V$1)-COLUMN($A$1),FALSE))</f>
        <v>71.440770571848645</v>
      </c>
      <c r="V47" s="70">
        <f>IF(VLOOKUP($A47,raw[],COLUMN(W$1)-COLUMN($A$1),FALSE)=0, VLOOKUP($D47, regions[], COLUMN(W$1)-COLUMN($A$1), FALSE), VLOOKUP($A47,raw[],COLUMN(W$1)-COLUMN($A$1),FALSE))</f>
        <v>5.343662356041821</v>
      </c>
      <c r="W47" s="70">
        <f>IF(VLOOKUP($A47,raw[],COLUMN(X$1)-COLUMN($A$1),FALSE)=0, VLOOKUP($D47, regions[], COLUMN(X$1)-COLUMN($A$1), FALSE), VLOOKUP($A47,raw[],COLUMN(X$1)-COLUMN($A$1),FALSE))</f>
        <v>9.4136623560418222</v>
      </c>
      <c r="X47" s="70">
        <f>IF(VLOOKUP($A47,raw[],COLUMN(Y$1)-COLUMN($A$1),FALSE)=0, VLOOKUP($D47, regions[], COLUMN(Y$1)-COLUMN($A$1), FALSE), VLOOKUP($A47,raw[],COLUMN(Y$1)-COLUMN($A$1),FALSE))</f>
        <v>4.9284745971400907</v>
      </c>
      <c r="Y47" s="70">
        <f>IF(VLOOKUP($A47,raw[],COLUMN(Z$1)-COLUMN($A$1),FALSE)=0, VLOOKUP($D47, regions[], COLUMN(Z$1)-COLUMN($A$1), FALSE), VLOOKUP($A47,raw[],COLUMN(Z$1)-COLUMN($A$1),FALSE))</f>
        <v>8.9984745971400919</v>
      </c>
      <c r="Z47" s="70">
        <f>IF(VLOOKUP($A47,raw[],COLUMN(AA$1)-COLUMN($A$1),FALSE)=0, VLOOKUP($D47, regions[], COLUMN(AA$1)-COLUMN($A$1), FALSE), VLOOKUP($A47,raw[],COLUMN(AA$1)-COLUMN($A$1),FALSE))</f>
        <v>8.992467386581751</v>
      </c>
      <c r="AA47" s="70">
        <f>IF(VLOOKUP($A47,raw[],COLUMN(AB$1)-COLUMN($A$1),FALSE)=0, VLOOKUP($D47, regions[], COLUMN(AB$1)-COLUMN($A$1), FALSE), VLOOKUP($A47,raw[],COLUMN(AB$1)-COLUMN($A$1),FALSE))</f>
        <v>5.5504457444917223</v>
      </c>
      <c r="AB47" s="70">
        <f>IF(VLOOKUP($A47,raw[],COLUMN(AC$1)-COLUMN($A$1),FALSE)=0, VLOOKUP($D47, regions[], COLUMN(AC$1)-COLUMN($A$1), FALSE), VLOOKUP($A47,raw[],COLUMN(AC$1)-COLUMN($A$1),FALSE))</f>
        <v>9.6204457444917217</v>
      </c>
      <c r="AC47" s="72">
        <f>IF(VLOOKUP($A47,raw[],COLUMN(AD$1)-COLUMN($A$1),FALSE)=0, VLOOKUP($D47, regions[], COLUMN(AD$1)-COLUMN($A$1), FALSE), VLOOKUP($A47,raw[],COLUMN(AD$1)-COLUMN($A$1),FALSE))</f>
        <v>9.3725400000000073E-3</v>
      </c>
      <c r="AD47" s="72">
        <f>IF(VLOOKUP($A47,raw[],COLUMN(AE$1)-COLUMN($A$1),FALSE)=0, VLOOKUP($D47, regions[], COLUMN(AE$1)-COLUMN($A$1), FALSE), VLOOKUP($A47,raw[],COLUMN(AE$1)-COLUMN($A$1),FALSE))</f>
        <v>1.9797553360777006E-4</v>
      </c>
      <c r="AE47" s="72">
        <f>IF(VLOOKUP($A47,raw[],COLUMN(AF$1)-COLUMN($A$1),FALSE)=0, VLOOKUP($D47, regions[], COLUMN(AF$1)-COLUMN($A$1), FALSE), VLOOKUP($A47,raw[],COLUMN(AF$1)-COLUMN($A$1),FALSE))</f>
        <v>2.0735409973811434E-4</v>
      </c>
      <c r="AF47" s="72">
        <f>IF(VLOOKUP($A47,raw[],COLUMN(AG$1)-COLUMN($A$1),FALSE)=0, VLOOKUP($D47, regions[], COLUMN(AG$1)-COLUMN($A$1), FALSE), VLOOKUP($A47,raw[],COLUMN(AG$1)-COLUMN($A$1),FALSE))</f>
        <v>2.4003638935156418E-4</v>
      </c>
      <c r="AG47" s="72">
        <f>IF(VLOOKUP($A47,raw[],COLUMN(AH$1)-COLUMN($A$1),FALSE)=0, VLOOKUP($D47, regions[], COLUMN(AH$1)-COLUMN($A$1), FALSE), VLOOKUP($A47,raw[],COLUMN(AH$1)-COLUMN($A$1),FALSE))</f>
        <v>4.5753167598254051E-4</v>
      </c>
      <c r="AH47" s="72">
        <f>IF(VLOOKUP($A47,raw[],COLUMN(AI$1)-COLUMN($A$1),FALSE)=0, VLOOKUP($D47, regions[], COLUMN(AI$1)-COLUMN($A$1), FALSE), VLOOKUP($A47,raw[],COLUMN(AI$1)-COLUMN($A$1),FALSE))</f>
        <v>7.6044483648193904E-4</v>
      </c>
      <c r="AI47" s="72">
        <f>IF(VLOOKUP($A47,raw[],COLUMN(AJ$1)-COLUMN($A$1),FALSE)=0, VLOOKUP($D47, regions[], COLUMN(AJ$1)-COLUMN($A$1), FALSE), VLOOKUP($A47,raw[],COLUMN(AJ$1)-COLUMN($A$1),FALSE))</f>
        <v>9.382859233619756E-4</v>
      </c>
      <c r="AJ47" s="72">
        <f>IF(VLOOKUP($A47,raw[],COLUMN(AK$1)-COLUMN($A$1),FALSE)=0, VLOOKUP($D47, regions[], COLUMN(AK$1)-COLUMN($A$1), FALSE), VLOOKUP($A47,raw[],COLUMN(AK$1)-COLUMN($A$1),FALSE))</f>
        <v>1.4003231053486603E-3</v>
      </c>
      <c r="AK47" s="72">
        <f>IF(VLOOKUP($A47,raw[],COLUMN(AL$1)-COLUMN($A$1),FALSE)=0, VLOOKUP($D47, regions[], COLUMN(AL$1)-COLUMN($A$1), FALSE), VLOOKUP($A47,raw[],COLUMN(AL$1)-COLUMN($A$1),FALSE))</f>
        <v>1.9889461737895805E-3</v>
      </c>
      <c r="AL47" s="72">
        <f>IF(VLOOKUP($A47,raw[],COLUMN(AM$1)-COLUMN($A$1),FALSE)=0, VLOOKUP($D47, regions[], COLUMN(AM$1)-COLUMN($A$1), FALSE), VLOOKUP($A47,raw[],COLUMN(AM$1)-COLUMN($A$1),FALSE))</f>
        <v>3.0774283108491989E-3</v>
      </c>
      <c r="AM47" s="72">
        <f>IF(VLOOKUP($A47,raw[],COLUMN(AN$1)-COLUMN($A$1),FALSE)=0, VLOOKUP($D47, regions[], COLUMN(AN$1)-COLUMN($A$1), FALSE), VLOOKUP($A47,raw[],COLUMN(AN$1)-COLUMN($A$1),FALSE))</f>
        <v>5.0342282800873482E-3</v>
      </c>
      <c r="AN47" s="72">
        <f>IF(VLOOKUP($A47,raw[],COLUMN(AO$1)-COLUMN($A$1),FALSE)=0, VLOOKUP($D47, regions[], COLUMN(AO$1)-COLUMN($A$1), FALSE), VLOOKUP($A47,raw[],COLUMN(AO$1)-COLUMN($A$1),FALSE))</f>
        <v>7.4128365925189869E-3</v>
      </c>
      <c r="AO47" s="72">
        <f>IF(VLOOKUP($A47,raw[],COLUMN(AP$1)-COLUMN($A$1),FALSE)=0, VLOOKUP($D47, regions[], COLUMN(AP$1)-COLUMN($A$1), FALSE), VLOOKUP($A47,raw[],COLUMN(AP$1)-COLUMN($A$1),FALSE))</f>
        <v>1.0913221897763821E-2</v>
      </c>
      <c r="AP47" s="72">
        <f>IF(VLOOKUP($A47,raw[],COLUMN(AQ$1)-COLUMN($A$1),FALSE)=0, VLOOKUP($D47, regions[], COLUMN(AQ$1)-COLUMN($A$1), FALSE), VLOOKUP($A47,raw[],COLUMN(AQ$1)-COLUMN($A$1),FALSE))</f>
        <v>1.5735986414418947E-2</v>
      </c>
      <c r="AQ47" s="72">
        <f>IF(VLOOKUP($A47,raw[],COLUMN(AR$1)-COLUMN($A$1),FALSE)=0, VLOOKUP($D47, regions[], COLUMN(AR$1)-COLUMN($A$1), FALSE), VLOOKUP($A47,raw[],COLUMN(AR$1)-COLUMN($A$1),FALSE))</f>
        <v>2.2391947554543861E-2</v>
      </c>
      <c r="AR47" s="72">
        <f>IF(VLOOKUP($A47,raw[],COLUMN(AS$1)-COLUMN($A$1),FALSE)=0, VLOOKUP($D47, regions[], COLUMN(AS$1)-COLUMN($A$1), FALSE), VLOOKUP($A47,raw[],COLUMN(AS$1)-COLUMN($A$1),FALSE))</f>
        <v>3.5964808161803266E-2</v>
      </c>
      <c r="AS47" s="72">
        <f>IF(VLOOKUP($A47,raw[],COLUMN(AT$1)-COLUMN($A$1),FALSE)=0, VLOOKUP($D47, regions[], COLUMN(AT$1)-COLUMN($A$1), FALSE), VLOOKUP($A47,raw[],COLUMN(AT$1)-COLUMN($A$1),FALSE))</f>
        <v>5.749216665832782E-2</v>
      </c>
      <c r="AT47" s="72">
        <f>IF(VLOOKUP($A47,raw[],COLUMN(AU$1)-COLUMN($A$1),FALSE)=0, VLOOKUP($D47, regions[], COLUMN(AU$1)-COLUMN($A$1), FALSE), VLOOKUP($A47,raw[],COLUMN(AU$1)-COLUMN($A$1),FALSE))</f>
        <v>8.5833556720407642E-2</v>
      </c>
      <c r="AU47" s="72">
        <f>IF(VLOOKUP($A47,raw[],COLUMN(AV$1)-COLUMN($A$1),FALSE)=0, VLOOKUP($D47, regions[], COLUMN(AV$1)-COLUMN($A$1), FALSE), VLOOKUP($A47,raw[],COLUMN(AV$1)-COLUMN($A$1),FALSE))</f>
        <v>0.11840450151830864</v>
      </c>
      <c r="AV47" s="72">
        <f>IF(VLOOKUP($A47,raw[],COLUMN(AW$1)-COLUMN($A$1),FALSE)=0, VLOOKUP($D47, regions[], COLUMN(AW$1)-COLUMN($A$1), FALSE), VLOOKUP($A47,raw[],COLUMN(AW$1)-COLUMN($A$1),FALSE))</f>
        <v>0.15124273128827495</v>
      </c>
      <c r="AW47" s="72">
        <f>IF(VLOOKUP($A47,raw[],COLUMN(AX$1)-COLUMN($A$1),FALSE)=0, VLOOKUP($D47, regions[], COLUMN(AX$1)-COLUMN($A$1), FALSE), VLOOKUP($A47,raw[],COLUMN(AX$1)-COLUMN($A$1),FALSE))</f>
        <v>0.17455391798157871</v>
      </c>
      <c r="AX47" s="72">
        <f>IF(VLOOKUP($A47,raw[],COLUMN(AY$1)-COLUMN($A$1),FALSE)=0, VLOOKUP($D47, regions[], COLUMN(AY$1)-COLUMN($A$1), FALSE), VLOOKUP($A47,raw[],COLUMN(AY$1)-COLUMN($A$1),FALSE))</f>
        <v>73.52</v>
      </c>
      <c r="AY47" t="str">
        <f t="shared" si="1"/>
        <v>No</v>
      </c>
    </row>
    <row r="48" spans="1:51" x14ac:dyDescent="0.25">
      <c r="A48" s="53" t="s">
        <v>316</v>
      </c>
      <c r="B48" s="54" t="s">
        <v>317</v>
      </c>
      <c r="C48" s="54">
        <v>288</v>
      </c>
      <c r="D48" s="54" t="s">
        <v>207</v>
      </c>
      <c r="E48" s="54" t="s">
        <v>235</v>
      </c>
      <c r="F48" s="54" t="s">
        <v>211</v>
      </c>
      <c r="G48" s="54" t="s">
        <v>212</v>
      </c>
      <c r="H48" s="73">
        <f>VLOOKUP(lmics[[#This Row],[setting]],raw[],8,FALSE)</f>
        <v>31072945</v>
      </c>
      <c r="I48" s="73">
        <f>VLOOKUP(lmics[[#This Row],[setting]],raw[],9,FALSE)</f>
        <v>918951.27543000004</v>
      </c>
      <c r="J48" s="67">
        <f>IF(VLOOKUP($A48,raw[],COLUMN(J$1),FALSE)=0, VLOOKUP($D48, regions[], COLUMN(J$1), FALSE), VLOOKUP($A48,raw[],COLUMN(J$1),FALSE))</f>
        <v>0.77900000000000003</v>
      </c>
      <c r="K48" s="77">
        <f>VLOOKUP($A48, raw[], 11, FALSE)</f>
        <v>0</v>
      </c>
      <c r="L48" s="77">
        <f>VLOOKUP($A48, raw[], 12, FALSE)</f>
        <v>0.94</v>
      </c>
      <c r="M48" s="77">
        <f>IF(VLOOKUP($A48,raw[],COLUMN(M$1),FALSE)=0, VLOOKUP($D48, regions[], COLUMN(M$1), FALSE), VLOOKUP($A48,raw[],COLUMN(M$1),FALSE))</f>
        <v>8.9700000000000002E-2</v>
      </c>
      <c r="N48" s="68">
        <f>IF(VLOOKUP($A48,raw[],COLUMN(N$1),FALSE)=0, VLOOKUP($D48, regions[], COLUMN(N$1), FALSE), VLOOKUP($A48,raw[],COLUMN(N$1),FALSE))</f>
        <v>0.28403638578377721</v>
      </c>
      <c r="O48" s="67">
        <f>IF(VLOOKUP($A48,raw[],COLUMN(O$1),FALSE)=0, VLOOKUP($D48, regions[], COLUMN(O$1), FALSE), VLOOKUP($A48,raw[],COLUMN(O$1),FALSE))</f>
        <v>0.38300000000000001</v>
      </c>
      <c r="P48" s="68">
        <f>IF(VLOOKUP($A48,raw[],COLUMN(P$1),FALSE)=0, VLOOKUP($D48, regions[], COLUMN(P$1), FALSE), VLOOKUP($A48,raw[],COLUMN(P$1),FALSE))</f>
        <v>4.8000000000000001E-2</v>
      </c>
      <c r="Q48" s="70">
        <f>IF(VLOOKUP($A48,raw[],COLUMN(Q$1),FALSE)=0, VLOOKUP($D48, regions[], COLUMN(Q$1), FALSE), VLOOKUP($A48,raw[],COLUMN(Q$1),FALSE))</f>
        <v>3.4731641176470598</v>
      </c>
      <c r="R48" s="70">
        <f>IF(VLOOKUP($A48,raw[],COLUMN(R$1),FALSE)=0, VLOOKUP($D48, regions[], COLUMN(R$1), FALSE), VLOOKUP($A48,raw[],COLUMN(R$1),FALSE))</f>
        <v>25.798544117647062</v>
      </c>
      <c r="S48" s="70">
        <f>IF(VLOOKUP($A48,raw[],COLUMN(S$1),FALSE)=0, VLOOKUP($D48, regions[], COLUMN(S$1), FALSE), VLOOKUP($A48,raw[],COLUMN(S$1),FALSE))</f>
        <v>57.58484947462955</v>
      </c>
      <c r="T48" s="70">
        <f>IF(VLOOKUP($A48,raw[],COLUMN(U$1)-COLUMN($A$1),FALSE)=0, VLOOKUP($D48, regions[], COLUMN(U$1)-COLUMN($A$1), FALSE), VLOOKUP($A48,raw[],COLUMN(U$1)-COLUMN($A$1),FALSE))</f>
        <v>58.920521717621952</v>
      </c>
      <c r="U48" s="70">
        <f>IF(VLOOKUP($A48,raw[],COLUMN(V$1)-COLUMN($A$1),FALSE)=0, VLOOKUP($D48, regions[], COLUMN(V$1)-COLUMN($A$1), FALSE), VLOOKUP($A48,raw[],COLUMN(V$1)-COLUMN($A$1),FALSE))</f>
        <v>58.307209256154366</v>
      </c>
      <c r="V48" s="70">
        <f>IF(VLOOKUP($A48,raw[],COLUMN(W$1)-COLUMN($A$1),FALSE)=0, VLOOKUP($D48, regions[], COLUMN(W$1)-COLUMN($A$1), FALSE), VLOOKUP($A48,raw[],COLUMN(W$1)-COLUMN($A$1),FALSE))</f>
        <v>3.557361288641625</v>
      </c>
      <c r="W48" s="70">
        <f>IF(VLOOKUP($A48,raw[],COLUMN(X$1)-COLUMN($A$1),FALSE)=0, VLOOKUP($D48, regions[], COLUMN(X$1)-COLUMN($A$1), FALSE), VLOOKUP($A48,raw[],COLUMN(X$1)-COLUMN($A$1),FALSE))</f>
        <v>8.3873612886416247</v>
      </c>
      <c r="X48" s="70">
        <f>IF(VLOOKUP($A48,raw[],COLUMN(Y$1)-COLUMN($A$1),FALSE)=0, VLOOKUP($D48, regions[], COLUMN(Y$1)-COLUMN($A$1), FALSE), VLOOKUP($A48,raw[],COLUMN(Y$1)-COLUMN($A$1),FALSE))</f>
        <v>3.143961292841694</v>
      </c>
      <c r="Y48" s="70">
        <f>IF(VLOOKUP($A48,raw[],COLUMN(Z$1)-COLUMN($A$1),FALSE)=0, VLOOKUP($D48, regions[], COLUMN(Z$1)-COLUMN($A$1), FALSE), VLOOKUP($A48,raw[],COLUMN(Z$1)-COLUMN($A$1),FALSE))</f>
        <v>7.9739612928416941</v>
      </c>
      <c r="Z48" s="70">
        <f>IF(VLOOKUP($A48,raw[],COLUMN(AA$1)-COLUMN($A$1),FALSE)=0, VLOOKUP($D48, regions[], COLUMN(AA$1)-COLUMN($A$1), FALSE), VLOOKUP($A48,raw[],COLUMN(AA$1)-COLUMN($A$1),FALSE))</f>
        <v>7.9692321557483421</v>
      </c>
      <c r="AA48" s="70">
        <f>IF(VLOOKUP($A48,raw[],COLUMN(AB$1)-COLUMN($A$1),FALSE)=0, VLOOKUP($D48, regions[], COLUMN(AB$1)-COLUMN($A$1), FALSE), VLOOKUP($A48,raw[],COLUMN(AB$1)-COLUMN($A$1),FALSE))</f>
        <v>3.7635073006813196</v>
      </c>
      <c r="AB48" s="70">
        <f>IF(VLOOKUP($A48,raw[],COLUMN(AC$1)-COLUMN($A$1),FALSE)=0, VLOOKUP($D48, regions[], COLUMN(AC$1)-COLUMN($A$1), FALSE), VLOOKUP($A48,raw[],COLUMN(AC$1)-COLUMN($A$1),FALSE))</f>
        <v>8.5935073006813205</v>
      </c>
      <c r="AC48" s="72">
        <f>IF(VLOOKUP($A48,raw[],COLUMN(AD$1)-COLUMN($A$1),FALSE)=0, VLOOKUP($D48, regions[], COLUMN(AD$1)-COLUMN($A$1), FALSE), VLOOKUP($A48,raw[],COLUMN(AD$1)-COLUMN($A$1),FALSE))</f>
        <v>3.5642599999999948E-2</v>
      </c>
      <c r="AD48" s="72">
        <f>IF(VLOOKUP($A48,raw[],COLUMN(AE$1)-COLUMN($A$1),FALSE)=0, VLOOKUP($D48, regions[], COLUMN(AE$1)-COLUMN($A$1), FALSE), VLOOKUP($A48,raw[],COLUMN(AE$1)-COLUMN($A$1),FALSE))</f>
        <v>4.149856681765509E-3</v>
      </c>
      <c r="AE48" s="72">
        <f>IF(VLOOKUP($A48,raw[],COLUMN(AF$1)-COLUMN($A$1),FALSE)=0, VLOOKUP($D48, regions[], COLUMN(AF$1)-COLUMN($A$1), FALSE), VLOOKUP($A48,raw[],COLUMN(AF$1)-COLUMN($A$1),FALSE))</f>
        <v>2.4289206759000818E-3</v>
      </c>
      <c r="AF48" s="72">
        <f>IF(VLOOKUP($A48,raw[],COLUMN(AG$1)-COLUMN($A$1),FALSE)=0, VLOOKUP($D48, regions[], COLUMN(AG$1)-COLUMN($A$1), FALSE), VLOOKUP($A48,raw[],COLUMN(AG$1)-COLUMN($A$1),FALSE))</f>
        <v>1.4780126761002475E-3</v>
      </c>
      <c r="AG48" s="72">
        <f>IF(VLOOKUP($A48,raw[],COLUMN(AH$1)-COLUMN($A$1),FALSE)=0, VLOOKUP($D48, regions[], COLUMN(AH$1)-COLUMN($A$1), FALSE), VLOOKUP($A48,raw[],COLUMN(AH$1)-COLUMN($A$1),FALSE))</f>
        <v>2.2701080527187663E-3</v>
      </c>
      <c r="AH48" s="72">
        <f>IF(VLOOKUP($A48,raw[],COLUMN(AI$1)-COLUMN($A$1),FALSE)=0, VLOOKUP($D48, regions[], COLUMN(AI$1)-COLUMN($A$1), FALSE), VLOOKUP($A48,raw[],COLUMN(AI$1)-COLUMN($A$1),FALSE))</f>
        <v>3.1965747429605808E-3</v>
      </c>
      <c r="AI48" s="72">
        <f>IF(VLOOKUP($A48,raw[],COLUMN(AJ$1)-COLUMN($A$1),FALSE)=0, VLOOKUP($D48, regions[], COLUMN(AJ$1)-COLUMN($A$1), FALSE), VLOOKUP($A48,raw[],COLUMN(AJ$1)-COLUMN($A$1),FALSE))</f>
        <v>3.4179442965405391E-3</v>
      </c>
      <c r="AJ48" s="72">
        <f>IF(VLOOKUP($A48,raw[],COLUMN(AK$1)-COLUMN($A$1),FALSE)=0, VLOOKUP($D48, regions[], COLUMN(AK$1)-COLUMN($A$1), FALSE), VLOOKUP($A48,raw[],COLUMN(AK$1)-COLUMN($A$1),FALSE))</f>
        <v>3.7990990910748736E-3</v>
      </c>
      <c r="AK48" s="72">
        <f>IF(VLOOKUP($A48,raw[],COLUMN(AL$1)-COLUMN($A$1),FALSE)=0, VLOOKUP($D48, regions[], COLUMN(AL$1)-COLUMN($A$1), FALSE), VLOOKUP($A48,raw[],COLUMN(AL$1)-COLUMN($A$1),FALSE))</f>
        <v>4.3840796455411864E-3</v>
      </c>
      <c r="AL48" s="72">
        <f>IF(VLOOKUP($A48,raw[],COLUMN(AM$1)-COLUMN($A$1),FALSE)=0, VLOOKUP($D48, regions[], COLUMN(AM$1)-COLUMN($A$1), FALSE), VLOOKUP($A48,raw[],COLUMN(AM$1)-COLUMN($A$1),FALSE))</f>
        <v>5.4620319673887507E-3</v>
      </c>
      <c r="AM48" s="72">
        <f>IF(VLOOKUP($A48,raw[],COLUMN(AN$1)-COLUMN($A$1),FALSE)=0, VLOOKUP($D48, regions[], COLUMN(AN$1)-COLUMN($A$1), FALSE), VLOOKUP($A48,raw[],COLUMN(AN$1)-COLUMN($A$1),FALSE))</f>
        <v>6.9136575860238936E-3</v>
      </c>
      <c r="AN48" s="72">
        <f>IF(VLOOKUP($A48,raw[],COLUMN(AO$1)-COLUMN($A$1),FALSE)=0, VLOOKUP($D48, regions[], COLUMN(AO$1)-COLUMN($A$1), FALSE), VLOOKUP($A48,raw[],COLUMN(AO$1)-COLUMN($A$1),FALSE))</f>
        <v>9.7826339431338512E-3</v>
      </c>
      <c r="AO48" s="72">
        <f>IF(VLOOKUP($A48,raw[],COLUMN(AP$1)-COLUMN($A$1),FALSE)=0, VLOOKUP($D48, regions[], COLUMN(AP$1)-COLUMN($A$1), FALSE), VLOOKUP($A48,raw[],COLUMN(AP$1)-COLUMN($A$1),FALSE))</f>
        <v>1.3975423628321094E-2</v>
      </c>
      <c r="AP48" s="72">
        <f>IF(VLOOKUP($A48,raw[],COLUMN(AQ$1)-COLUMN($A$1),FALSE)=0, VLOOKUP($D48, regions[], COLUMN(AQ$1)-COLUMN($A$1), FALSE), VLOOKUP($A48,raw[],COLUMN(AQ$1)-COLUMN($A$1),FALSE))</f>
        <v>2.1658255532280242E-2</v>
      </c>
      <c r="AQ48" s="72">
        <f>IF(VLOOKUP($A48,raw[],COLUMN(AR$1)-COLUMN($A$1),FALSE)=0, VLOOKUP($D48, regions[], COLUMN(AR$1)-COLUMN($A$1), FALSE), VLOOKUP($A48,raw[],COLUMN(AR$1)-COLUMN($A$1),FALSE))</f>
        <v>3.3396493720368937E-2</v>
      </c>
      <c r="AR48" s="72">
        <f>IF(VLOOKUP($A48,raw[],COLUMN(AS$1)-COLUMN($A$1),FALSE)=0, VLOOKUP($D48, regions[], COLUMN(AS$1)-COLUMN($A$1), FALSE), VLOOKUP($A48,raw[],COLUMN(AS$1)-COLUMN($A$1),FALSE))</f>
        <v>5.3643305615802127E-2</v>
      </c>
      <c r="AS48" s="72">
        <f>IF(VLOOKUP($A48,raw[],COLUMN(AT$1)-COLUMN($A$1),FALSE)=0, VLOOKUP($D48, regions[], COLUMN(AT$1)-COLUMN($A$1), FALSE), VLOOKUP($A48,raw[],COLUMN(AT$1)-COLUMN($A$1),FALSE))</f>
        <v>8.2942202743849419E-2</v>
      </c>
      <c r="AT48" s="72">
        <f>IF(VLOOKUP($A48,raw[],COLUMN(AU$1)-COLUMN($A$1),FALSE)=0, VLOOKUP($D48, regions[], COLUMN(AU$1)-COLUMN($A$1), FALSE), VLOOKUP($A48,raw[],COLUMN(AU$1)-COLUMN($A$1),FALSE))</f>
        <v>0.11649930948760615</v>
      </c>
      <c r="AU48" s="72">
        <f>IF(VLOOKUP($A48,raw[],COLUMN(AV$1)-COLUMN($A$1),FALSE)=0, VLOOKUP($D48, regions[], COLUMN(AV$1)-COLUMN($A$1), FALSE), VLOOKUP($A48,raw[],COLUMN(AV$1)-COLUMN($A$1),FALSE))</f>
        <v>0.14710779935977858</v>
      </c>
      <c r="AV48" s="72">
        <f>IF(VLOOKUP($A48,raw[],COLUMN(AW$1)-COLUMN($A$1),FALSE)=0, VLOOKUP($D48, regions[], COLUMN(AW$1)-COLUMN($A$1), FALSE), VLOOKUP($A48,raw[],COLUMN(AW$1)-COLUMN($A$1),FALSE))</f>
        <v>0.16969064515389221</v>
      </c>
      <c r="AW48" s="72">
        <f>IF(VLOOKUP($A48,raw[],COLUMN(AX$1)-COLUMN($A$1),FALSE)=0, VLOOKUP($D48, regions[], COLUMN(AX$1)-COLUMN($A$1), FALSE), VLOOKUP($A48,raw[],COLUMN(AX$1)-COLUMN($A$1),FALSE))</f>
        <v>0.18507690604955032</v>
      </c>
      <c r="AX48" s="72">
        <f>IF(VLOOKUP($A48,raw[],COLUMN(AY$1)-COLUMN($A$1),FALSE)=0, VLOOKUP($D48, regions[], COLUMN(AY$1)-COLUMN($A$1), FALSE), VLOOKUP($A48,raw[],COLUMN(AY$1)-COLUMN($A$1),FALSE))</f>
        <v>63.652000000000001</v>
      </c>
      <c r="AY48" t="str">
        <f t="shared" si="1"/>
        <v>Yes</v>
      </c>
    </row>
    <row r="49" spans="1:51" x14ac:dyDescent="0.25">
      <c r="A49" s="55" t="s">
        <v>318</v>
      </c>
      <c r="B49" s="56" t="s">
        <v>319</v>
      </c>
      <c r="C49" s="56">
        <v>308</v>
      </c>
      <c r="D49" s="56" t="s">
        <v>215</v>
      </c>
      <c r="E49" s="56" t="s">
        <v>232</v>
      </c>
      <c r="F49" s="56" t="s">
        <v>217</v>
      </c>
      <c r="G49" s="56" t="s">
        <v>204</v>
      </c>
      <c r="H49" s="74">
        <f>VLOOKUP(lmics[[#This Row],[setting]],raw[],8,FALSE)</f>
        <v>112519</v>
      </c>
      <c r="I49" s="74">
        <f>VLOOKUP(lmics[[#This Row],[setting]],raw[],9,FALSE)</f>
        <v>1867.3653240000001</v>
      </c>
      <c r="J49" s="67">
        <f>IF(VLOOKUP($A49,raw[],COLUMN(J$1),FALSE)=0, VLOOKUP($D49, regions[], COLUMN(J$1), FALSE), VLOOKUP($A49,raw[],COLUMN(J$1),FALSE))</f>
        <v>0.95826653638323966</v>
      </c>
      <c r="K49" s="77">
        <f>VLOOKUP($A49, raw[], 11, FALSE)</f>
        <v>0.92</v>
      </c>
      <c r="L49" s="77">
        <f>VLOOKUP($A49, raw[], 12, FALSE)</f>
        <v>0.72</v>
      </c>
      <c r="M49" s="77">
        <f>IF(VLOOKUP($A49,raw[],COLUMN(M$1),FALSE)=0, VLOOKUP($D49, regions[], COLUMN(M$1), FALSE), VLOOKUP($A49,raw[],COLUMN(M$1),FALSE))</f>
        <v>1.2199999999999999E-2</v>
      </c>
      <c r="N49" s="68">
        <f>IF(VLOOKUP($A49,raw[],COLUMN(N$1),FALSE)=0, VLOOKUP($D49, regions[], COLUMN(N$1), FALSE), VLOOKUP($A49,raw[],COLUMN(N$1),FALSE))</f>
        <v>0.29613894314236111</v>
      </c>
      <c r="O49" s="67">
        <f>IF(VLOOKUP($A49,raw[],COLUMN(O$1),FALSE)=0, VLOOKUP($D49, regions[], COLUMN(O$1), FALSE), VLOOKUP($A49,raw[],COLUMN(O$1),FALSE))</f>
        <v>0.8</v>
      </c>
      <c r="P49" s="68">
        <f>IF(VLOOKUP($A49,raw[],COLUMN(P$1),FALSE)=0, VLOOKUP($D49, regions[], COLUMN(P$1), FALSE), VLOOKUP($A49,raw[],COLUMN(P$1),FALSE))</f>
        <v>0.17499999999999999</v>
      </c>
      <c r="Q49" s="70">
        <f>IF(VLOOKUP($A49,raw[],COLUMN(Q$1),FALSE)=0, VLOOKUP($D49, regions[], COLUMN(Q$1), FALSE), VLOOKUP($A49,raw[],COLUMN(Q$1),FALSE))</f>
        <v>13.4618579566612</v>
      </c>
      <c r="R49" s="70">
        <f>IF(VLOOKUP($A49,raw[],COLUMN(R$1),FALSE)=0, VLOOKUP($D49, regions[], COLUMN(R$1), FALSE), VLOOKUP($A49,raw[],COLUMN(R$1),FALSE))</f>
        <v>35.787237956661201</v>
      </c>
      <c r="S49" s="70">
        <f>IF(VLOOKUP($A49,raw[],COLUMN(S$1),FALSE)=0, VLOOKUP($D49, regions[], COLUMN(S$1), FALSE), VLOOKUP($A49,raw[],COLUMN(S$1),FALSE))</f>
        <v>104.11710060942646</v>
      </c>
      <c r="T49" s="70">
        <f>IF(VLOOKUP($A49,raw[],COLUMN(U$1)-COLUMN($A$1),FALSE)=0, VLOOKUP($D49, regions[], COLUMN(U$1)-COLUMN($A$1), FALSE), VLOOKUP($A49,raw[],COLUMN(U$1)-COLUMN($A$1),FALSE))</f>
        <v>124.47241718561369</v>
      </c>
      <c r="U49" s="70">
        <f>IF(VLOOKUP($A49,raw[],COLUMN(V$1)-COLUMN($A$1),FALSE)=0, VLOOKUP($D49, regions[], COLUMN(V$1)-COLUMN($A$1), FALSE), VLOOKUP($A49,raw[],COLUMN(V$1)-COLUMN($A$1),FALSE))</f>
        <v>115.12568607040831</v>
      </c>
      <c r="V49" s="70">
        <f>IF(VLOOKUP($A49,raw[],COLUMN(W$1)-COLUMN($A$1),FALSE)=0, VLOOKUP($D49, regions[], COLUMN(W$1)-COLUMN($A$1), FALSE), VLOOKUP($A49,raw[],COLUMN(W$1)-COLUMN($A$1),FALSE))</f>
        <v>16.49026191818291</v>
      </c>
      <c r="W49" s="70">
        <f>IF(VLOOKUP($A49,raw[],COLUMN(X$1)-COLUMN($A$1),FALSE)=0, VLOOKUP($D49, regions[], COLUMN(X$1)-COLUMN($A$1), FALSE), VLOOKUP($A49,raw[],COLUMN(X$1)-COLUMN($A$1),FALSE))</f>
        <v>16.510261918182909</v>
      </c>
      <c r="X49" s="70">
        <f>IF(VLOOKUP($A49,raw[],COLUMN(Y$1)-COLUMN($A$1),FALSE)=0, VLOOKUP($D49, regions[], COLUMN(Y$1)-COLUMN($A$1), FALSE), VLOOKUP($A49,raw[],COLUMN(Y$1)-COLUMN($A$1),FALSE))</f>
        <v>16.061026672472742</v>
      </c>
      <c r="Y49" s="70">
        <f>IF(VLOOKUP($A49,raw[],COLUMN(Z$1)-COLUMN($A$1),FALSE)=0, VLOOKUP($D49, regions[], COLUMN(Z$1)-COLUMN($A$1), FALSE), VLOOKUP($A49,raw[],COLUMN(Z$1)-COLUMN($A$1),FALSE))</f>
        <v>16.081026672472742</v>
      </c>
      <c r="Z49" s="70">
        <f>IF(VLOOKUP($A49,raw[],COLUMN(AA$1)-COLUMN($A$1),FALSE)=0, VLOOKUP($D49, regions[], COLUMN(AA$1)-COLUMN($A$1), FALSE), VLOOKUP($A49,raw[],COLUMN(AA$1)-COLUMN($A$1),FALSE))</f>
        <v>16.070257008107504</v>
      </c>
      <c r="AA49" s="70">
        <f>IF(VLOOKUP($A49,raw[],COLUMN(AB$1)-COLUMN($A$1),FALSE)=0, VLOOKUP($D49, regions[], COLUMN(AB$1)-COLUMN($A$1), FALSE), VLOOKUP($A49,raw[],COLUMN(AB$1)-COLUMN($A$1),FALSE))</f>
        <v>16.702053541060167</v>
      </c>
      <c r="AB49" s="70">
        <f>IF(VLOOKUP($A49,raw[],COLUMN(AC$1)-COLUMN($A$1),FALSE)=0, VLOOKUP($D49, regions[], COLUMN(AC$1)-COLUMN($A$1), FALSE), VLOOKUP($A49,raw[],COLUMN(AC$1)-COLUMN($A$1),FALSE))</f>
        <v>16.722053541060166</v>
      </c>
      <c r="AC49" s="72">
        <f>IF(VLOOKUP($A49,raw[],COLUMN(AD$1)-COLUMN($A$1),FALSE)=0, VLOOKUP($D49, regions[], COLUMN(AD$1)-COLUMN($A$1), FALSE), VLOOKUP($A49,raw[],COLUMN(AD$1)-COLUMN($A$1),FALSE))</f>
        <v>1.4997749999999942E-2</v>
      </c>
      <c r="AD49" s="72">
        <f>IF(VLOOKUP($A49,raw[],COLUMN(AE$1)-COLUMN($A$1),FALSE)=0, VLOOKUP($D49, regions[], COLUMN(AE$1)-COLUMN($A$1), FALSE), VLOOKUP($A49,raw[],COLUMN(AE$1)-COLUMN($A$1),FALSE))</f>
        <v>3.6735449081464562E-4</v>
      </c>
      <c r="AE49" s="72">
        <f>IF(VLOOKUP($A49,raw[],COLUMN(AF$1)-COLUMN($A$1),FALSE)=0, VLOOKUP($D49, regions[], COLUMN(AF$1)-COLUMN($A$1), FALSE), VLOOKUP($A49,raw[],COLUMN(AF$1)-COLUMN($A$1),FALSE))</f>
        <v>3.8824880202159074E-4</v>
      </c>
      <c r="AF49" s="72">
        <f>IF(VLOOKUP($A49,raw[],COLUMN(AG$1)-COLUMN($A$1),FALSE)=0, VLOOKUP($D49, regions[], COLUMN(AG$1)-COLUMN($A$1), FALSE), VLOOKUP($A49,raw[],COLUMN(AG$1)-COLUMN($A$1),FALSE))</f>
        <v>3.6831624204885594E-4</v>
      </c>
      <c r="AG49" s="72">
        <f>IF(VLOOKUP($A49,raw[],COLUMN(AH$1)-COLUMN($A$1),FALSE)=0, VLOOKUP($D49, regions[], COLUMN(AH$1)-COLUMN($A$1), FALSE), VLOOKUP($A49,raw[],COLUMN(AH$1)-COLUMN($A$1),FALSE))</f>
        <v>8.6481254953050981E-4</v>
      </c>
      <c r="AH49" s="72">
        <f>IF(VLOOKUP($A49,raw[],COLUMN(AI$1)-COLUMN($A$1),FALSE)=0, VLOOKUP($D49, regions[], COLUMN(AI$1)-COLUMN($A$1), FALSE), VLOOKUP($A49,raw[],COLUMN(AI$1)-COLUMN($A$1),FALSE))</f>
        <v>1.1755032326795176E-3</v>
      </c>
      <c r="AI49" s="72">
        <f>IF(VLOOKUP($A49,raw[],COLUMN(AJ$1)-COLUMN($A$1),FALSE)=0, VLOOKUP($D49, regions[], COLUMN(AJ$1)-COLUMN($A$1), FALSE), VLOOKUP($A49,raw[],COLUMN(AJ$1)-COLUMN($A$1),FALSE))</f>
        <v>1.261220638983001E-3</v>
      </c>
      <c r="AJ49" s="72">
        <f>IF(VLOOKUP($A49,raw[],COLUMN(AK$1)-COLUMN($A$1),FALSE)=0, VLOOKUP($D49, regions[], COLUMN(AK$1)-COLUMN($A$1), FALSE), VLOOKUP($A49,raw[],COLUMN(AK$1)-COLUMN($A$1),FALSE))</f>
        <v>1.5091060374845919E-3</v>
      </c>
      <c r="AK49" s="72">
        <f>IF(VLOOKUP($A49,raw[],COLUMN(AL$1)-COLUMN($A$1),FALSE)=0, VLOOKUP($D49, regions[], COLUMN(AL$1)-COLUMN($A$1), FALSE), VLOOKUP($A49,raw[],COLUMN(AL$1)-COLUMN($A$1),FALSE))</f>
        <v>2.0339689951691491E-3</v>
      </c>
      <c r="AL49" s="72">
        <f>IF(VLOOKUP($A49,raw[],COLUMN(AM$1)-COLUMN($A$1),FALSE)=0, VLOOKUP($D49, regions[], COLUMN(AM$1)-COLUMN($A$1), FALSE), VLOOKUP($A49,raw[],COLUMN(AM$1)-COLUMN($A$1),FALSE))</f>
        <v>2.9493189580010646E-3</v>
      </c>
      <c r="AM49" s="72">
        <f>IF(VLOOKUP($A49,raw[],COLUMN(AN$1)-COLUMN($A$1),FALSE)=0, VLOOKUP($D49, regions[], COLUMN(AN$1)-COLUMN($A$1), FALSE), VLOOKUP($A49,raw[],COLUMN(AN$1)-COLUMN($A$1),FALSE))</f>
        <v>4.5325803150417527E-3</v>
      </c>
      <c r="AN49" s="72">
        <f>IF(VLOOKUP($A49,raw[],COLUMN(AO$1)-COLUMN($A$1),FALSE)=0, VLOOKUP($D49, regions[], COLUMN(AO$1)-COLUMN($A$1), FALSE), VLOOKUP($A49,raw[],COLUMN(AO$1)-COLUMN($A$1),FALSE))</f>
        <v>6.9671995741876248E-3</v>
      </c>
      <c r="AO49" s="72">
        <f>IF(VLOOKUP($A49,raw[],COLUMN(AP$1)-COLUMN($A$1),FALSE)=0, VLOOKUP($D49, regions[], COLUMN(AP$1)-COLUMN($A$1), FALSE), VLOOKUP($A49,raw[],COLUMN(AP$1)-COLUMN($A$1),FALSE))</f>
        <v>1.0670981013797255E-2</v>
      </c>
      <c r="AP49" s="72">
        <f>IF(VLOOKUP($A49,raw[],COLUMN(AQ$1)-COLUMN($A$1),FALSE)=0, VLOOKUP($D49, regions[], COLUMN(AQ$1)-COLUMN($A$1), FALSE), VLOOKUP($A49,raw[],COLUMN(AQ$1)-COLUMN($A$1),FALSE))</f>
        <v>1.6546205211132935E-2</v>
      </c>
      <c r="AQ49" s="72">
        <f>IF(VLOOKUP($A49,raw[],COLUMN(AR$1)-COLUMN($A$1),FALSE)=0, VLOOKUP($D49, regions[], COLUMN(AR$1)-COLUMN($A$1), FALSE), VLOOKUP($A49,raw[],COLUMN(AR$1)-COLUMN($A$1),FALSE))</f>
        <v>2.5387032279184138E-2</v>
      </c>
      <c r="AR49" s="72">
        <f>IF(VLOOKUP($A49,raw[],COLUMN(AS$1)-COLUMN($A$1),FALSE)=0, VLOOKUP($D49, regions[], COLUMN(AS$1)-COLUMN($A$1), FALSE), VLOOKUP($A49,raw[],COLUMN(AS$1)-COLUMN($A$1),FALSE))</f>
        <v>3.8551274376297302E-2</v>
      </c>
      <c r="AS49" s="72">
        <f>IF(VLOOKUP($A49,raw[],COLUMN(AT$1)-COLUMN($A$1),FALSE)=0, VLOOKUP($D49, regions[], COLUMN(AT$1)-COLUMN($A$1), FALSE), VLOOKUP($A49,raw[],COLUMN(AT$1)-COLUMN($A$1),FALSE))</f>
        <v>5.9001782501401222E-2</v>
      </c>
      <c r="AT49" s="72">
        <f>IF(VLOOKUP($A49,raw[],COLUMN(AU$1)-COLUMN($A$1),FALSE)=0, VLOOKUP($D49, regions[], COLUMN(AU$1)-COLUMN($A$1), FALSE), VLOOKUP($A49,raw[],COLUMN(AU$1)-COLUMN($A$1),FALSE))</f>
        <v>8.7282692380791893E-2</v>
      </c>
      <c r="AU49" s="72">
        <f>IF(VLOOKUP($A49,raw[],COLUMN(AV$1)-COLUMN($A$1),FALSE)=0, VLOOKUP($D49, regions[], COLUMN(AV$1)-COLUMN($A$1), FALSE), VLOOKUP($A49,raw[],COLUMN(AV$1)-COLUMN($A$1),FALSE))</f>
        <v>0.12067409114223994</v>
      </c>
      <c r="AV49" s="72">
        <f>IF(VLOOKUP($A49,raw[],COLUMN(AW$1)-COLUMN($A$1),FALSE)=0, VLOOKUP($D49, regions[], COLUMN(AW$1)-COLUMN($A$1), FALSE), VLOOKUP($A49,raw[],COLUMN(AW$1)-COLUMN($A$1),FALSE))</f>
        <v>0.15141543034416774</v>
      </c>
      <c r="AW49" s="72">
        <f>IF(VLOOKUP($A49,raw[],COLUMN(AX$1)-COLUMN($A$1),FALSE)=0, VLOOKUP($D49, regions[], COLUMN(AX$1)-COLUMN($A$1), FALSE), VLOOKUP($A49,raw[],COLUMN(AX$1)-COLUMN($A$1),FALSE))</f>
        <v>0.17455656914973092</v>
      </c>
      <c r="AX49" s="72">
        <f>IF(VLOOKUP($A49,raw[],COLUMN(AY$1)-COLUMN($A$1),FALSE)=0, VLOOKUP($D49, regions[], COLUMN(AY$1)-COLUMN($A$1), FALSE), VLOOKUP($A49,raw[],COLUMN(AY$1)-COLUMN($A$1),FALSE))</f>
        <v>72.393000000000001</v>
      </c>
      <c r="AY49" t="str">
        <f t="shared" si="1"/>
        <v>No</v>
      </c>
    </row>
    <row r="50" spans="1:51" x14ac:dyDescent="0.25">
      <c r="A50" s="53" t="s">
        <v>320</v>
      </c>
      <c r="B50" s="54" t="s">
        <v>321</v>
      </c>
      <c r="C50" s="54">
        <v>320</v>
      </c>
      <c r="D50" s="54" t="s">
        <v>215</v>
      </c>
      <c r="E50" s="54" t="s">
        <v>274</v>
      </c>
      <c r="F50" s="54" t="s">
        <v>217</v>
      </c>
      <c r="G50" s="54" t="s">
        <v>204</v>
      </c>
      <c r="H50" s="73">
        <f>VLOOKUP(lmics[[#This Row],[setting]],raw[],8,FALSE)</f>
        <v>17915567</v>
      </c>
      <c r="I50" s="73">
        <f>VLOOKUP(lmics[[#This Row],[setting]],raw[],9,FALSE)</f>
        <v>443625.27005399996</v>
      </c>
      <c r="J50" s="67">
        <f>IF(VLOOKUP($A50,raw[],COLUMN(J$1),FALSE)=0, VLOOKUP($D50, regions[], COLUMN(J$1), FALSE), VLOOKUP($A50,raw[],COLUMN(J$1),FALSE))</f>
        <v>0.65</v>
      </c>
      <c r="K50" s="77">
        <f>VLOOKUP($A50, raw[], 11, FALSE)</f>
        <v>0.48</v>
      </c>
      <c r="L50" s="77">
        <f>VLOOKUP($A50, raw[], 12, FALSE)</f>
        <v>0.89</v>
      </c>
      <c r="M50" s="77">
        <f>IF(VLOOKUP($A50,raw[],COLUMN(M$1),FALSE)=0, VLOOKUP($D50, regions[], COLUMN(M$1), FALSE), VLOOKUP($A50,raw[],COLUMN(M$1),FALSE))</f>
        <v>2.3999999999999998E-3</v>
      </c>
      <c r="N50" s="68">
        <f>IF(VLOOKUP($A50,raw[],COLUMN(N$1),FALSE)=0, VLOOKUP($D50, regions[], COLUMN(N$1), FALSE), VLOOKUP($A50,raw[],COLUMN(N$1),FALSE))</f>
        <v>0.30839295792692983</v>
      </c>
      <c r="O50" s="67">
        <f>IF(VLOOKUP($A50,raw[],COLUMN(O$1),FALSE)=0, VLOOKUP($D50, regions[], COLUMN(O$1), FALSE), VLOOKUP($A50,raw[],COLUMN(O$1),FALSE))</f>
        <v>0.8</v>
      </c>
      <c r="P50" s="68">
        <f>IF(VLOOKUP($A50,raw[],COLUMN(P$1),FALSE)=0, VLOOKUP($D50, regions[], COLUMN(P$1), FALSE), VLOOKUP($A50,raw[],COLUMN(P$1),FALSE))</f>
        <v>0.17499999999999999</v>
      </c>
      <c r="Q50" s="70">
        <f>IF(VLOOKUP($A50,raw[],COLUMN(Q$1),FALSE)=0, VLOOKUP($D50, regions[], COLUMN(Q$1), FALSE), VLOOKUP($A50,raw[],COLUMN(Q$1),FALSE))</f>
        <v>5.68497528201069</v>
      </c>
      <c r="R50" s="70">
        <f>IF(VLOOKUP($A50,raw[],COLUMN(R$1),FALSE)=0, VLOOKUP($D50, regions[], COLUMN(R$1), FALSE), VLOOKUP($A50,raw[],COLUMN(R$1),FALSE))</f>
        <v>28.010355282010693</v>
      </c>
      <c r="S50" s="70">
        <f>IF(VLOOKUP($A50,raw[],COLUMN(S$1),FALSE)=0, VLOOKUP($D50, regions[], COLUMN(S$1), FALSE), VLOOKUP($A50,raw[],COLUMN(S$1),FALSE))</f>
        <v>66.735458959374839</v>
      </c>
      <c r="T50" s="70">
        <f>IF(VLOOKUP($A50,raw[],COLUMN(U$1)-COLUMN($A$1),FALSE)=0, VLOOKUP($D50, regions[], COLUMN(U$1)-COLUMN($A$1), FALSE), VLOOKUP($A50,raw[],COLUMN(U$1)-COLUMN($A$1),FALSE))</f>
        <v>71.682533209162528</v>
      </c>
      <c r="U50" s="70">
        <f>IF(VLOOKUP($A50,raw[],COLUMN(V$1)-COLUMN($A$1),FALSE)=0, VLOOKUP($D50, regions[], COLUMN(V$1)-COLUMN($A$1), FALSE), VLOOKUP($A50,raw[],COLUMN(V$1)-COLUMN($A$1),FALSE))</f>
        <v>69.410941281488221</v>
      </c>
      <c r="V50" s="70">
        <f>IF(VLOOKUP($A50,raw[],COLUMN(W$1)-COLUMN($A$1),FALSE)=0, VLOOKUP($D50, regions[], COLUMN(W$1)-COLUMN($A$1), FALSE), VLOOKUP($A50,raw[],COLUMN(W$1)-COLUMN($A$1),FALSE))</f>
        <v>3.3271000081060298</v>
      </c>
      <c r="W50" s="70">
        <f>IF(VLOOKUP($A50,raw[],COLUMN(X$1)-COLUMN($A$1),FALSE)=0, VLOOKUP($D50, regions[], COLUMN(X$1)-COLUMN($A$1), FALSE), VLOOKUP($A50,raw[],COLUMN(X$1)-COLUMN($A$1),FALSE))</f>
        <v>3.3471000081060298</v>
      </c>
      <c r="X50" s="70">
        <f>IF(VLOOKUP($A50,raw[],COLUMN(Y$1)-COLUMN($A$1),FALSE)=0, VLOOKUP($D50, regions[], COLUMN(Y$1)-COLUMN($A$1), FALSE), VLOOKUP($A50,raw[],COLUMN(Y$1)-COLUMN($A$1),FALSE))</f>
        <v>2.9100975959498281</v>
      </c>
      <c r="Y50" s="70">
        <f>IF(VLOOKUP($A50,raw[],COLUMN(Z$1)-COLUMN($A$1),FALSE)=0, VLOOKUP($D50, regions[], COLUMN(Z$1)-COLUMN($A$1), FALSE), VLOOKUP($A50,raw[],COLUMN(Z$1)-COLUMN($A$1),FALSE))</f>
        <v>2.9300975959498281</v>
      </c>
      <c r="Z50" s="70">
        <f>IF(VLOOKUP($A50,raw[],COLUMN(AA$1)-COLUMN($A$1),FALSE)=0, VLOOKUP($D50, regions[], COLUMN(AA$1)-COLUMN($A$1), FALSE), VLOOKUP($A50,raw[],COLUMN(AA$1)-COLUMN($A$1),FALSE))</f>
        <v>2.9230046721316496</v>
      </c>
      <c r="AA50" s="70">
        <f>IF(VLOOKUP($A50,raw[],COLUMN(AB$1)-COLUMN($A$1),FALSE)=0, VLOOKUP($D50, regions[], COLUMN(AB$1)-COLUMN($A$1), FALSE), VLOOKUP($A50,raw[],COLUMN(AB$1)-COLUMN($A$1),FALSE))</f>
        <v>3.5345303598901334</v>
      </c>
      <c r="AB50" s="70">
        <f>IF(VLOOKUP($A50,raw[],COLUMN(AC$1)-COLUMN($A$1),FALSE)=0, VLOOKUP($D50, regions[], COLUMN(AC$1)-COLUMN($A$1), FALSE), VLOOKUP($A50,raw[],COLUMN(AC$1)-COLUMN($A$1),FALSE))</f>
        <v>3.5545303598901334</v>
      </c>
      <c r="AC50" s="72">
        <f>IF(VLOOKUP($A50,raw[],COLUMN(AD$1)-COLUMN($A$1),FALSE)=0, VLOOKUP($D50, regions[], COLUMN(AD$1)-COLUMN($A$1), FALSE), VLOOKUP($A50,raw[],COLUMN(AD$1)-COLUMN($A$1),FALSE))</f>
        <v>2.0742189999999973E-2</v>
      </c>
      <c r="AD50" s="72">
        <f>IF(VLOOKUP($A50,raw[],COLUMN(AE$1)-COLUMN($A$1),FALSE)=0, VLOOKUP($D50, regions[], COLUMN(AE$1)-COLUMN($A$1), FALSE), VLOOKUP($A50,raw[],COLUMN(AE$1)-COLUMN($A$1),FALSE))</f>
        <v>1.368431771812982E-3</v>
      </c>
      <c r="AE50" s="72">
        <f>IF(VLOOKUP($A50,raw[],COLUMN(AF$1)-COLUMN($A$1),FALSE)=0, VLOOKUP($D50, regions[], COLUMN(AF$1)-COLUMN($A$1), FALSE), VLOOKUP($A50,raw[],COLUMN(AF$1)-COLUMN($A$1),FALSE))</f>
        <v>3.6245288288105519E-4</v>
      </c>
      <c r="AF50" s="72">
        <f>IF(VLOOKUP($A50,raw[],COLUMN(AG$1)-COLUMN($A$1),FALSE)=0, VLOOKUP($D50, regions[], COLUMN(AG$1)-COLUMN($A$1), FALSE), VLOOKUP($A50,raw[],COLUMN(AG$1)-COLUMN($A$1),FALSE))</f>
        <v>5.2137122931350153E-4</v>
      </c>
      <c r="AG50" s="72">
        <f>IF(VLOOKUP($A50,raw[],COLUMN(AH$1)-COLUMN($A$1),FALSE)=0, VLOOKUP($D50, regions[], COLUMN(AH$1)-COLUMN($A$1), FALSE), VLOOKUP($A50,raw[],COLUMN(AH$1)-COLUMN($A$1),FALSE))</f>
        <v>1.1096552392384836E-3</v>
      </c>
      <c r="AH50" s="72">
        <f>IF(VLOOKUP($A50,raw[],COLUMN(AI$1)-COLUMN($A$1),FALSE)=0, VLOOKUP($D50, regions[], COLUMN(AI$1)-COLUMN($A$1), FALSE), VLOOKUP($A50,raw[],COLUMN(AI$1)-COLUMN($A$1),FALSE))</f>
        <v>1.9003611057800845E-3</v>
      </c>
      <c r="AI50" s="72">
        <f>IF(VLOOKUP($A50,raw[],COLUMN(AJ$1)-COLUMN($A$1),FALSE)=0, VLOOKUP($D50, regions[], COLUMN(AJ$1)-COLUMN($A$1), FALSE), VLOOKUP($A50,raw[],COLUMN(AJ$1)-COLUMN($A$1),FALSE))</f>
        <v>2.5229613775001329E-3</v>
      </c>
      <c r="AJ50" s="72">
        <f>IF(VLOOKUP($A50,raw[],COLUMN(AK$1)-COLUMN($A$1),FALSE)=0, VLOOKUP($D50, regions[], COLUMN(AK$1)-COLUMN($A$1), FALSE), VLOOKUP($A50,raw[],COLUMN(AK$1)-COLUMN($A$1),FALSE))</f>
        <v>2.9107288532517787E-3</v>
      </c>
      <c r="AK50" s="72">
        <f>IF(VLOOKUP($A50,raw[],COLUMN(AL$1)-COLUMN($A$1),FALSE)=0, VLOOKUP($D50, regions[], COLUMN(AL$1)-COLUMN($A$1), FALSE), VLOOKUP($A50,raw[],COLUMN(AL$1)-COLUMN($A$1),FALSE))</f>
        <v>3.2086735075177934E-3</v>
      </c>
      <c r="AL50" s="72">
        <f>IF(VLOOKUP($A50,raw[],COLUMN(AM$1)-COLUMN($A$1),FALSE)=0, VLOOKUP($D50, regions[], COLUMN(AM$1)-COLUMN($A$1), FALSE), VLOOKUP($A50,raw[],COLUMN(AM$1)-COLUMN($A$1),FALSE))</f>
        <v>3.6432711183425706E-3</v>
      </c>
      <c r="AM50" s="72">
        <f>IF(VLOOKUP($A50,raw[],COLUMN(AN$1)-COLUMN($A$1),FALSE)=0, VLOOKUP($D50, regions[], COLUMN(AN$1)-COLUMN($A$1), FALSE), VLOOKUP($A50,raw[],COLUMN(AN$1)-COLUMN($A$1),FALSE))</f>
        <v>4.4425458558329557E-3</v>
      </c>
      <c r="AN50" s="72">
        <f>IF(VLOOKUP($A50,raw[],COLUMN(AO$1)-COLUMN($A$1),FALSE)=0, VLOOKUP($D50, regions[], COLUMN(AO$1)-COLUMN($A$1), FALSE), VLOOKUP($A50,raw[],COLUMN(AO$1)-COLUMN($A$1),FALSE))</f>
        <v>5.8420898780306516E-3</v>
      </c>
      <c r="AO50" s="72">
        <f>IF(VLOOKUP($A50,raw[],COLUMN(AP$1)-COLUMN($A$1),FALSE)=0, VLOOKUP($D50, regions[], COLUMN(AP$1)-COLUMN($A$1), FALSE), VLOOKUP($A50,raw[],COLUMN(AP$1)-COLUMN($A$1),FALSE))</f>
        <v>8.1244104977409928E-3</v>
      </c>
      <c r="AP50" s="72">
        <f>IF(VLOOKUP($A50,raw[],COLUMN(AQ$1)-COLUMN($A$1),FALSE)=0, VLOOKUP($D50, regions[], COLUMN(AQ$1)-COLUMN($A$1), FALSE), VLOOKUP($A50,raw[],COLUMN(AQ$1)-COLUMN($A$1),FALSE))</f>
        <v>1.1786110862698037E-2</v>
      </c>
      <c r="AQ50" s="72">
        <f>IF(VLOOKUP($A50,raw[],COLUMN(AR$1)-COLUMN($A$1),FALSE)=0, VLOOKUP($D50, regions[], COLUMN(AR$1)-COLUMN($A$1), FALSE), VLOOKUP($A50,raw[],COLUMN(AR$1)-COLUMN($A$1),FALSE))</f>
        <v>1.5896801658864184E-2</v>
      </c>
      <c r="AR50" s="72">
        <f>IF(VLOOKUP($A50,raw[],COLUMN(AS$1)-COLUMN($A$1),FALSE)=0, VLOOKUP($D50, regions[], COLUMN(AS$1)-COLUMN($A$1), FALSE), VLOOKUP($A50,raw[],COLUMN(AS$1)-COLUMN($A$1),FALSE))</f>
        <v>2.2905563498596741E-2</v>
      </c>
      <c r="AS50" s="72">
        <f>IF(VLOOKUP($A50,raw[],COLUMN(AT$1)-COLUMN($A$1),FALSE)=0, VLOOKUP($D50, regions[], COLUMN(AT$1)-COLUMN($A$1), FALSE), VLOOKUP($A50,raw[],COLUMN(AT$1)-COLUMN($A$1),FALSE))</f>
        <v>3.8229745445683708E-2</v>
      </c>
      <c r="AT50" s="72">
        <f>IF(VLOOKUP($A50,raw[],COLUMN(AU$1)-COLUMN($A$1),FALSE)=0, VLOOKUP($D50, regions[], COLUMN(AU$1)-COLUMN($A$1), FALSE), VLOOKUP($A50,raw[],COLUMN(AU$1)-COLUMN($A$1),FALSE))</f>
        <v>6.2634535527386723E-2</v>
      </c>
      <c r="AU50" s="72">
        <f>IF(VLOOKUP($A50,raw[],COLUMN(AV$1)-COLUMN($A$1),FALSE)=0, VLOOKUP($D50, regions[], COLUMN(AV$1)-COLUMN($A$1), FALSE), VLOOKUP($A50,raw[],COLUMN(AV$1)-COLUMN($A$1),FALSE))</f>
        <v>9.3292937507748516E-2</v>
      </c>
      <c r="AV50" s="72">
        <f>IF(VLOOKUP($A50,raw[],COLUMN(AW$1)-COLUMN($A$1),FALSE)=0, VLOOKUP($D50, regions[], COLUMN(AW$1)-COLUMN($A$1), FALSE), VLOOKUP($A50,raw[],COLUMN(AW$1)-COLUMN($A$1),FALSE))</f>
        <v>0.12614651709186733</v>
      </c>
      <c r="AW50" s="72">
        <f>IF(VLOOKUP($A50,raw[],COLUMN(AX$1)-COLUMN($A$1),FALSE)=0, VLOOKUP($D50, regions[], COLUMN(AX$1)-COLUMN($A$1), FALSE), VLOOKUP($A50,raw[],COLUMN(AX$1)-COLUMN($A$1),FALSE))</f>
        <v>0.15412626562601031</v>
      </c>
      <c r="AX50" s="72">
        <f>IF(VLOOKUP($A50,raw[],COLUMN(AY$1)-COLUMN($A$1),FALSE)=0, VLOOKUP($D50, regions[], COLUMN(AY$1)-COLUMN($A$1), FALSE), VLOOKUP($A50,raw[],COLUMN(AY$1)-COLUMN($A$1),FALSE))</f>
        <v>73.936000000000007</v>
      </c>
      <c r="AY50" t="str">
        <f t="shared" si="1"/>
        <v>No</v>
      </c>
    </row>
    <row r="51" spans="1:51" x14ac:dyDescent="0.25">
      <c r="A51" s="55" t="s">
        <v>322</v>
      </c>
      <c r="B51" s="56" t="s">
        <v>323</v>
      </c>
      <c r="C51" s="56">
        <v>324</v>
      </c>
      <c r="D51" s="56" t="s">
        <v>207</v>
      </c>
      <c r="E51" s="56" t="s">
        <v>235</v>
      </c>
      <c r="F51" s="56" t="s">
        <v>211</v>
      </c>
      <c r="G51" s="56" t="s">
        <v>198</v>
      </c>
      <c r="H51" s="74">
        <f>VLOOKUP(lmics[[#This Row],[setting]],raw[],8,FALSE)</f>
        <v>13132792</v>
      </c>
      <c r="I51" s="74">
        <f>VLOOKUP(lmics[[#This Row],[setting]],raw[],9,FALSE)</f>
        <v>480108.60993599996</v>
      </c>
      <c r="J51" s="67">
        <f>IF(VLOOKUP($A51,raw[],COLUMN(J$1),FALSE)=0, VLOOKUP($D51, regions[], COLUMN(J$1), FALSE), VLOOKUP($A51,raw[],COLUMN(J$1),FALSE))</f>
        <v>0.52600000000000002</v>
      </c>
      <c r="K51" s="77">
        <f>VLOOKUP($A51, raw[], 11, FALSE)</f>
        <v>0</v>
      </c>
      <c r="L51" s="77">
        <f>VLOOKUP($A51, raw[], 12, FALSE)</f>
        <v>0.47</v>
      </c>
      <c r="M51" s="77">
        <f>IF(VLOOKUP($A51,raw[],COLUMN(M$1),FALSE)=0, VLOOKUP($D51, regions[], COLUMN(M$1), FALSE), VLOOKUP($A51,raw[],COLUMN(M$1),FALSE))</f>
        <v>0.1174</v>
      </c>
      <c r="N51" s="68">
        <f>IF(VLOOKUP($A51,raw[],COLUMN(N$1),FALSE)=0, VLOOKUP($D51, regions[], COLUMN(N$1), FALSE), VLOOKUP($A51,raw[],COLUMN(N$1),FALSE))</f>
        <v>0.30094942842571543</v>
      </c>
      <c r="O51" s="67">
        <f>IF(VLOOKUP($A51,raw[],COLUMN(O$1),FALSE)=0, VLOOKUP($D51, regions[], COLUMN(O$1), FALSE), VLOOKUP($A51,raw[],COLUMN(O$1),FALSE))</f>
        <v>0.38300000000000001</v>
      </c>
      <c r="P51" s="68">
        <f>IF(VLOOKUP($A51,raw[],COLUMN(P$1),FALSE)=0, VLOOKUP($D51, regions[], COLUMN(P$1), FALSE), VLOOKUP($A51,raw[],COLUMN(P$1),FALSE))</f>
        <v>4.8000000000000001E-2</v>
      </c>
      <c r="Q51" s="70">
        <f>IF(VLOOKUP($A51,raw[],COLUMN(Q$1),FALSE)=0, VLOOKUP($D51, regions[], COLUMN(Q$1), FALSE), VLOOKUP($A51,raw[],COLUMN(Q$1),FALSE))</f>
        <v>2.725107804878049</v>
      </c>
      <c r="R51" s="70">
        <f>IF(VLOOKUP($A51,raw[],COLUMN(R$1),FALSE)=0, VLOOKUP($D51, regions[], COLUMN(R$1), FALSE), VLOOKUP($A51,raw[],COLUMN(R$1),FALSE))</f>
        <v>25.050487804878053</v>
      </c>
      <c r="S51" s="70">
        <f>IF(VLOOKUP($A51,raw[],COLUMN(S$1),FALSE)=0, VLOOKUP($D51, regions[], COLUMN(S$1), FALSE), VLOOKUP($A51,raw[],COLUMN(S$1),FALSE))</f>
        <v>55.338009253397878</v>
      </c>
      <c r="T51" s="70">
        <f>IF(VLOOKUP($A51,raw[],COLUMN(U$1)-COLUMN($A$1),FALSE)=0, VLOOKUP($D51, regions[], COLUMN(U$1)-COLUMN($A$1), FALSE), VLOOKUP($A51,raw[],COLUMN(U$1)-COLUMN($A$1),FALSE))</f>
        <v>55.893616856252876</v>
      </c>
      <c r="U51" s="70">
        <f>IF(VLOOKUP($A51,raw[],COLUMN(V$1)-COLUMN($A$1),FALSE)=0, VLOOKUP($D51, regions[], COLUMN(V$1)-COLUMN($A$1), FALSE), VLOOKUP($A51,raw[],COLUMN(V$1)-COLUMN($A$1),FALSE))</f>
        <v>55.63849358907045</v>
      </c>
      <c r="V51" s="70">
        <f>IF(VLOOKUP($A51,raw[],COLUMN(W$1)-COLUMN($A$1),FALSE)=0, VLOOKUP($D51, regions[], COLUMN(W$1)-COLUMN($A$1), FALSE), VLOOKUP($A51,raw[],COLUMN(W$1)-COLUMN($A$1),FALSE))</f>
        <v>1.0813839725560106</v>
      </c>
      <c r="W51" s="70">
        <f>IF(VLOOKUP($A51,raw[],COLUMN(X$1)-COLUMN($A$1),FALSE)=0, VLOOKUP($D51, regions[], COLUMN(X$1)-COLUMN($A$1), FALSE), VLOOKUP($A51,raw[],COLUMN(X$1)-COLUMN($A$1),FALSE))</f>
        <v>5.9113839725560107</v>
      </c>
      <c r="X51" s="70">
        <f>IF(VLOOKUP($A51,raw[],COLUMN(Y$1)-COLUMN($A$1),FALSE)=0, VLOOKUP($D51, regions[], COLUMN(Y$1)-COLUMN($A$1), FALSE), VLOOKUP($A51,raw[],COLUMN(Y$1)-COLUMN($A$1),FALSE))</f>
        <v>0.66933278114673744</v>
      </c>
      <c r="Y51" s="70">
        <f>IF(VLOOKUP($A51,raw[],COLUMN(Z$1)-COLUMN($A$1),FALSE)=0, VLOOKUP($D51, regions[], COLUMN(Z$1)-COLUMN($A$1), FALSE), VLOOKUP($A51,raw[],COLUMN(Z$1)-COLUMN($A$1),FALSE))</f>
        <v>5.4993327811467374</v>
      </c>
      <c r="Z51" s="70">
        <f>IF(VLOOKUP($A51,raw[],COLUMN(AA$1)-COLUMN($A$1),FALSE)=0, VLOOKUP($D51, regions[], COLUMN(AA$1)-COLUMN($A$1), FALSE), VLOOKUP($A51,raw[],COLUMN(AA$1)-COLUMN($A$1),FALSE))</f>
        <v>5.4947655346844453</v>
      </c>
      <c r="AA51" s="70">
        <f>IF(VLOOKUP($A51,raw[],COLUMN(AB$1)-COLUMN($A$1),FALSE)=0, VLOOKUP($D51, regions[], COLUMN(AB$1)-COLUMN($A$1), FALSE), VLOOKUP($A51,raw[],COLUMN(AB$1)-COLUMN($A$1),FALSE))</f>
        <v>1.2870491065086007</v>
      </c>
      <c r="AB51" s="70">
        <f>IF(VLOOKUP($A51,raw[],COLUMN(AC$1)-COLUMN($A$1),FALSE)=0, VLOOKUP($D51, regions[], COLUMN(AC$1)-COLUMN($A$1), FALSE), VLOOKUP($A51,raw[],COLUMN(AC$1)-COLUMN($A$1),FALSE))</f>
        <v>6.1170491065086008</v>
      </c>
      <c r="AC51" s="72">
        <f>IF(VLOOKUP($A51,raw[],COLUMN(AD$1)-COLUMN($A$1),FALSE)=0, VLOOKUP($D51, regions[], COLUMN(AD$1)-COLUMN($A$1), FALSE), VLOOKUP($A51,raw[],COLUMN(AD$1)-COLUMN($A$1),FALSE))</f>
        <v>5.1660929999999931E-2</v>
      </c>
      <c r="AD51" s="72">
        <f>IF(VLOOKUP($A51,raw[],COLUMN(AE$1)-COLUMN($A$1),FALSE)=0, VLOOKUP($D51, regions[], COLUMN(AE$1)-COLUMN($A$1), FALSE), VLOOKUP($A51,raw[],COLUMN(AE$1)-COLUMN($A$1),FALSE))</f>
        <v>7.6682989555624109E-3</v>
      </c>
      <c r="AE51" s="72">
        <f>IF(VLOOKUP($A51,raw[],COLUMN(AF$1)-COLUMN($A$1),FALSE)=0, VLOOKUP($D51, regions[], COLUMN(AF$1)-COLUMN($A$1), FALSE), VLOOKUP($A51,raw[],COLUMN(AF$1)-COLUMN($A$1),FALSE))</f>
        <v>2.753116865383637E-3</v>
      </c>
      <c r="AF51" s="72">
        <f>IF(VLOOKUP($A51,raw[],COLUMN(AG$1)-COLUMN($A$1),FALSE)=0, VLOOKUP($D51, regions[], COLUMN(AG$1)-COLUMN($A$1), FALSE), VLOOKUP($A51,raw[],COLUMN(AG$1)-COLUMN($A$1),FALSE))</f>
        <v>1.6220182461334277E-3</v>
      </c>
      <c r="AG51" s="72">
        <f>IF(VLOOKUP($A51,raw[],COLUMN(AH$1)-COLUMN($A$1),FALSE)=0, VLOOKUP($D51, regions[], COLUMN(AH$1)-COLUMN($A$1), FALSE), VLOOKUP($A51,raw[],COLUMN(AH$1)-COLUMN($A$1),FALSE))</f>
        <v>2.4728041518614608E-3</v>
      </c>
      <c r="AH51" s="72">
        <f>IF(VLOOKUP($A51,raw[],COLUMN(AI$1)-COLUMN($A$1),FALSE)=0, VLOOKUP($D51, regions[], COLUMN(AI$1)-COLUMN($A$1), FALSE), VLOOKUP($A51,raw[],COLUMN(AI$1)-COLUMN($A$1),FALSE))</f>
        <v>3.4650976904044128E-3</v>
      </c>
      <c r="AI51" s="72">
        <f>IF(VLOOKUP($A51,raw[],COLUMN(AJ$1)-COLUMN($A$1),FALSE)=0, VLOOKUP($D51, regions[], COLUMN(AJ$1)-COLUMN($A$1), FALSE), VLOOKUP($A51,raw[],COLUMN(AJ$1)-COLUMN($A$1),FALSE))</f>
        <v>3.7158855391260254E-3</v>
      </c>
      <c r="AJ51" s="72">
        <f>IF(VLOOKUP($A51,raw[],COLUMN(AK$1)-COLUMN($A$1),FALSE)=0, VLOOKUP($D51, regions[], COLUMN(AK$1)-COLUMN($A$1), FALSE), VLOOKUP($A51,raw[],COLUMN(AK$1)-COLUMN($A$1),FALSE))</f>
        <v>4.1006094147431607E-3</v>
      </c>
      <c r="AK51" s="72">
        <f>IF(VLOOKUP($A51,raw[],COLUMN(AL$1)-COLUMN($A$1),FALSE)=0, VLOOKUP($D51, regions[], COLUMN(AL$1)-COLUMN($A$1), FALSE), VLOOKUP($A51,raw[],COLUMN(AL$1)-COLUMN($A$1),FALSE))</f>
        <v>4.7097218029210465E-3</v>
      </c>
      <c r="AL51" s="72">
        <f>IF(VLOOKUP($A51,raw[],COLUMN(AM$1)-COLUMN($A$1),FALSE)=0, VLOOKUP($D51, regions[], COLUMN(AM$1)-COLUMN($A$1), FALSE), VLOOKUP($A51,raw[],COLUMN(AM$1)-COLUMN($A$1),FALSE))</f>
        <v>5.7317350908536787E-3</v>
      </c>
      <c r="AM51" s="72">
        <f>IF(VLOOKUP($A51,raw[],COLUMN(AN$1)-COLUMN($A$1),FALSE)=0, VLOOKUP($D51, regions[], COLUMN(AN$1)-COLUMN($A$1), FALSE), VLOOKUP($A51,raw[],COLUMN(AN$1)-COLUMN($A$1),FALSE))</f>
        <v>7.1089462516818339E-3</v>
      </c>
      <c r="AN51" s="72">
        <f>IF(VLOOKUP($A51,raw[],COLUMN(AO$1)-COLUMN($A$1),FALSE)=0, VLOOKUP($D51, regions[], COLUMN(AO$1)-COLUMN($A$1), FALSE), VLOOKUP($A51,raw[],COLUMN(AO$1)-COLUMN($A$1),FALSE))</f>
        <v>9.9864252053493852E-3</v>
      </c>
      <c r="AO51" s="72">
        <f>IF(VLOOKUP($A51,raw[],COLUMN(AP$1)-COLUMN($A$1),FALSE)=0, VLOOKUP($D51, regions[], COLUMN(AP$1)-COLUMN($A$1), FALSE), VLOOKUP($A51,raw[],COLUMN(AP$1)-COLUMN($A$1),FALSE))</f>
        <v>1.424243653612626E-2</v>
      </c>
      <c r="AP51" s="72">
        <f>IF(VLOOKUP($A51,raw[],COLUMN(AQ$1)-COLUMN($A$1),FALSE)=0, VLOOKUP($D51, regions[], COLUMN(AQ$1)-COLUMN($A$1), FALSE), VLOOKUP($A51,raw[],COLUMN(AQ$1)-COLUMN($A$1),FALSE))</f>
        <v>2.2379907387419087E-2</v>
      </c>
      <c r="AQ51" s="72">
        <f>IF(VLOOKUP($A51,raw[],COLUMN(AR$1)-COLUMN($A$1),FALSE)=0, VLOOKUP($D51, regions[], COLUMN(AR$1)-COLUMN($A$1), FALSE), VLOOKUP($A51,raw[],COLUMN(AR$1)-COLUMN($A$1),FALSE))</f>
        <v>3.4679884381574468E-2</v>
      </c>
      <c r="AR51" s="72">
        <f>IF(VLOOKUP($A51,raw[],COLUMN(AS$1)-COLUMN($A$1),FALSE)=0, VLOOKUP($D51, regions[], COLUMN(AS$1)-COLUMN($A$1), FALSE), VLOOKUP($A51,raw[],COLUMN(AS$1)-COLUMN($A$1),FALSE))</f>
        <v>5.5650893957264136E-2</v>
      </c>
      <c r="AS51" s="72">
        <f>IF(VLOOKUP($A51,raw[],COLUMN(AT$1)-COLUMN($A$1),FALSE)=0, VLOOKUP($D51, regions[], COLUMN(AT$1)-COLUMN($A$1), FALSE), VLOOKUP($A51,raw[],COLUMN(AT$1)-COLUMN($A$1),FALSE))</f>
        <v>8.5416908324498969E-2</v>
      </c>
      <c r="AT51" s="72">
        <f>IF(VLOOKUP($A51,raw[],COLUMN(AU$1)-COLUMN($A$1),FALSE)=0, VLOOKUP($D51, regions[], COLUMN(AU$1)-COLUMN($A$1), FALSE), VLOOKUP($A51,raw[],COLUMN(AU$1)-COLUMN($A$1),FALSE))</f>
        <v>0.12175749905273563</v>
      </c>
      <c r="AU51" s="72">
        <f>IF(VLOOKUP($A51,raw[],COLUMN(AV$1)-COLUMN($A$1),FALSE)=0, VLOOKUP($D51, regions[], COLUMN(AV$1)-COLUMN($A$1), FALSE), VLOOKUP($A51,raw[],COLUMN(AV$1)-COLUMN($A$1),FALSE))</f>
        <v>0.1547302136680318</v>
      </c>
      <c r="AV51" s="72">
        <f>IF(VLOOKUP($A51,raw[],COLUMN(AW$1)-COLUMN($A$1),FALSE)=0, VLOOKUP($D51, regions[], COLUMN(AW$1)-COLUMN($A$1), FALSE), VLOOKUP($A51,raw[],COLUMN(AW$1)-COLUMN($A$1),FALSE))</f>
        <v>0.17719636261075544</v>
      </c>
      <c r="AW51" s="72">
        <f>IF(VLOOKUP($A51,raw[],COLUMN(AX$1)-COLUMN($A$1),FALSE)=0, VLOOKUP($D51, regions[], COLUMN(AX$1)-COLUMN($A$1), FALSE), VLOOKUP($A51,raw[],COLUMN(AX$1)-COLUMN($A$1),FALSE))</f>
        <v>0.18801715411602082</v>
      </c>
      <c r="AX51" s="72">
        <f>IF(VLOOKUP($A51,raw[],COLUMN(AY$1)-COLUMN($A$1),FALSE)=0, VLOOKUP($D51, regions[], COLUMN(AY$1)-COLUMN($A$1), FALSE), VLOOKUP($A51,raw[],COLUMN(AY$1)-COLUMN($A$1),FALSE))</f>
        <v>61.043999999999997</v>
      </c>
      <c r="AY51" t="str">
        <f t="shared" si="1"/>
        <v>Yes</v>
      </c>
    </row>
    <row r="52" spans="1:51" x14ac:dyDescent="0.25">
      <c r="A52" s="53" t="s">
        <v>324</v>
      </c>
      <c r="B52" s="54" t="s">
        <v>325</v>
      </c>
      <c r="C52" s="54">
        <v>624</v>
      </c>
      <c r="D52" s="54" t="s">
        <v>207</v>
      </c>
      <c r="E52" s="54" t="s">
        <v>235</v>
      </c>
      <c r="F52" s="54" t="s">
        <v>211</v>
      </c>
      <c r="G52" s="54" t="s">
        <v>198</v>
      </c>
      <c r="H52" s="73">
        <f>VLOOKUP(lmics[[#This Row],[setting]],raw[],8,FALSE)</f>
        <v>1967998</v>
      </c>
      <c r="I52" s="73">
        <f>VLOOKUP(lmics[[#This Row],[setting]],raw[],9,FALSE)</f>
        <v>69645.481222000002</v>
      </c>
      <c r="J52" s="67">
        <f>IF(VLOOKUP($A52,raw[],COLUMN(J$1),FALSE)=0, VLOOKUP($D52, regions[], COLUMN(J$1), FALSE), VLOOKUP($A52,raw[],COLUMN(J$1),FALSE))</f>
        <v>0.44</v>
      </c>
      <c r="K52" s="77">
        <f>VLOOKUP($A52, raw[], 11, FALSE)</f>
        <v>0</v>
      </c>
      <c r="L52" s="77">
        <f>VLOOKUP($A52, raw[], 12, FALSE)</f>
        <v>0.74</v>
      </c>
      <c r="M52" s="77">
        <f>IF(VLOOKUP($A52,raw[],COLUMN(M$1),FALSE)=0, VLOOKUP($D52, regions[], COLUMN(M$1), FALSE), VLOOKUP($A52,raw[],COLUMN(M$1),FALSE))</f>
        <v>8.72E-2</v>
      </c>
      <c r="N52" s="68">
        <f>IF(VLOOKUP($A52,raw[],COLUMN(N$1),FALSE)=0, VLOOKUP($D52, regions[], COLUMN(N$1), FALSE), VLOOKUP($A52,raw[],COLUMN(N$1),FALSE))</f>
        <v>0.29135266850719183</v>
      </c>
      <c r="O52" s="67">
        <f>IF(VLOOKUP($A52,raw[],COLUMN(O$1),FALSE)=0, VLOOKUP($D52, regions[], COLUMN(O$1), FALSE), VLOOKUP($A52,raw[],COLUMN(O$1),FALSE))</f>
        <v>0.38300000000000001</v>
      </c>
      <c r="P52" s="68">
        <f>IF(VLOOKUP($A52,raw[],COLUMN(P$1),FALSE)=0, VLOOKUP($D52, regions[], COLUMN(P$1), FALSE), VLOOKUP($A52,raw[],COLUMN(P$1),FALSE))</f>
        <v>4.8000000000000001E-2</v>
      </c>
      <c r="Q52" s="70">
        <f>IF(VLOOKUP($A52,raw[],COLUMN(Q$1),FALSE)=0, VLOOKUP($D52, regions[], COLUMN(Q$1), FALSE), VLOOKUP($A52,raw[],COLUMN(Q$1),FALSE))</f>
        <v>4.604183740861723</v>
      </c>
      <c r="R52" s="70">
        <f>IF(VLOOKUP($A52,raw[],COLUMN(R$1),FALSE)=0, VLOOKUP($D52, regions[], COLUMN(R$1), FALSE), VLOOKUP($A52,raw[],COLUMN(R$1),FALSE))</f>
        <v>26.929563740861724</v>
      </c>
      <c r="S52" s="70">
        <f>IF(VLOOKUP($A52,raw[],COLUMN(S$1),FALSE)=0, VLOOKUP($D52, regions[], COLUMN(S$1), FALSE), VLOOKUP($A52,raw[],COLUMN(S$1),FALSE))</f>
        <v>62.781228115348881</v>
      </c>
      <c r="T52" s="70">
        <f>IF(VLOOKUP($A52,raw[],COLUMN(U$1)-COLUMN($A$1),FALSE)=0, VLOOKUP($D52, regions[], COLUMN(U$1)-COLUMN($A$1), FALSE), VLOOKUP($A52,raw[],COLUMN(U$1)-COLUMN($A$1),FALSE))</f>
        <v>66.23277763798994</v>
      </c>
      <c r="U52" s="70">
        <f>IF(VLOOKUP($A52,raw[],COLUMN(V$1)-COLUMN($A$1),FALSE)=0, VLOOKUP($D52, regions[], COLUMN(V$1)-COLUMN($A$1), FALSE), VLOOKUP($A52,raw[],COLUMN(V$1)-COLUMN($A$1),FALSE))</f>
        <v>64.647899053655777</v>
      </c>
      <c r="V52" s="70">
        <f>IF(VLOOKUP($A52,raw[],COLUMN(W$1)-COLUMN($A$1),FALSE)=0, VLOOKUP($D52, regions[], COLUMN(W$1)-COLUMN($A$1), FALSE), VLOOKUP($A52,raw[],COLUMN(W$1)-COLUMN($A$1),FALSE))</f>
        <v>3.5975987629177868</v>
      </c>
      <c r="W52" s="70">
        <f>IF(VLOOKUP($A52,raw[],COLUMN(X$1)-COLUMN($A$1),FALSE)=0, VLOOKUP($D52, regions[], COLUMN(X$1)-COLUMN($A$1), FALSE), VLOOKUP($A52,raw[],COLUMN(X$1)-COLUMN($A$1),FALSE))</f>
        <v>8.4275987629177873</v>
      </c>
      <c r="X52" s="70">
        <f>IF(VLOOKUP($A52,raw[],COLUMN(Y$1)-COLUMN($A$1),FALSE)=0, VLOOKUP($D52, regions[], COLUMN(Y$1)-COLUMN($A$1), FALSE), VLOOKUP($A52,raw[],COLUMN(Y$1)-COLUMN($A$1),FALSE))</f>
        <v>3.1902017276336094</v>
      </c>
      <c r="Y52" s="70">
        <f>IF(VLOOKUP($A52,raw[],COLUMN(Z$1)-COLUMN($A$1),FALSE)=0, VLOOKUP($D52, regions[], COLUMN(Z$1)-COLUMN($A$1), FALSE), VLOOKUP($A52,raw[],COLUMN(Z$1)-COLUMN($A$1),FALSE))</f>
        <v>8.0202017276336086</v>
      </c>
      <c r="Z52" s="70">
        <f>IF(VLOOKUP($A52,raw[],COLUMN(AA$1)-COLUMN($A$1),FALSE)=0, VLOOKUP($D52, regions[], COLUMN(AA$1)-COLUMN($A$1), FALSE), VLOOKUP($A52,raw[],COLUMN(AA$1)-COLUMN($A$1),FALSE))</f>
        <v>8.0177110782760419</v>
      </c>
      <c r="AA52" s="70">
        <f>IF(VLOOKUP($A52,raw[],COLUMN(AB$1)-COLUMN($A$1),FALSE)=0, VLOOKUP($D52, regions[], COLUMN(AB$1)-COLUMN($A$1), FALSE), VLOOKUP($A52,raw[],COLUMN(AB$1)-COLUMN($A$1),FALSE))</f>
        <v>3.8016045890344734</v>
      </c>
      <c r="AB52" s="70">
        <f>IF(VLOOKUP($A52,raw[],COLUMN(AC$1)-COLUMN($A$1),FALSE)=0, VLOOKUP($D52, regions[], COLUMN(AC$1)-COLUMN($A$1), FALSE), VLOOKUP($A52,raw[],COLUMN(AC$1)-COLUMN($A$1),FALSE))</f>
        <v>8.6316045890344739</v>
      </c>
      <c r="AC52" s="72">
        <f>IF(VLOOKUP($A52,raw[],COLUMN(AD$1)-COLUMN($A$1),FALSE)=0, VLOOKUP($D52, regions[], COLUMN(AD$1)-COLUMN($A$1), FALSE), VLOOKUP($A52,raw[],COLUMN(AD$1)-COLUMN($A$1),FALSE))</f>
        <v>5.7137039999999979E-2</v>
      </c>
      <c r="AD52" s="72">
        <f>IF(VLOOKUP($A52,raw[],COLUMN(AE$1)-COLUMN($A$1),FALSE)=0, VLOOKUP($D52, regions[], COLUMN(AE$1)-COLUMN($A$1), FALSE), VLOOKUP($A52,raw[],COLUMN(AE$1)-COLUMN($A$1),FALSE))</f>
        <v>6.7141676665291852E-3</v>
      </c>
      <c r="AE52" s="72">
        <f>IF(VLOOKUP($A52,raw[],COLUMN(AF$1)-COLUMN($A$1),FALSE)=0, VLOOKUP($D52, regions[], COLUMN(AF$1)-COLUMN($A$1), FALSE), VLOOKUP($A52,raw[],COLUMN(AF$1)-COLUMN($A$1),FALSE))</f>
        <v>2.6421517168500916E-3</v>
      </c>
      <c r="AF52" s="72">
        <f>IF(VLOOKUP($A52,raw[],COLUMN(AG$1)-COLUMN($A$1),FALSE)=0, VLOOKUP($D52, regions[], COLUMN(AG$1)-COLUMN($A$1), FALSE), VLOOKUP($A52,raw[],COLUMN(AG$1)-COLUMN($A$1),FALSE))</f>
        <v>1.8582747603848101E-3</v>
      </c>
      <c r="AG52" s="72">
        <f>IF(VLOOKUP($A52,raw[],COLUMN(AH$1)-COLUMN($A$1),FALSE)=0, VLOOKUP($D52, regions[], COLUMN(AH$1)-COLUMN($A$1), FALSE), VLOOKUP($A52,raw[],COLUMN(AH$1)-COLUMN($A$1),FALSE))</f>
        <v>2.7584406272059439E-3</v>
      </c>
      <c r="AH52" s="72">
        <f>IF(VLOOKUP($A52,raw[],COLUMN(AI$1)-COLUMN($A$1),FALSE)=0, VLOOKUP($D52, regions[], COLUMN(AI$1)-COLUMN($A$1), FALSE), VLOOKUP($A52,raw[],COLUMN(AI$1)-COLUMN($A$1),FALSE))</f>
        <v>4.0673561336193754E-3</v>
      </c>
      <c r="AI52" s="72">
        <f>IF(VLOOKUP($A52,raw[],COLUMN(AJ$1)-COLUMN($A$1),FALSE)=0, VLOOKUP($D52, regions[], COLUMN(AJ$1)-COLUMN($A$1), FALSE), VLOOKUP($A52,raw[],COLUMN(AJ$1)-COLUMN($A$1),FALSE))</f>
        <v>5.1395770170898194E-3</v>
      </c>
      <c r="AJ52" s="72">
        <f>IF(VLOOKUP($A52,raw[],COLUMN(AK$1)-COLUMN($A$1),FALSE)=0, VLOOKUP($D52, regions[], COLUMN(AK$1)-COLUMN($A$1), FALSE), VLOOKUP($A52,raw[],COLUMN(AK$1)-COLUMN($A$1),FALSE))</f>
        <v>6.2796946479398499E-3</v>
      </c>
      <c r="AK52" s="72">
        <f>IF(VLOOKUP($A52,raw[],COLUMN(AL$1)-COLUMN($A$1),FALSE)=0, VLOOKUP($D52, regions[], COLUMN(AL$1)-COLUMN($A$1), FALSE), VLOOKUP($A52,raw[],COLUMN(AL$1)-COLUMN($A$1),FALSE))</f>
        <v>7.8450079872936628E-3</v>
      </c>
      <c r="AL52" s="72">
        <f>IF(VLOOKUP($A52,raw[],COLUMN(AM$1)-COLUMN($A$1),FALSE)=0, VLOOKUP($D52, regions[], COLUMN(AM$1)-COLUMN($A$1), FALSE), VLOOKUP($A52,raw[],COLUMN(AM$1)-COLUMN($A$1),FALSE))</f>
        <v>9.5087937050133096E-3</v>
      </c>
      <c r="AM52" s="72">
        <f>IF(VLOOKUP($A52,raw[],COLUMN(AN$1)-COLUMN($A$1),FALSE)=0, VLOOKUP($D52, regions[], COLUMN(AN$1)-COLUMN($A$1), FALSE), VLOOKUP($A52,raw[],COLUMN(AN$1)-COLUMN($A$1),FALSE))</f>
        <v>1.1401948775644169E-2</v>
      </c>
      <c r="AN52" s="72">
        <f>IF(VLOOKUP($A52,raw[],COLUMN(AO$1)-COLUMN($A$1),FALSE)=0, VLOOKUP($D52, regions[], COLUMN(AO$1)-COLUMN($A$1), FALSE), VLOOKUP($A52,raw[],COLUMN(AO$1)-COLUMN($A$1),FALSE))</f>
        <v>1.4843682585434316E-2</v>
      </c>
      <c r="AO52" s="72">
        <f>IF(VLOOKUP($A52,raw[],COLUMN(AP$1)-COLUMN($A$1),FALSE)=0, VLOOKUP($D52, regions[], COLUMN(AP$1)-COLUMN($A$1), FALSE), VLOOKUP($A52,raw[],COLUMN(AP$1)-COLUMN($A$1),FALSE))</f>
        <v>1.8876475434659281E-2</v>
      </c>
      <c r="AP52" s="72">
        <f>IF(VLOOKUP($A52,raw[],COLUMN(AQ$1)-COLUMN($A$1),FALSE)=0, VLOOKUP($D52, regions[], COLUMN(AQ$1)-COLUMN($A$1), FALSE), VLOOKUP($A52,raw[],COLUMN(AQ$1)-COLUMN($A$1),FALSE))</f>
        <v>2.6573087528500995E-2</v>
      </c>
      <c r="AQ52" s="72">
        <f>IF(VLOOKUP($A52,raw[],COLUMN(AR$1)-COLUMN($A$1),FALSE)=0, VLOOKUP($D52, regions[], COLUMN(AR$1)-COLUMN($A$1), FALSE), VLOOKUP($A52,raw[],COLUMN(AR$1)-COLUMN($A$1),FALSE))</f>
        <v>3.8832694277057697E-2</v>
      </c>
      <c r="AR52" s="72">
        <f>IF(VLOOKUP($A52,raw[],COLUMN(AS$1)-COLUMN($A$1),FALSE)=0, VLOOKUP($D52, regions[], COLUMN(AS$1)-COLUMN($A$1), FALSE), VLOOKUP($A52,raw[],COLUMN(AS$1)-COLUMN($A$1),FALSE))</f>
        <v>5.7800470461217432E-2</v>
      </c>
      <c r="AS52" s="72">
        <f>IF(VLOOKUP($A52,raw[],COLUMN(AT$1)-COLUMN($A$1),FALSE)=0, VLOOKUP($D52, regions[], COLUMN(AT$1)-COLUMN($A$1), FALSE), VLOOKUP($A52,raw[],COLUMN(AT$1)-COLUMN($A$1),FALSE))</f>
        <v>8.4481990196540638E-2</v>
      </c>
      <c r="AT52" s="72">
        <f>IF(VLOOKUP($A52,raw[],COLUMN(AU$1)-COLUMN($A$1),FALSE)=0, VLOOKUP($D52, regions[], COLUMN(AU$1)-COLUMN($A$1), FALSE), VLOOKUP($A52,raw[],COLUMN(AU$1)-COLUMN($A$1),FALSE))</f>
        <v>0.12076751482202236</v>
      </c>
      <c r="AU52" s="72">
        <f>IF(VLOOKUP($A52,raw[],COLUMN(AV$1)-COLUMN($A$1),FALSE)=0, VLOOKUP($D52, regions[], COLUMN(AV$1)-COLUMN($A$1), FALSE), VLOOKUP($A52,raw[],COLUMN(AV$1)-COLUMN($A$1),FALSE))</f>
        <v>0.15842233373352008</v>
      </c>
      <c r="AV52" s="72">
        <f>IF(VLOOKUP($A52,raw[],COLUMN(AW$1)-COLUMN($A$1),FALSE)=0, VLOOKUP($D52, regions[], COLUMN(AW$1)-COLUMN($A$1), FALSE), VLOOKUP($A52,raw[],COLUMN(AW$1)-COLUMN($A$1),FALSE))</f>
        <v>0.184292046722796</v>
      </c>
      <c r="AW52" s="72">
        <f>IF(VLOOKUP($A52,raw[],COLUMN(AX$1)-COLUMN($A$1),FALSE)=0, VLOOKUP($D52, regions[], COLUMN(AX$1)-COLUMN($A$1), FALSE), VLOOKUP($A52,raw[],COLUMN(AX$1)-COLUMN($A$1),FALSE))</f>
        <v>0.18984142358814635</v>
      </c>
      <c r="AX52" s="72">
        <f>IF(VLOOKUP($A52,raw[],COLUMN(AY$1)-COLUMN($A$1),FALSE)=0, VLOOKUP($D52, regions[], COLUMN(AY$1)-COLUMN($A$1), FALSE), VLOOKUP($A52,raw[],COLUMN(AY$1)-COLUMN($A$1),FALSE))</f>
        <v>57.819000000000003</v>
      </c>
      <c r="AY52" t="str">
        <f t="shared" si="1"/>
        <v>Yes</v>
      </c>
    </row>
    <row r="53" spans="1:51" x14ac:dyDescent="0.25">
      <c r="A53" s="55" t="s">
        <v>326</v>
      </c>
      <c r="B53" s="56" t="s">
        <v>327</v>
      </c>
      <c r="C53" s="56">
        <v>328</v>
      </c>
      <c r="D53" s="56" t="s">
        <v>215</v>
      </c>
      <c r="E53" s="56" t="s">
        <v>232</v>
      </c>
      <c r="F53" s="56" t="s">
        <v>217</v>
      </c>
      <c r="G53" s="56" t="s">
        <v>204</v>
      </c>
      <c r="H53" s="74">
        <f>VLOOKUP(lmics[[#This Row],[setting]],raw[],8,FALSE)</f>
        <v>786559</v>
      </c>
      <c r="I53" s="74">
        <f>VLOOKUP(lmics[[#This Row],[setting]],raw[],9,FALSE)</f>
        <v>15783.879453</v>
      </c>
      <c r="J53" s="67">
        <f>IF(VLOOKUP($A53,raw[],COLUMN(J$1),FALSE)=0, VLOOKUP($D53, regions[], COLUMN(J$1), FALSE), VLOOKUP($A53,raw[],COLUMN(J$1),FALSE))</f>
        <v>0.92700000000000005</v>
      </c>
      <c r="K53" s="77">
        <f>VLOOKUP($A53, raw[], 11, FALSE)</f>
        <v>0.7</v>
      </c>
      <c r="L53" s="77">
        <f>VLOOKUP($A53, raw[], 12, FALSE)</f>
        <v>0.99</v>
      </c>
      <c r="M53" s="77">
        <f>IF(VLOOKUP($A53,raw[],COLUMN(M$1),FALSE)=0, VLOOKUP($D53, regions[], COLUMN(M$1), FALSE), VLOOKUP($A53,raw[],COLUMN(M$1),FALSE))</f>
        <v>2.0899999999999998E-2</v>
      </c>
      <c r="N53" s="68">
        <f>IF(VLOOKUP($A53,raw[],COLUMN(N$1),FALSE)=0, VLOOKUP($D53, regions[], COLUMN(N$1), FALSE), VLOOKUP($A53,raw[],COLUMN(N$1),FALSE))</f>
        <v>0.31994720950218708</v>
      </c>
      <c r="O53" s="67">
        <f>IF(VLOOKUP($A53,raw[],COLUMN(O$1),FALSE)=0, VLOOKUP($D53, regions[], COLUMN(O$1), FALSE), VLOOKUP($A53,raw[],COLUMN(O$1),FALSE))</f>
        <v>0.8</v>
      </c>
      <c r="P53" s="68">
        <f>IF(VLOOKUP($A53,raw[],COLUMN(P$1),FALSE)=0, VLOOKUP($D53, regions[], COLUMN(P$1), FALSE), VLOOKUP($A53,raw[],COLUMN(P$1),FALSE))</f>
        <v>0.17499999999999999</v>
      </c>
      <c r="Q53" s="70">
        <f>IF(VLOOKUP($A53,raw[],COLUMN(Q$1),FALSE)=0, VLOOKUP($D53, regions[], COLUMN(Q$1), FALSE), VLOOKUP($A53,raw[],COLUMN(Q$1),FALSE))</f>
        <v>7.5291758620689597</v>
      </c>
      <c r="R53" s="70">
        <f>IF(VLOOKUP($A53,raw[],COLUMN(R$1),FALSE)=0, VLOOKUP($D53, regions[], COLUMN(R$1), FALSE), VLOOKUP($A53,raw[],COLUMN(R$1),FALSE))</f>
        <v>29.854555862068963</v>
      </c>
      <c r="S53" s="70">
        <f>IF(VLOOKUP($A53,raw[],COLUMN(S$1),FALSE)=0, VLOOKUP($D53, regions[], COLUMN(S$1), FALSE), VLOOKUP($A53,raw[],COLUMN(S$1),FALSE))</f>
        <v>70.88232543128575</v>
      </c>
      <c r="T53" s="70">
        <f>IF(VLOOKUP($A53,raw[],COLUMN(U$1)-COLUMN($A$1),FALSE)=0, VLOOKUP($D53, regions[], COLUMN(U$1)-COLUMN($A$1), FALSE), VLOOKUP($A53,raw[],COLUMN(U$1)-COLUMN($A$1),FALSE))</f>
        <v>77.027856796967569</v>
      </c>
      <c r="U53" s="70">
        <f>IF(VLOOKUP($A53,raw[],COLUMN(V$1)-COLUMN($A$1),FALSE)=0, VLOOKUP($D53, regions[], COLUMN(V$1)-COLUMN($A$1), FALSE), VLOOKUP($A53,raw[],COLUMN(V$1)-COLUMN($A$1),FALSE))</f>
        <v>74.205958693830908</v>
      </c>
      <c r="V53" s="70">
        <f>IF(VLOOKUP($A53,raw[],COLUMN(W$1)-COLUMN($A$1),FALSE)=0, VLOOKUP($D53, regions[], COLUMN(W$1)-COLUMN($A$1), FALSE), VLOOKUP($A53,raw[],COLUMN(W$1)-COLUMN($A$1),FALSE))</f>
        <v>8.0798418928525368</v>
      </c>
      <c r="W53" s="70">
        <f>IF(VLOOKUP($A53,raw[],COLUMN(X$1)-COLUMN($A$1),FALSE)=0, VLOOKUP($D53, regions[], COLUMN(X$1)-COLUMN($A$1), FALSE), VLOOKUP($A53,raw[],COLUMN(X$1)-COLUMN($A$1),FALSE))</f>
        <v>8.0998418928525364</v>
      </c>
      <c r="X53" s="70">
        <f>IF(VLOOKUP($A53,raw[],COLUMN(Y$1)-COLUMN($A$1),FALSE)=0, VLOOKUP($D53, regions[], COLUMN(Y$1)-COLUMN($A$1), FALSE), VLOOKUP($A53,raw[],COLUMN(Y$1)-COLUMN($A$1),FALSE))</f>
        <v>7.6564700658464968</v>
      </c>
      <c r="Y53" s="70">
        <f>IF(VLOOKUP($A53,raw[],COLUMN(Z$1)-COLUMN($A$1),FALSE)=0, VLOOKUP($D53, regions[], COLUMN(Z$1)-COLUMN($A$1), FALSE), VLOOKUP($A53,raw[],COLUMN(Z$1)-COLUMN($A$1),FALSE))</f>
        <v>7.6764700658464964</v>
      </c>
      <c r="Z53" s="70">
        <f>IF(VLOOKUP($A53,raw[],COLUMN(AA$1)-COLUMN($A$1),FALSE)=0, VLOOKUP($D53, regions[], COLUMN(AA$1)-COLUMN($A$1), FALSE), VLOOKUP($A53,raw[],COLUMN(AA$1)-COLUMN($A$1),FALSE))</f>
        <v>7.6673516604113754</v>
      </c>
      <c r="AA53" s="70">
        <f>IF(VLOOKUP($A53,raw[],COLUMN(AB$1)-COLUMN($A$1),FALSE)=0, VLOOKUP($D53, regions[], COLUMN(AB$1)-COLUMN($A$1), FALSE), VLOOKUP($A53,raw[],COLUMN(AB$1)-COLUMN($A$1),FALSE))</f>
        <v>8.2895430794961484</v>
      </c>
      <c r="AB53" s="70">
        <f>IF(VLOOKUP($A53,raw[],COLUMN(AC$1)-COLUMN($A$1),FALSE)=0, VLOOKUP($D53, regions[], COLUMN(AC$1)-COLUMN($A$1), FALSE), VLOOKUP($A53,raw[],COLUMN(AC$1)-COLUMN($A$1),FALSE))</f>
        <v>8.309543079496148</v>
      </c>
      <c r="AC53" s="72">
        <f>IF(VLOOKUP($A53,raw[],COLUMN(AD$1)-COLUMN($A$1),FALSE)=0, VLOOKUP($D53, regions[], COLUMN(AD$1)-COLUMN($A$1), FALSE), VLOOKUP($A53,raw[],COLUMN(AD$1)-COLUMN($A$1),FALSE))</f>
        <v>2.6771110000000046E-2</v>
      </c>
      <c r="AD53" s="72">
        <f>IF(VLOOKUP($A53,raw[],COLUMN(AE$1)-COLUMN($A$1),FALSE)=0, VLOOKUP($D53, regions[], COLUMN(AE$1)-COLUMN($A$1), FALSE), VLOOKUP($A53,raw[],COLUMN(AE$1)-COLUMN($A$1),FALSE))</f>
        <v>1.4198715371057048E-3</v>
      </c>
      <c r="AE53" s="72">
        <f>IF(VLOOKUP($A53,raw[],COLUMN(AF$1)-COLUMN($A$1),FALSE)=0, VLOOKUP($D53, regions[], COLUMN(AF$1)-COLUMN($A$1), FALSE), VLOOKUP($A53,raw[],COLUMN(AF$1)-COLUMN($A$1),FALSE))</f>
        <v>9.4566769534137896E-4</v>
      </c>
      <c r="AF53" s="72">
        <f>IF(VLOOKUP($A53,raw[],COLUMN(AG$1)-COLUMN($A$1),FALSE)=0, VLOOKUP($D53, regions[], COLUMN(AG$1)-COLUMN($A$1), FALSE), VLOOKUP($A53,raw[],COLUMN(AG$1)-COLUMN($A$1),FALSE))</f>
        <v>7.7207149558016159E-4</v>
      </c>
      <c r="AG53" s="72">
        <f>IF(VLOOKUP($A53,raw[],COLUMN(AH$1)-COLUMN($A$1),FALSE)=0, VLOOKUP($D53, regions[], COLUMN(AH$1)-COLUMN($A$1), FALSE), VLOOKUP($A53,raw[],COLUMN(AH$1)-COLUMN($A$1),FALSE))</f>
        <v>1.7255706754610489E-3</v>
      </c>
      <c r="AH53" s="72">
        <f>IF(VLOOKUP($A53,raw[],COLUMN(AI$1)-COLUMN($A$1),FALSE)=0, VLOOKUP($D53, regions[], COLUMN(AI$1)-COLUMN($A$1), FALSE), VLOOKUP($A53,raw[],COLUMN(AI$1)-COLUMN($A$1),FALSE))</f>
        <v>2.81382930343111E-3</v>
      </c>
      <c r="AI53" s="72">
        <f>IF(VLOOKUP($A53,raw[],COLUMN(AJ$1)-COLUMN($A$1),FALSE)=0, VLOOKUP($D53, regions[], COLUMN(AJ$1)-COLUMN($A$1), FALSE), VLOOKUP($A53,raw[],COLUMN(AJ$1)-COLUMN($A$1),FALSE))</f>
        <v>3.515961527428555E-3</v>
      </c>
      <c r="AJ53" s="72">
        <f>IF(VLOOKUP($A53,raw[],COLUMN(AK$1)-COLUMN($A$1),FALSE)=0, VLOOKUP($D53, regions[], COLUMN(AK$1)-COLUMN($A$1), FALSE), VLOOKUP($A53,raw[],COLUMN(AK$1)-COLUMN($A$1),FALSE))</f>
        <v>3.7766081952088477E-3</v>
      </c>
      <c r="AK53" s="72">
        <f>IF(VLOOKUP($A53,raw[],COLUMN(AL$1)-COLUMN($A$1),FALSE)=0, VLOOKUP($D53, regions[], COLUMN(AL$1)-COLUMN($A$1), FALSE), VLOOKUP($A53,raw[],COLUMN(AL$1)-COLUMN($A$1),FALSE))</f>
        <v>4.3904317727484999E-3</v>
      </c>
      <c r="AL53" s="72">
        <f>IF(VLOOKUP($A53,raw[],COLUMN(AM$1)-COLUMN($A$1),FALSE)=0, VLOOKUP($D53, regions[], COLUMN(AM$1)-COLUMN($A$1), FALSE), VLOOKUP($A53,raw[],COLUMN(AM$1)-COLUMN($A$1),FALSE))</f>
        <v>5.0105637274453878E-3</v>
      </c>
      <c r="AM53" s="72">
        <f>IF(VLOOKUP($A53,raw[],COLUMN(AN$1)-COLUMN($A$1),FALSE)=0, VLOOKUP($D53, regions[], COLUMN(AN$1)-COLUMN($A$1), FALSE), VLOOKUP($A53,raw[],COLUMN(AN$1)-COLUMN($A$1),FALSE))</f>
        <v>5.9847837354568721E-3</v>
      </c>
      <c r="AN53" s="72">
        <f>IF(VLOOKUP($A53,raw[],COLUMN(AO$1)-COLUMN($A$1),FALSE)=0, VLOOKUP($D53, regions[], COLUMN(AO$1)-COLUMN($A$1), FALSE), VLOOKUP($A53,raw[],COLUMN(AO$1)-COLUMN($A$1),FALSE))</f>
        <v>1.0955838327829502E-2</v>
      </c>
      <c r="AO53" s="72">
        <f>IF(VLOOKUP($A53,raw[],COLUMN(AP$1)-COLUMN($A$1),FALSE)=0, VLOOKUP($D53, regions[], COLUMN(AP$1)-COLUMN($A$1), FALSE), VLOOKUP($A53,raw[],COLUMN(AP$1)-COLUMN($A$1),FALSE))</f>
        <v>1.253980659148783E-2</v>
      </c>
      <c r="AP53" s="72">
        <f>IF(VLOOKUP($A53,raw[],COLUMN(AQ$1)-COLUMN($A$1),FALSE)=0, VLOOKUP($D53, regions[], COLUMN(AQ$1)-COLUMN($A$1), FALSE), VLOOKUP($A53,raw[],COLUMN(AQ$1)-COLUMN($A$1),FALSE))</f>
        <v>1.7388029464346286E-2</v>
      </c>
      <c r="AQ53" s="72">
        <f>IF(VLOOKUP($A53,raw[],COLUMN(AR$1)-COLUMN($A$1),FALSE)=0, VLOOKUP($D53, regions[], COLUMN(AR$1)-COLUMN($A$1), FALSE), VLOOKUP($A53,raw[],COLUMN(AR$1)-COLUMN($A$1),FALSE))</f>
        <v>2.2959833950200511E-2</v>
      </c>
      <c r="AR53" s="72">
        <f>IF(VLOOKUP($A53,raw[],COLUMN(AS$1)-COLUMN($A$1),FALSE)=0, VLOOKUP($D53, regions[], COLUMN(AS$1)-COLUMN($A$1), FALSE), VLOOKUP($A53,raw[],COLUMN(AS$1)-COLUMN($A$1),FALSE))</f>
        <v>3.0883582504884172E-2</v>
      </c>
      <c r="AS53" s="72">
        <f>IF(VLOOKUP($A53,raw[],COLUMN(AT$1)-COLUMN($A$1),FALSE)=0, VLOOKUP($D53, regions[], COLUMN(AT$1)-COLUMN($A$1), FALSE), VLOOKUP($A53,raw[],COLUMN(AT$1)-COLUMN($A$1),FALSE))</f>
        <v>4.6713681331453642E-2</v>
      </c>
      <c r="AT53" s="72">
        <f>IF(VLOOKUP($A53,raw[],COLUMN(AU$1)-COLUMN($A$1),FALSE)=0, VLOOKUP($D53, regions[], COLUMN(AU$1)-COLUMN($A$1), FALSE), VLOOKUP($A53,raw[],COLUMN(AU$1)-COLUMN($A$1),FALSE))</f>
        <v>5.9747572996195611E-2</v>
      </c>
      <c r="AU53" s="72">
        <f>IF(VLOOKUP($A53,raw[],COLUMN(AV$1)-COLUMN($A$1),FALSE)=0, VLOOKUP($D53, regions[], COLUMN(AV$1)-COLUMN($A$1), FALSE), VLOOKUP($A53,raw[],COLUMN(AV$1)-COLUMN($A$1),FALSE))</f>
        <v>7.8704938447834924E-2</v>
      </c>
      <c r="AV53" s="72">
        <f>IF(VLOOKUP($A53,raw[],COLUMN(AW$1)-COLUMN($A$1),FALSE)=0, VLOOKUP($D53, regions[], COLUMN(AW$1)-COLUMN($A$1), FALSE), VLOOKUP($A53,raw[],COLUMN(AW$1)-COLUMN($A$1),FALSE))</f>
        <v>9.9134878394333367E-2</v>
      </c>
      <c r="AW53" s="72">
        <f>IF(VLOOKUP($A53,raw[],COLUMN(AX$1)-COLUMN($A$1),FALSE)=0, VLOOKUP($D53, regions[], COLUMN(AX$1)-COLUMN($A$1), FALSE), VLOOKUP($A53,raw[],COLUMN(AX$1)-COLUMN($A$1),FALSE))</f>
        <v>0.11975067867203804</v>
      </c>
      <c r="AX53" s="72">
        <f>IF(VLOOKUP($A53,raw[],COLUMN(AY$1)-COLUMN($A$1),FALSE)=0, VLOOKUP($D53, regions[], COLUMN(AY$1)-COLUMN($A$1), FALSE), VLOOKUP($A53,raw[],COLUMN(AY$1)-COLUMN($A$1),FALSE))</f>
        <v>69.712999999999994</v>
      </c>
      <c r="AY53" t="str">
        <f t="shared" si="1"/>
        <v>No</v>
      </c>
    </row>
    <row r="54" spans="1:51" x14ac:dyDescent="0.25">
      <c r="A54" s="53" t="s">
        <v>328</v>
      </c>
      <c r="B54" s="54" t="s">
        <v>329</v>
      </c>
      <c r="C54" s="54">
        <v>332</v>
      </c>
      <c r="D54" s="54" t="s">
        <v>215</v>
      </c>
      <c r="E54" s="54" t="s">
        <v>232</v>
      </c>
      <c r="F54" s="54" t="s">
        <v>217</v>
      </c>
      <c r="G54" s="54" t="s">
        <v>198</v>
      </c>
      <c r="H54" s="73">
        <f>VLOOKUP(lmics[[#This Row],[setting]],raw[],8,FALSE)</f>
        <v>11402533</v>
      </c>
      <c r="I54" s="73">
        <f>VLOOKUP(lmics[[#This Row],[setting]],raw[],9,FALSE)</f>
        <v>279738.34208899998</v>
      </c>
      <c r="J54" s="67">
        <f>IF(VLOOKUP($A54,raw[],COLUMN(J$1),FALSE)=0, VLOOKUP($D54, regions[], COLUMN(J$1), FALSE), VLOOKUP($A54,raw[],COLUMN(J$1),FALSE))</f>
        <v>0.39399999999999996</v>
      </c>
      <c r="K54" s="77">
        <f>VLOOKUP($A54, raw[], 11, FALSE)</f>
        <v>0</v>
      </c>
      <c r="L54" s="77">
        <f>VLOOKUP($A54, raw[], 12, FALSE)</f>
        <v>0.51</v>
      </c>
      <c r="M54" s="77">
        <f>IF(VLOOKUP($A54,raw[],COLUMN(M$1),FALSE)=0, VLOOKUP($D54, regions[], COLUMN(M$1), FALSE), VLOOKUP($A54,raw[],COLUMN(M$1),FALSE))</f>
        <v>3.2899999999999999E-2</v>
      </c>
      <c r="N54" s="68">
        <f>IF(VLOOKUP($A54,raw[],COLUMN(N$1),FALSE)=0, VLOOKUP($D54, regions[], COLUMN(N$1), FALSE), VLOOKUP($A54,raw[],COLUMN(N$1),FALSE))</f>
        <v>0.29443792053442375</v>
      </c>
      <c r="O54" s="67">
        <f>IF(VLOOKUP($A54,raw[],COLUMN(O$1),FALSE)=0, VLOOKUP($D54, regions[], COLUMN(O$1), FALSE), VLOOKUP($A54,raw[],COLUMN(O$1),FALSE))</f>
        <v>0.8</v>
      </c>
      <c r="P54" s="68">
        <f>IF(VLOOKUP($A54,raw[],COLUMN(P$1),FALSE)=0, VLOOKUP($D54, regions[], COLUMN(P$1), FALSE), VLOOKUP($A54,raw[],COLUMN(P$1),FALSE))</f>
        <v>0.17499999999999999</v>
      </c>
      <c r="Q54" s="70">
        <f>IF(VLOOKUP($A54,raw[],COLUMN(Q$1),FALSE)=0, VLOOKUP($D54, regions[], COLUMN(Q$1), FALSE), VLOOKUP($A54,raw[],COLUMN(Q$1),FALSE))</f>
        <v>3.4230050225225201</v>
      </c>
      <c r="R54" s="70">
        <f>IF(VLOOKUP($A54,raw[],COLUMN(R$1),FALSE)=0, VLOOKUP($D54, regions[], COLUMN(R$1), FALSE), VLOOKUP($A54,raw[],COLUMN(R$1),FALSE))</f>
        <v>25.748385022522523</v>
      </c>
      <c r="S54" s="70">
        <f>IF(VLOOKUP($A54,raw[],COLUMN(S$1),FALSE)=0, VLOOKUP($D54, regions[], COLUMN(S$1), FALSE), VLOOKUP($A54,raw[],COLUMN(S$1),FALSE))</f>
        <v>57.068662470787928</v>
      </c>
      <c r="T54" s="70">
        <f>IF(VLOOKUP($A54,raw[],COLUMN(U$1)-COLUMN($A$1),FALSE)=0, VLOOKUP($D54, regions[], COLUMN(U$1)-COLUMN($A$1), FALSE), VLOOKUP($A54,raw[],COLUMN(U$1)-COLUMN($A$1),FALSE))</f>
        <v>58.161783475503256</v>
      </c>
      <c r="U54" s="70">
        <f>IF(VLOOKUP($A54,raw[],COLUMN(V$1)-COLUMN($A$1),FALSE)=0, VLOOKUP($D54, regions[], COLUMN(V$1)-COLUMN($A$1), FALSE), VLOOKUP($A54,raw[],COLUMN(V$1)-COLUMN($A$1),FALSE))</f>
        <v>57.659845415772466</v>
      </c>
      <c r="V54" s="70">
        <f>IF(VLOOKUP($A54,raw[],COLUMN(W$1)-COLUMN($A$1),FALSE)=0, VLOOKUP($D54, regions[], COLUMN(W$1)-COLUMN($A$1), FALSE), VLOOKUP($A54,raw[],COLUMN(W$1)-COLUMN($A$1),FALSE))</f>
        <v>1.4869261536821499</v>
      </c>
      <c r="W54" s="70">
        <f>IF(VLOOKUP($A54,raw[],COLUMN(X$1)-COLUMN($A$1),FALSE)=0, VLOOKUP($D54, regions[], COLUMN(X$1)-COLUMN($A$1), FALSE), VLOOKUP($A54,raw[],COLUMN(X$1)-COLUMN($A$1),FALSE))</f>
        <v>1.5069261536821499</v>
      </c>
      <c r="X54" s="70">
        <f>IF(VLOOKUP($A54,raw[],COLUMN(Y$1)-COLUMN($A$1),FALSE)=0, VLOOKUP($D54, regions[], COLUMN(Y$1)-COLUMN($A$1), FALSE), VLOOKUP($A54,raw[],COLUMN(Y$1)-COLUMN($A$1),FALSE))</f>
        <v>1.0784354360964237</v>
      </c>
      <c r="Y54" s="70">
        <f>IF(VLOOKUP($A54,raw[],COLUMN(Z$1)-COLUMN($A$1),FALSE)=0, VLOOKUP($D54, regions[], COLUMN(Z$1)-COLUMN($A$1), FALSE), VLOOKUP($A54,raw[],COLUMN(Z$1)-COLUMN($A$1),FALSE))</f>
        <v>1.0984354360964237</v>
      </c>
      <c r="Z54" s="70">
        <f>IF(VLOOKUP($A54,raw[],COLUMN(AA$1)-COLUMN($A$1),FALSE)=0, VLOOKUP($D54, regions[], COLUMN(AA$1)-COLUMN($A$1), FALSE), VLOOKUP($A54,raw[],COLUMN(AA$1)-COLUMN($A$1),FALSE))</f>
        <v>1.0954054802738959</v>
      </c>
      <c r="AA54" s="70">
        <f>IF(VLOOKUP($A54,raw[],COLUMN(AB$1)-COLUMN($A$1),FALSE)=0, VLOOKUP($D54, regions[], COLUMN(AB$1)-COLUMN($A$1), FALSE), VLOOKUP($A54,raw[],COLUMN(AB$1)-COLUMN($A$1),FALSE))</f>
        <v>1.6913219013150407</v>
      </c>
      <c r="AB54" s="70">
        <f>IF(VLOOKUP($A54,raw[],COLUMN(AC$1)-COLUMN($A$1),FALSE)=0, VLOOKUP($D54, regions[], COLUMN(AC$1)-COLUMN($A$1), FALSE), VLOOKUP($A54,raw[],COLUMN(AC$1)-COLUMN($A$1),FALSE))</f>
        <v>1.7113219013150407</v>
      </c>
      <c r="AC54" s="72">
        <f>IF(VLOOKUP($A54,raw[],COLUMN(AD$1)-COLUMN($A$1),FALSE)=0, VLOOKUP($D54, regions[], COLUMN(AD$1)-COLUMN($A$1), FALSE), VLOOKUP($A54,raw[],COLUMN(AD$1)-COLUMN($A$1),FALSE))</f>
        <v>5.4323950000000037E-2</v>
      </c>
      <c r="AD54" s="72">
        <f>IF(VLOOKUP($A54,raw[],COLUMN(AE$1)-COLUMN($A$1),FALSE)=0, VLOOKUP($D54, regions[], COLUMN(AE$1)-COLUMN($A$1), FALSE), VLOOKUP($A54,raw[],COLUMN(AE$1)-COLUMN($A$1),FALSE))</f>
        <v>7.0672060479907532E-3</v>
      </c>
      <c r="AE54" s="72">
        <f>IF(VLOOKUP($A54,raw[],COLUMN(AF$1)-COLUMN($A$1),FALSE)=0, VLOOKUP($D54, regions[], COLUMN(AF$1)-COLUMN($A$1), FALSE), VLOOKUP($A54,raw[],COLUMN(AF$1)-COLUMN($A$1),FALSE))</f>
        <v>2.5147090205495702E-3</v>
      </c>
      <c r="AF54" s="72">
        <f>IF(VLOOKUP($A54,raw[],COLUMN(AG$1)-COLUMN($A$1),FALSE)=0, VLOOKUP($D54, regions[], COLUMN(AG$1)-COLUMN($A$1), FALSE), VLOOKUP($A54,raw[],COLUMN(AG$1)-COLUMN($A$1),FALSE))</f>
        <v>2.0463406122182312E-3</v>
      </c>
      <c r="AG54" s="72">
        <f>IF(VLOOKUP($A54,raw[],COLUMN(AH$1)-COLUMN($A$1),FALSE)=0, VLOOKUP($D54, regions[], COLUMN(AH$1)-COLUMN($A$1), FALSE), VLOOKUP($A54,raw[],COLUMN(AH$1)-COLUMN($A$1),FALSE))</f>
        <v>2.5321978157550663E-3</v>
      </c>
      <c r="AH54" s="72">
        <f>IF(VLOOKUP($A54,raw[],COLUMN(AI$1)-COLUMN($A$1),FALSE)=0, VLOOKUP($D54, regions[], COLUMN(AI$1)-COLUMN($A$1), FALSE), VLOOKUP($A54,raw[],COLUMN(AI$1)-COLUMN($A$1),FALSE))</f>
        <v>3.1994076777362313E-3</v>
      </c>
      <c r="AI54" s="72">
        <f>IF(VLOOKUP($A54,raw[],COLUMN(AJ$1)-COLUMN($A$1),FALSE)=0, VLOOKUP($D54, regions[], COLUMN(AJ$1)-COLUMN($A$1), FALSE), VLOOKUP($A54,raw[],COLUMN(AJ$1)-COLUMN($A$1),FALSE))</f>
        <v>3.8000275973229503E-3</v>
      </c>
      <c r="AJ54" s="72">
        <f>IF(VLOOKUP($A54,raw[],COLUMN(AK$1)-COLUMN($A$1),FALSE)=0, VLOOKUP($D54, regions[], COLUMN(AK$1)-COLUMN($A$1), FALSE), VLOOKUP($A54,raw[],COLUMN(AK$1)-COLUMN($A$1),FALSE))</f>
        <v>4.3188296372958738E-3</v>
      </c>
      <c r="AK54" s="72">
        <f>IF(VLOOKUP($A54,raw[],COLUMN(AL$1)-COLUMN($A$1),FALSE)=0, VLOOKUP($D54, regions[], COLUMN(AL$1)-COLUMN($A$1), FALSE), VLOOKUP($A54,raw[],COLUMN(AL$1)-COLUMN($A$1),FALSE))</f>
        <v>4.8464719263578938E-3</v>
      </c>
      <c r="AL54" s="72">
        <f>IF(VLOOKUP($A54,raw[],COLUMN(AM$1)-COLUMN($A$1),FALSE)=0, VLOOKUP($D54, regions[], COLUMN(AM$1)-COLUMN($A$1), FALSE), VLOOKUP($A54,raw[],COLUMN(AM$1)-COLUMN($A$1),FALSE))</f>
        <v>5.5476557359873113E-3</v>
      </c>
      <c r="AM54" s="72">
        <f>IF(VLOOKUP($A54,raw[],COLUMN(AN$1)-COLUMN($A$1),FALSE)=0, VLOOKUP($D54, regions[], COLUMN(AN$1)-COLUMN($A$1), FALSE), VLOOKUP($A54,raw[],COLUMN(AN$1)-COLUMN($A$1),FALSE))</f>
        <v>6.6683811519541334E-3</v>
      </c>
      <c r="AN54" s="72">
        <f>IF(VLOOKUP($A54,raw[],COLUMN(AO$1)-COLUMN($A$1),FALSE)=0, VLOOKUP($D54, regions[], COLUMN(AO$1)-COLUMN($A$1), FALSE), VLOOKUP($A54,raw[],COLUMN(AO$1)-COLUMN($A$1),FALSE))</f>
        <v>8.5753634458676023E-3</v>
      </c>
      <c r="AO54" s="72">
        <f>IF(VLOOKUP($A54,raw[],COLUMN(AP$1)-COLUMN($A$1),FALSE)=0, VLOOKUP($D54, regions[], COLUMN(AP$1)-COLUMN($A$1), FALSE), VLOOKUP($A54,raw[],COLUMN(AP$1)-COLUMN($A$1),FALSE))</f>
        <v>1.1809821325573164E-2</v>
      </c>
      <c r="AP54" s="72">
        <f>IF(VLOOKUP($A54,raw[],COLUMN(AQ$1)-COLUMN($A$1),FALSE)=0, VLOOKUP($D54, regions[], COLUMN(AQ$1)-COLUMN($A$1), FALSE), VLOOKUP($A54,raw[],COLUMN(AQ$1)-COLUMN($A$1),FALSE))</f>
        <v>1.7189555412017703E-2</v>
      </c>
      <c r="AQ54" s="72">
        <f>IF(VLOOKUP($A54,raw[],COLUMN(AR$1)-COLUMN($A$1),FALSE)=0, VLOOKUP($D54, regions[], COLUMN(AR$1)-COLUMN($A$1), FALSE), VLOOKUP($A54,raw[],COLUMN(AR$1)-COLUMN($A$1),FALSE))</f>
        <v>2.5854649298542358E-2</v>
      </c>
      <c r="AR54" s="72">
        <f>IF(VLOOKUP($A54,raw[],COLUMN(AS$1)-COLUMN($A$1),FALSE)=0, VLOOKUP($D54, regions[], COLUMN(AS$1)-COLUMN($A$1), FALSE), VLOOKUP($A54,raw[],COLUMN(AS$1)-COLUMN($A$1),FALSE))</f>
        <v>3.9417013017763521E-2</v>
      </c>
      <c r="AS54" s="72">
        <f>IF(VLOOKUP($A54,raw[],COLUMN(AT$1)-COLUMN($A$1),FALSE)=0, VLOOKUP($D54, regions[], COLUMN(AT$1)-COLUMN($A$1), FALSE), VLOOKUP($A54,raw[],COLUMN(AT$1)-COLUMN($A$1),FALSE))</f>
        <v>5.940574491064482E-2</v>
      </c>
      <c r="AT54" s="72">
        <f>IF(VLOOKUP($A54,raw[],COLUMN(AU$1)-COLUMN($A$1),FALSE)=0, VLOOKUP($D54, regions[], COLUMN(AU$1)-COLUMN($A$1), FALSE), VLOOKUP($A54,raw[],COLUMN(AU$1)-COLUMN($A$1),FALSE))</f>
        <v>8.1802999388428346E-2</v>
      </c>
      <c r="AU54" s="72">
        <f>IF(VLOOKUP($A54,raw[],COLUMN(AV$1)-COLUMN($A$1),FALSE)=0, VLOOKUP($D54, regions[], COLUMN(AV$1)-COLUMN($A$1), FALSE), VLOOKUP($A54,raw[],COLUMN(AV$1)-COLUMN($A$1),FALSE))</f>
        <v>0.10584042768294169</v>
      </c>
      <c r="AV54" s="72">
        <f>IF(VLOOKUP($A54,raw[],COLUMN(AW$1)-COLUMN($A$1),FALSE)=0, VLOOKUP($D54, regions[], COLUMN(AW$1)-COLUMN($A$1), FALSE), VLOOKUP($A54,raw[],COLUMN(AW$1)-COLUMN($A$1),FALSE))</f>
        <v>0.12856894104263286</v>
      </c>
      <c r="AW54" s="72">
        <f>IF(VLOOKUP($A54,raw[],COLUMN(AX$1)-COLUMN($A$1),FALSE)=0, VLOOKUP($D54, regions[], COLUMN(AX$1)-COLUMN($A$1), FALSE), VLOOKUP($A54,raw[],COLUMN(AX$1)-COLUMN($A$1),FALSE))</f>
        <v>0.14823456044166194</v>
      </c>
      <c r="AX54" s="72">
        <f>IF(VLOOKUP($A54,raw[],COLUMN(AY$1)-COLUMN($A$1),FALSE)=0, VLOOKUP($D54, regions[], COLUMN(AY$1)-COLUMN($A$1), FALSE), VLOOKUP($A54,raw[],COLUMN(AY$1)-COLUMN($A$1),FALSE))</f>
        <v>63.518999999999998</v>
      </c>
      <c r="AY54" t="str">
        <f t="shared" si="1"/>
        <v>Yes</v>
      </c>
    </row>
    <row r="55" spans="1:51" x14ac:dyDescent="0.25">
      <c r="A55" s="55" t="s">
        <v>330</v>
      </c>
      <c r="B55" s="56" t="s">
        <v>331</v>
      </c>
      <c r="C55" s="56">
        <v>340</v>
      </c>
      <c r="D55" s="56" t="s">
        <v>215</v>
      </c>
      <c r="E55" s="56" t="s">
        <v>274</v>
      </c>
      <c r="F55" s="56" t="s">
        <v>217</v>
      </c>
      <c r="G55" s="56" t="s">
        <v>212</v>
      </c>
      <c r="H55" s="74">
        <f>VLOOKUP(lmics[[#This Row],[setting]],raw[],8,FALSE)</f>
        <v>9904608</v>
      </c>
      <c r="I55" s="74">
        <f>VLOOKUP(lmics[[#This Row],[setting]],raw[],9,FALSE)</f>
        <v>215960.07283199998</v>
      </c>
      <c r="J55" s="67">
        <f>IF(VLOOKUP($A55,raw[],COLUMN(J$1),FALSE)=0, VLOOKUP($D55, regions[], COLUMN(J$1), FALSE), VLOOKUP($A55,raw[],COLUMN(J$1),FALSE))</f>
        <v>0.82700000000000007</v>
      </c>
      <c r="K55" s="77">
        <f>VLOOKUP($A55, raw[], 11, FALSE)</f>
        <v>0.71</v>
      </c>
      <c r="L55" s="77">
        <f>VLOOKUP($A55, raw[], 12, FALSE)</f>
        <v>0.8</v>
      </c>
      <c r="M55" s="77">
        <f>IF(VLOOKUP($A55,raw[],COLUMN(M$1),FALSE)=0, VLOOKUP($D55, regions[], COLUMN(M$1), FALSE), VLOOKUP($A55,raw[],COLUMN(M$1),FALSE))</f>
        <v>5.3E-3</v>
      </c>
      <c r="N55" s="68">
        <f>IF(VLOOKUP($A55,raw[],COLUMN(N$1),FALSE)=0, VLOOKUP($D55, regions[], COLUMN(N$1), FALSE), VLOOKUP($A55,raw[],COLUMN(N$1),FALSE))</f>
        <v>0.31422832861627031</v>
      </c>
      <c r="O55" s="67">
        <f>IF(VLOOKUP($A55,raw[],COLUMN(O$1),FALSE)=0, VLOOKUP($D55, regions[], COLUMN(O$1), FALSE), VLOOKUP($A55,raw[],COLUMN(O$1),FALSE))</f>
        <v>0.8</v>
      </c>
      <c r="P55" s="68">
        <f>IF(VLOOKUP($A55,raw[],COLUMN(P$1),FALSE)=0, VLOOKUP($D55, regions[], COLUMN(P$1), FALSE), VLOOKUP($A55,raw[],COLUMN(P$1),FALSE))</f>
        <v>0.17499999999999999</v>
      </c>
      <c r="Q55" s="70">
        <f>IF(VLOOKUP($A55,raw[],COLUMN(Q$1),FALSE)=0, VLOOKUP($D55, regions[], COLUMN(Q$1), FALSE), VLOOKUP($A55,raw[],COLUMN(Q$1),FALSE))</f>
        <v>5.4970919979242305</v>
      </c>
      <c r="R55" s="70">
        <f>IF(VLOOKUP($A55,raw[],COLUMN(R$1),FALSE)=0, VLOOKUP($D55, regions[], COLUMN(R$1), FALSE), VLOOKUP($A55,raw[],COLUMN(R$1),FALSE))</f>
        <v>27.822471997924232</v>
      </c>
      <c r="S55" s="70">
        <f>IF(VLOOKUP($A55,raw[],COLUMN(S$1),FALSE)=0, VLOOKUP($D55, regions[], COLUMN(S$1), FALSE), VLOOKUP($A55,raw[],COLUMN(S$1),FALSE))</f>
        <v>65.319708397434894</v>
      </c>
      <c r="T55" s="70">
        <f>IF(VLOOKUP($A55,raw[],COLUMN(U$1)-COLUMN($A$1),FALSE)=0, VLOOKUP($D55, regions[], COLUMN(U$1)-COLUMN($A$1), FALSE), VLOOKUP($A55,raw[],COLUMN(U$1)-COLUMN($A$1),FALSE))</f>
        <v>69.627720644470145</v>
      </c>
      <c r="U55" s="70">
        <f>IF(VLOOKUP($A55,raw[],COLUMN(V$1)-COLUMN($A$1),FALSE)=0, VLOOKUP($D55, regions[], COLUMN(V$1)-COLUMN($A$1), FALSE), VLOOKUP($A55,raw[],COLUMN(V$1)-COLUMN($A$1),FALSE))</f>
        <v>67.649572480409887</v>
      </c>
      <c r="V55" s="70">
        <f>IF(VLOOKUP($A55,raw[],COLUMN(W$1)-COLUMN($A$1),FALSE)=0, VLOOKUP($D55, regions[], COLUMN(W$1)-COLUMN($A$1), FALSE), VLOOKUP($A55,raw[],COLUMN(W$1)-COLUMN($A$1),FALSE))</f>
        <v>3.6019508380092509</v>
      </c>
      <c r="W55" s="70">
        <f>IF(VLOOKUP($A55,raw[],COLUMN(X$1)-COLUMN($A$1),FALSE)=0, VLOOKUP($D55, regions[], COLUMN(X$1)-COLUMN($A$1), FALSE), VLOOKUP($A55,raw[],COLUMN(X$1)-COLUMN($A$1),FALSE))</f>
        <v>3.6219508380092509</v>
      </c>
      <c r="X55" s="70">
        <f>IF(VLOOKUP($A55,raw[],COLUMN(Y$1)-COLUMN($A$1),FALSE)=0, VLOOKUP($D55, regions[], COLUMN(Y$1)-COLUMN($A$1), FALSE), VLOOKUP($A55,raw[],COLUMN(Y$1)-COLUMN($A$1),FALSE))</f>
        <v>3.1867617597257589</v>
      </c>
      <c r="Y55" s="70">
        <f>IF(VLOOKUP($A55,raw[],COLUMN(Z$1)-COLUMN($A$1),FALSE)=0, VLOOKUP($D55, regions[], COLUMN(Z$1)-COLUMN($A$1), FALSE), VLOOKUP($A55,raw[],COLUMN(Z$1)-COLUMN($A$1),FALSE))</f>
        <v>3.2067617597257589</v>
      </c>
      <c r="Z55" s="70">
        <f>IF(VLOOKUP($A55,raw[],COLUMN(AA$1)-COLUMN($A$1),FALSE)=0, VLOOKUP($D55, regions[], COLUMN(AA$1)-COLUMN($A$1), FALSE), VLOOKUP($A55,raw[],COLUMN(AA$1)-COLUMN($A$1),FALSE))</f>
        <v>3.2009726275829111</v>
      </c>
      <c r="AA55" s="70">
        <f>IF(VLOOKUP($A55,raw[],COLUMN(AB$1)-COLUMN($A$1),FALSE)=0, VLOOKUP($D55, regions[], COLUMN(AB$1)-COLUMN($A$1), FALSE), VLOOKUP($A55,raw[],COLUMN(AB$1)-COLUMN($A$1),FALSE))</f>
        <v>3.808734696847432</v>
      </c>
      <c r="AB55" s="70">
        <f>IF(VLOOKUP($A55,raw[],COLUMN(AC$1)-COLUMN($A$1),FALSE)=0, VLOOKUP($D55, regions[], COLUMN(AC$1)-COLUMN($A$1), FALSE), VLOOKUP($A55,raw[],COLUMN(AC$1)-COLUMN($A$1),FALSE))</f>
        <v>3.8287346968474321</v>
      </c>
      <c r="AC55" s="72">
        <f>IF(VLOOKUP($A55,raw[],COLUMN(AD$1)-COLUMN($A$1),FALSE)=0, VLOOKUP($D55, regions[], COLUMN(AD$1)-COLUMN($A$1), FALSE), VLOOKUP($A55,raw[],COLUMN(AD$1)-COLUMN($A$1),FALSE))</f>
        <v>1.5040069999999978E-2</v>
      </c>
      <c r="AD55" s="72">
        <f>IF(VLOOKUP($A55,raw[],COLUMN(AE$1)-COLUMN($A$1),FALSE)=0, VLOOKUP($D55, regions[], COLUMN(AE$1)-COLUMN($A$1), FALSE), VLOOKUP($A55,raw[],COLUMN(AE$1)-COLUMN($A$1),FALSE))</f>
        <v>1.592156139793422E-3</v>
      </c>
      <c r="AE55" s="72">
        <f>IF(VLOOKUP($A55,raw[],COLUMN(AF$1)-COLUMN($A$1),FALSE)=0, VLOOKUP($D55, regions[], COLUMN(AF$1)-COLUMN($A$1), FALSE), VLOOKUP($A55,raw[],COLUMN(AF$1)-COLUMN($A$1),FALSE))</f>
        <v>8.5894052204161684E-4</v>
      </c>
      <c r="AF55" s="72">
        <f>IF(VLOOKUP($A55,raw[],COLUMN(AG$1)-COLUMN($A$1),FALSE)=0, VLOOKUP($D55, regions[], COLUMN(AG$1)-COLUMN($A$1), FALSE), VLOOKUP($A55,raw[],COLUMN(AG$1)-COLUMN($A$1),FALSE))</f>
        <v>6.946384502681366E-4</v>
      </c>
      <c r="AG55" s="72">
        <f>IF(VLOOKUP($A55,raw[],COLUMN(AH$1)-COLUMN($A$1),FALSE)=0, VLOOKUP($D55, regions[], COLUMN(AH$1)-COLUMN($A$1), FALSE), VLOOKUP($A55,raw[],COLUMN(AH$1)-COLUMN($A$1),FALSE))</f>
        <v>9.9773107664010677E-4</v>
      </c>
      <c r="AH55" s="72">
        <f>IF(VLOOKUP($A55,raw[],COLUMN(AI$1)-COLUMN($A$1),FALSE)=0, VLOOKUP($D55, regions[], COLUMN(AI$1)-COLUMN($A$1), FALSE), VLOOKUP($A55,raw[],COLUMN(AI$1)-COLUMN($A$1),FALSE))</f>
        <v>1.4592485313942006E-3</v>
      </c>
      <c r="AI55" s="72">
        <f>IF(VLOOKUP($A55,raw[],COLUMN(AJ$1)-COLUMN($A$1),FALSE)=0, VLOOKUP($D55, regions[], COLUMN(AJ$1)-COLUMN($A$1), FALSE), VLOOKUP($A55,raw[],COLUMN(AJ$1)-COLUMN($A$1),FALSE))</f>
        <v>1.9275132097957353E-3</v>
      </c>
      <c r="AJ55" s="72">
        <f>IF(VLOOKUP($A55,raw[],COLUMN(AK$1)-COLUMN($A$1),FALSE)=0, VLOOKUP($D55, regions[], COLUMN(AK$1)-COLUMN($A$1), FALSE), VLOOKUP($A55,raw[],COLUMN(AK$1)-COLUMN($A$1),FALSE))</f>
        <v>2.3727893342589956E-3</v>
      </c>
      <c r="AK55" s="72">
        <f>IF(VLOOKUP($A55,raw[],COLUMN(AL$1)-COLUMN($A$1),FALSE)=0, VLOOKUP($D55, regions[], COLUMN(AL$1)-COLUMN($A$1), FALSE), VLOOKUP($A55,raw[],COLUMN(AL$1)-COLUMN($A$1),FALSE))</f>
        <v>2.8322039723949009E-3</v>
      </c>
      <c r="AL55" s="72">
        <f>IF(VLOOKUP($A55,raw[],COLUMN(AM$1)-COLUMN($A$1),FALSE)=0, VLOOKUP($D55, regions[], COLUMN(AM$1)-COLUMN($A$1), FALSE), VLOOKUP($A55,raw[],COLUMN(AM$1)-COLUMN($A$1),FALSE))</f>
        <v>3.4012113823321507E-3</v>
      </c>
      <c r="AM55" s="72">
        <f>IF(VLOOKUP($A55,raw[],COLUMN(AN$1)-COLUMN($A$1),FALSE)=0, VLOOKUP($D55, regions[], COLUMN(AN$1)-COLUMN($A$1), FALSE), VLOOKUP($A55,raw[],COLUMN(AN$1)-COLUMN($A$1),FALSE))</f>
        <v>4.2241871053381088E-3</v>
      </c>
      <c r="AN55" s="72">
        <f>IF(VLOOKUP($A55,raw[],COLUMN(AO$1)-COLUMN($A$1),FALSE)=0, VLOOKUP($D55, regions[], COLUMN(AO$1)-COLUMN($A$1), FALSE), VLOOKUP($A55,raw[],COLUMN(AO$1)-COLUMN($A$1),FALSE))</f>
        <v>5.5211588533185313E-3</v>
      </c>
      <c r="AO55" s="72">
        <f>IF(VLOOKUP($A55,raw[],COLUMN(AP$1)-COLUMN($A$1),FALSE)=0, VLOOKUP($D55, regions[], COLUMN(AP$1)-COLUMN($A$1), FALSE), VLOOKUP($A55,raw[],COLUMN(AP$1)-COLUMN($A$1),FALSE))</f>
        <v>7.6225523309263613E-3</v>
      </c>
      <c r="AP55" s="72">
        <f>IF(VLOOKUP($A55,raw[],COLUMN(AQ$1)-COLUMN($A$1),FALSE)=0, VLOOKUP($D55, regions[], COLUMN(AQ$1)-COLUMN($A$1), FALSE), VLOOKUP($A55,raw[],COLUMN(AQ$1)-COLUMN($A$1),FALSE))</f>
        <v>1.1032521485562581E-2</v>
      </c>
      <c r="AQ55" s="72">
        <f>IF(VLOOKUP($A55,raw[],COLUMN(AR$1)-COLUMN($A$1),FALSE)=0, VLOOKUP($D55, regions[], COLUMN(AR$1)-COLUMN($A$1), FALSE), VLOOKUP($A55,raw[],COLUMN(AR$1)-COLUMN($A$1),FALSE))</f>
        <v>1.6510135285567287E-2</v>
      </c>
      <c r="AR55" s="72">
        <f>IF(VLOOKUP($A55,raw[],COLUMN(AS$1)-COLUMN($A$1),FALSE)=0, VLOOKUP($D55, regions[], COLUMN(AS$1)-COLUMN($A$1), FALSE), VLOOKUP($A55,raw[],COLUMN(AS$1)-COLUMN($A$1),FALSE))</f>
        <v>2.5137394862241397E-2</v>
      </c>
      <c r="AS55" s="72">
        <f>IF(VLOOKUP($A55,raw[],COLUMN(AT$1)-COLUMN($A$1),FALSE)=0, VLOOKUP($D55, regions[], COLUMN(AT$1)-COLUMN($A$1), FALSE), VLOOKUP($A55,raw[],COLUMN(AT$1)-COLUMN($A$1),FALSE))</f>
        <v>3.8304070266972842E-2</v>
      </c>
      <c r="AT55" s="72">
        <f>IF(VLOOKUP($A55,raw[],COLUMN(AU$1)-COLUMN($A$1),FALSE)=0, VLOOKUP($D55, regions[], COLUMN(AU$1)-COLUMN($A$1), FALSE), VLOOKUP($A55,raw[],COLUMN(AU$1)-COLUMN($A$1),FALSE))</f>
        <v>5.7440275631066996E-2</v>
      </c>
      <c r="AU55" s="72">
        <f>IF(VLOOKUP($A55,raw[],COLUMN(AV$1)-COLUMN($A$1),FALSE)=0, VLOOKUP($D55, regions[], COLUMN(AV$1)-COLUMN($A$1), FALSE), VLOOKUP($A55,raw[],COLUMN(AV$1)-COLUMN($A$1),FALSE))</f>
        <v>8.3308930896146577E-2</v>
      </c>
      <c r="AV55" s="72">
        <f>IF(VLOOKUP($A55,raw[],COLUMN(AW$1)-COLUMN($A$1),FALSE)=0, VLOOKUP($D55, regions[], COLUMN(AW$1)-COLUMN($A$1), FALSE), VLOOKUP($A55,raw[],COLUMN(AW$1)-COLUMN($A$1),FALSE))</f>
        <v>0.11473305560186088</v>
      </c>
      <c r="AW55" s="72">
        <f>IF(VLOOKUP($A55,raw[],COLUMN(AX$1)-COLUMN($A$1),FALSE)=0, VLOOKUP($D55, regions[], COLUMN(AX$1)-COLUMN($A$1), FALSE), VLOOKUP($A55,raw[],COLUMN(AX$1)-COLUMN($A$1),FALSE))</f>
        <v>0.14934101990927171</v>
      </c>
      <c r="AX55" s="72">
        <f>IF(VLOOKUP($A55,raw[],COLUMN(AY$1)-COLUMN($A$1),FALSE)=0, VLOOKUP($D55, regions[], COLUMN(AY$1)-COLUMN($A$1), FALSE), VLOOKUP($A55,raw[],COLUMN(AY$1)-COLUMN($A$1),FALSE))</f>
        <v>74.992000000000004</v>
      </c>
      <c r="AY55" t="str">
        <f t="shared" si="1"/>
        <v>No</v>
      </c>
    </row>
    <row r="56" spans="1:51" x14ac:dyDescent="0.25">
      <c r="A56" s="53" t="s">
        <v>332</v>
      </c>
      <c r="B56" s="54" t="s">
        <v>333</v>
      </c>
      <c r="C56" s="54">
        <v>356</v>
      </c>
      <c r="D56" s="54" t="s">
        <v>225</v>
      </c>
      <c r="E56" s="54" t="s">
        <v>226</v>
      </c>
      <c r="F56" s="54" t="s">
        <v>226</v>
      </c>
      <c r="G56" s="54" t="s">
        <v>212</v>
      </c>
      <c r="H56" s="73">
        <f>VLOOKUP(lmics[[#This Row],[setting]],raw[],8,FALSE)</f>
        <v>1380004385</v>
      </c>
      <c r="I56" s="73">
        <f>VLOOKUP(lmics[[#This Row],[setting]],raw[],9,FALSE)</f>
        <v>24867679.017699998</v>
      </c>
      <c r="J56" s="67">
        <f>IF(VLOOKUP($A56,raw[],COLUMN(J$1),FALSE)=0, VLOOKUP($D56, regions[], COLUMN(J$1), FALSE), VLOOKUP($A56,raw[],COLUMN(J$1),FALSE))</f>
        <v>0.78900000000000003</v>
      </c>
      <c r="K56" s="77">
        <f>VLOOKUP($A56, raw[], 11, FALSE)</f>
        <v>0.54</v>
      </c>
      <c r="L56" s="77">
        <f>VLOOKUP($A56, raw[], 12, FALSE)</f>
        <v>0.85</v>
      </c>
      <c r="M56" s="77">
        <f>IF(VLOOKUP($A56,raw[],COLUMN(M$1),FALSE)=0, VLOOKUP($D56, regions[], COLUMN(M$1), FALSE), VLOOKUP($A56,raw[],COLUMN(M$1),FALSE))</f>
        <v>1.8000000000000002E-2</v>
      </c>
      <c r="N56" s="68">
        <f>IF(VLOOKUP($A56,raw[],COLUMN(N$1),FALSE)=0, VLOOKUP($D56, regions[], COLUMN(N$1), FALSE), VLOOKUP($A56,raw[],COLUMN(N$1),FALSE))</f>
        <v>0.26726619107184962</v>
      </c>
      <c r="O56" s="67">
        <f>IF(VLOOKUP($A56,raw[],COLUMN(O$1),FALSE)=0, VLOOKUP($D56, regions[], COLUMN(O$1), FALSE), VLOOKUP($A56,raw[],COLUMN(O$1),FALSE))</f>
        <v>0.8</v>
      </c>
      <c r="P56" s="68">
        <f>IF(VLOOKUP($A56,raw[],COLUMN(P$1),FALSE)=0, VLOOKUP($D56, regions[], COLUMN(P$1), FALSE), VLOOKUP($A56,raw[],COLUMN(P$1),FALSE))</f>
        <v>0.17499999999999999</v>
      </c>
      <c r="Q56" s="70">
        <f>IF(VLOOKUP($A56,raw[],COLUMN(Q$1),FALSE)=0, VLOOKUP($D56, regions[], COLUMN(Q$1), FALSE), VLOOKUP($A56,raw[],COLUMN(Q$1),FALSE))</f>
        <v>3.9836437837837799</v>
      </c>
      <c r="R56" s="70">
        <f>IF(VLOOKUP($A56,raw[],COLUMN(R$1),FALSE)=0, VLOOKUP($D56, regions[], COLUMN(R$1), FALSE), VLOOKUP($A56,raw[],COLUMN(R$1),FALSE))</f>
        <v>26.309023783783783</v>
      </c>
      <c r="S56" s="70">
        <f>IF(VLOOKUP($A56,raw[],COLUMN(S$1),FALSE)=0, VLOOKUP($D56, regions[], COLUMN(S$1), FALSE), VLOOKUP($A56,raw[],COLUMN(S$1),FALSE))</f>
        <v>60.123090534426169</v>
      </c>
      <c r="T56" s="70">
        <f>IF(VLOOKUP($A56,raw[],COLUMN(U$1)-COLUMN($A$1),FALSE)=0, VLOOKUP($D56, regions[], COLUMN(U$1)-COLUMN($A$1), FALSE), VLOOKUP($A56,raw[],COLUMN(U$1)-COLUMN($A$1),FALSE))</f>
        <v>62.514141710231044</v>
      </c>
      <c r="U56" s="70">
        <f>IF(VLOOKUP($A56,raw[],COLUMN(V$1)-COLUMN($A$1),FALSE)=0, VLOOKUP($D56, regions[], COLUMN(V$1)-COLUMN($A$1), FALSE), VLOOKUP($A56,raw[],COLUMN(V$1)-COLUMN($A$1),FALSE))</f>
        <v>61.416221550684696</v>
      </c>
      <c r="V56" s="70">
        <f>IF(VLOOKUP($A56,raw[],COLUMN(W$1)-COLUMN($A$1),FALSE)=0, VLOOKUP($D56, regions[], COLUMN(W$1)-COLUMN($A$1), FALSE), VLOOKUP($A56,raw[],COLUMN(W$1)-COLUMN($A$1),FALSE))</f>
        <v>1.5048305028114479</v>
      </c>
      <c r="W56" s="70">
        <f>IF(VLOOKUP($A56,raw[],COLUMN(X$1)-COLUMN($A$1),FALSE)=0, VLOOKUP($D56, regions[], COLUMN(X$1)-COLUMN($A$1), FALSE), VLOOKUP($A56,raw[],COLUMN(X$1)-COLUMN($A$1),FALSE))</f>
        <v>3.3146779638197121</v>
      </c>
      <c r="X56" s="70">
        <f>IF(VLOOKUP($A56,raw[],COLUMN(Y$1)-COLUMN($A$1),FALSE)=0, VLOOKUP($D56, regions[], COLUMN(Y$1)-COLUMN($A$1), FALSE), VLOOKUP($A56,raw[],COLUMN(Y$1)-COLUMN($A$1),FALSE))</f>
        <v>1.0923006011739376</v>
      </c>
      <c r="Y56" s="70">
        <f>IF(VLOOKUP($A56,raw[],COLUMN(Z$1)-COLUMN($A$1),FALSE)=0, VLOOKUP($D56, regions[], COLUMN(Z$1)-COLUMN($A$1), FALSE), VLOOKUP($A56,raw[],COLUMN(Z$1)-COLUMN($A$1),FALSE))</f>
        <v>2.902148062182202</v>
      </c>
      <c r="Z56" s="70">
        <f>IF(VLOOKUP($A56,raw[],COLUMN(AA$1)-COLUMN($A$1),FALSE)=0, VLOOKUP($D56, regions[], COLUMN(AA$1)-COLUMN($A$1), FALSE), VLOOKUP($A56,raw[],COLUMN(AA$1)-COLUMN($A$1),FALSE))</f>
        <v>2.8974036015473419</v>
      </c>
      <c r="AA56" s="70">
        <f>IF(VLOOKUP($A56,raw[],COLUMN(AB$1)-COLUMN($A$1),FALSE)=0, VLOOKUP($D56, regions[], COLUMN(AB$1)-COLUMN($A$1), FALSE), VLOOKUP($A56,raw[],COLUMN(AB$1)-COLUMN($A$1),FALSE))</f>
        <v>1.7106663073671489</v>
      </c>
      <c r="AB56" s="70">
        <f>IF(VLOOKUP($A56,raw[],COLUMN(AC$1)-COLUMN($A$1),FALSE)=0, VLOOKUP($D56, regions[], COLUMN(AC$1)-COLUMN($A$1), FALSE), VLOOKUP($A56,raw[],COLUMN(AC$1)-COLUMN($A$1),FALSE))</f>
        <v>3.5205137683754133</v>
      </c>
      <c r="AC56" s="72">
        <f>IF(VLOOKUP($A56,raw[],COLUMN(AD$1)-COLUMN($A$1),FALSE)=0, VLOOKUP($D56, regions[], COLUMN(AD$1)-COLUMN($A$1), FALSE), VLOOKUP($A56,raw[],COLUMN(AD$1)-COLUMN($A$1),FALSE))</f>
        <v>3.2000000000000001E-2</v>
      </c>
      <c r="AD56" s="72">
        <f>IF(VLOOKUP($A56,raw[],COLUMN(AE$1)-COLUMN($A$1),FALSE)=0, VLOOKUP($D56, regions[], COLUMN(AE$1)-COLUMN($A$1), FALSE), VLOOKUP($A56,raw[],COLUMN(AE$1)-COLUMN($A$1),FALSE))</f>
        <v>1.9125568181818215E-3</v>
      </c>
      <c r="AE56" s="72">
        <f>IF(VLOOKUP($A56,raw[],COLUMN(AF$1)-COLUMN($A$1),FALSE)=0, VLOOKUP($D56, regions[], COLUMN(AF$1)-COLUMN($A$1), FALSE), VLOOKUP($A56,raw[],COLUMN(AF$1)-COLUMN($A$1),FALSE))</f>
        <v>7.1535069456670386E-4</v>
      </c>
      <c r="AF56" s="72">
        <f>IF(VLOOKUP($A56,raw[],COLUMN(AG$1)-COLUMN($A$1),FALSE)=0, VLOOKUP($D56, regions[], COLUMN(AG$1)-COLUMN($A$1), FALSE), VLOOKUP($A56,raw[],COLUMN(AG$1)-COLUMN($A$1),FALSE))</f>
        <v>6.0160552047179691E-4</v>
      </c>
      <c r="AG56" s="72">
        <f>IF(VLOOKUP($A56,raw[],COLUMN(AH$1)-COLUMN($A$1),FALSE)=0, VLOOKUP($D56, regions[], COLUMN(AH$1)-COLUMN($A$1), FALSE), VLOOKUP($A56,raw[],COLUMN(AH$1)-COLUMN($A$1),FALSE))</f>
        <v>9.4642282045615737E-4</v>
      </c>
      <c r="AH56" s="72">
        <f>IF(VLOOKUP($A56,raw[],COLUMN(AI$1)-COLUMN($A$1),FALSE)=0, VLOOKUP($D56, regions[], COLUMN(AI$1)-COLUMN($A$1), FALSE), VLOOKUP($A56,raw[],COLUMN(AI$1)-COLUMN($A$1),FALSE))</f>
        <v>1.3732150365588049E-3</v>
      </c>
      <c r="AI56" s="72">
        <f>IF(VLOOKUP($A56,raw[],COLUMN(AJ$1)-COLUMN($A$1),FALSE)=0, VLOOKUP($D56, regions[], COLUMN(AJ$1)-COLUMN($A$1), FALSE), VLOOKUP($A56,raw[],COLUMN(AJ$1)-COLUMN($A$1),FALSE))</f>
        <v>1.5526608369193016E-3</v>
      </c>
      <c r="AJ56" s="72">
        <f>IF(VLOOKUP($A56,raw[],COLUMN(AK$1)-COLUMN($A$1),FALSE)=0, VLOOKUP($D56, regions[], COLUMN(AK$1)-COLUMN($A$1), FALSE), VLOOKUP($A56,raw[],COLUMN(AK$1)-COLUMN($A$1),FALSE))</f>
        <v>1.9815753059753876E-3</v>
      </c>
      <c r="AK56" s="72">
        <f>IF(VLOOKUP($A56,raw[],COLUMN(AL$1)-COLUMN($A$1),FALSE)=0, VLOOKUP($D56, regions[], COLUMN(AL$1)-COLUMN($A$1), FALSE), VLOOKUP($A56,raw[],COLUMN(AL$1)-COLUMN($A$1),FALSE))</f>
        <v>2.7437178237789267E-3</v>
      </c>
      <c r="AL56" s="72">
        <f>IF(VLOOKUP($A56,raw[],COLUMN(AM$1)-COLUMN($A$1),FALSE)=0, VLOOKUP($D56, regions[], COLUMN(AM$1)-COLUMN($A$1), FALSE), VLOOKUP($A56,raw[],COLUMN(AM$1)-COLUMN($A$1),FALSE))</f>
        <v>3.6892655629956312E-3</v>
      </c>
      <c r="AM56" s="72">
        <f>IF(VLOOKUP($A56,raw[],COLUMN(AN$1)-COLUMN($A$1),FALSE)=0, VLOOKUP($D56, regions[], COLUMN(AN$1)-COLUMN($A$1), FALSE), VLOOKUP($A56,raw[],COLUMN(AN$1)-COLUMN($A$1),FALSE))</f>
        <v>5.2984072107780398E-3</v>
      </c>
      <c r="AN56" s="72">
        <f>IF(VLOOKUP($A56,raw[],COLUMN(AO$1)-COLUMN($A$1),FALSE)=0, VLOOKUP($D56, regions[], COLUMN(AO$1)-COLUMN($A$1), FALSE), VLOOKUP($A56,raw[],COLUMN(AO$1)-COLUMN($A$1),FALSE))</f>
        <v>8.4786050471113063E-3</v>
      </c>
      <c r="AO56" s="72">
        <f>IF(VLOOKUP($A56,raw[],COLUMN(AP$1)-COLUMN($A$1),FALSE)=0, VLOOKUP($D56, regions[], COLUMN(AP$1)-COLUMN($A$1), FALSE), VLOOKUP($A56,raw[],COLUMN(AP$1)-COLUMN($A$1),FALSE))</f>
        <v>1.2597229022773913E-2</v>
      </c>
      <c r="AP56" s="72">
        <f>IF(VLOOKUP($A56,raw[],COLUMN(AQ$1)-COLUMN($A$1),FALSE)=0, VLOOKUP($D56, regions[], COLUMN(AQ$1)-COLUMN($A$1), FALSE), VLOOKUP($A56,raw[],COLUMN(AQ$1)-COLUMN($A$1),FALSE))</f>
        <v>1.8597386074553211E-2</v>
      </c>
      <c r="AQ56" s="72">
        <f>IF(VLOOKUP($A56,raw[],COLUMN(AR$1)-COLUMN($A$1),FALSE)=0, VLOOKUP($D56, regions[], COLUMN(AR$1)-COLUMN($A$1), FALSE), VLOOKUP($A56,raw[],COLUMN(AR$1)-COLUMN($A$1),FALSE))</f>
        <v>2.7897493448943371E-2</v>
      </c>
      <c r="AR56" s="72">
        <f>IF(VLOOKUP($A56,raw[],COLUMN(AS$1)-COLUMN($A$1),FALSE)=0, VLOOKUP($D56, regions[], COLUMN(AS$1)-COLUMN($A$1), FALSE), VLOOKUP($A56,raw[],COLUMN(AS$1)-COLUMN($A$1),FALSE))</f>
        <v>4.2849663503968405E-2</v>
      </c>
      <c r="AS56" s="72">
        <f>IF(VLOOKUP($A56,raw[],COLUMN(AT$1)-COLUMN($A$1),FALSE)=0, VLOOKUP($D56, regions[], COLUMN(AT$1)-COLUMN($A$1), FALSE), VLOOKUP($A56,raw[],COLUMN(AT$1)-COLUMN($A$1),FALSE))</f>
        <v>6.0679978133540674E-2</v>
      </c>
      <c r="AT56" s="72">
        <f>IF(VLOOKUP($A56,raw[],COLUMN(AU$1)-COLUMN($A$1),FALSE)=0, VLOOKUP($D56, regions[], COLUMN(AU$1)-COLUMN($A$1), FALSE), VLOOKUP($A56,raw[],COLUMN(AU$1)-COLUMN($A$1),FALSE))</f>
        <v>8.6620117768741622E-2</v>
      </c>
      <c r="AU56" s="72">
        <f>IF(VLOOKUP($A56,raw[],COLUMN(AV$1)-COLUMN($A$1),FALSE)=0, VLOOKUP($D56, regions[], COLUMN(AV$1)-COLUMN($A$1), FALSE), VLOOKUP($A56,raw[],COLUMN(AV$1)-COLUMN($A$1),FALSE))</f>
        <v>0.11600615643086354</v>
      </c>
      <c r="AV56" s="72">
        <f>IF(VLOOKUP($A56,raw[],COLUMN(AW$1)-COLUMN($A$1),FALSE)=0, VLOOKUP($D56, regions[], COLUMN(AW$1)-COLUMN($A$1), FALSE), VLOOKUP($A56,raw[],COLUMN(AW$1)-COLUMN($A$1),FALSE))</f>
        <v>0.14310718338796444</v>
      </c>
      <c r="AW56" s="72">
        <f>IF(VLOOKUP($A56,raw[],COLUMN(AX$1)-COLUMN($A$1),FALSE)=0, VLOOKUP($D56, regions[], COLUMN(AX$1)-COLUMN($A$1), FALSE), VLOOKUP($A56,raw[],COLUMN(AX$1)-COLUMN($A$1),FALSE))</f>
        <v>0.13800656426699495</v>
      </c>
      <c r="AX56" s="72">
        <f>IF(VLOOKUP($A56,raw[],COLUMN(AY$1)-COLUMN($A$1),FALSE)=0, VLOOKUP($D56, regions[], COLUMN(AY$1)-COLUMN($A$1), FALSE), VLOOKUP($A56,raw[],COLUMN(AY$1)-COLUMN($A$1),FALSE))</f>
        <v>69.272000000000006</v>
      </c>
      <c r="AY56" t="str">
        <f t="shared" si="1"/>
        <v>No</v>
      </c>
    </row>
    <row r="57" spans="1:51" x14ac:dyDescent="0.25">
      <c r="A57" s="55" t="s">
        <v>334</v>
      </c>
      <c r="B57" s="56" t="s">
        <v>335</v>
      </c>
      <c r="C57" s="56">
        <v>360</v>
      </c>
      <c r="D57" s="56" t="s">
        <v>225</v>
      </c>
      <c r="E57" s="56" t="s">
        <v>261</v>
      </c>
      <c r="F57" s="56" t="s">
        <v>262</v>
      </c>
      <c r="G57" s="56" t="s">
        <v>212</v>
      </c>
      <c r="H57" s="74">
        <f>VLOOKUP(lmics[[#This Row],[setting]],raw[],8,FALSE)</f>
        <v>273523621</v>
      </c>
      <c r="I57" s="74">
        <f>VLOOKUP(lmics[[#This Row],[setting]],raw[],9,FALSE)</f>
        <v>4979497.5203049993</v>
      </c>
      <c r="J57" s="67">
        <f>IF(VLOOKUP($A57,raw[],COLUMN(J$1),FALSE)=0, VLOOKUP($D57, regions[], COLUMN(J$1), FALSE), VLOOKUP($A57,raw[],COLUMN(J$1),FALSE))</f>
        <v>0.79</v>
      </c>
      <c r="K57" s="77">
        <f>VLOOKUP($A57, raw[], 11, FALSE)</f>
        <v>0.73</v>
      </c>
      <c r="L57" s="77">
        <f>VLOOKUP($A57, raw[], 12, FALSE)</f>
        <v>0.77</v>
      </c>
      <c r="M57" s="77">
        <f>IF(VLOOKUP($A57,raw[],COLUMN(M$1),FALSE)=0, VLOOKUP($D57, regions[], COLUMN(M$1), FALSE), VLOOKUP($A57,raw[],COLUMN(M$1),FALSE))</f>
        <v>6.0700000000000004E-2</v>
      </c>
      <c r="N57" s="68">
        <f>IF(VLOOKUP($A57,raw[],COLUMN(N$1),FALSE)=0, VLOOKUP($D57, regions[], COLUMN(N$1), FALSE), VLOOKUP($A57,raw[],COLUMN(N$1),FALSE))</f>
        <v>0.33277106999049344</v>
      </c>
      <c r="O57" s="67">
        <f>IF(VLOOKUP($A57,raw[],COLUMN(O$1),FALSE)=0, VLOOKUP($D57, regions[], COLUMN(O$1), FALSE), VLOOKUP($A57,raw[],COLUMN(O$1),FALSE))</f>
        <v>0.8</v>
      </c>
      <c r="P57" s="68">
        <f>IF(VLOOKUP($A57,raw[],COLUMN(P$1),FALSE)=0, VLOOKUP($D57, regions[], COLUMN(P$1), FALSE), VLOOKUP($A57,raw[],COLUMN(P$1),FALSE))</f>
        <v>0.17499999999999999</v>
      </c>
      <c r="Q57" s="70">
        <f>IF(VLOOKUP($A57,raw[],COLUMN(Q$1),FALSE)=0, VLOOKUP($D57, regions[], COLUMN(Q$1), FALSE), VLOOKUP($A57,raw[],COLUMN(Q$1),FALSE))</f>
        <v>4.9129646043165502</v>
      </c>
      <c r="R57" s="70">
        <f>IF(VLOOKUP($A57,raw[],COLUMN(R$1),FALSE)=0, VLOOKUP($D57, regions[], COLUMN(R$1), FALSE), VLOOKUP($A57,raw[],COLUMN(R$1),FALSE))</f>
        <v>27.238344604316552</v>
      </c>
      <c r="S57" s="70">
        <f>IF(VLOOKUP($A57,raw[],COLUMN(S$1),FALSE)=0, VLOOKUP($D57, regions[], COLUMN(S$1), FALSE), VLOOKUP($A57,raw[],COLUMN(S$1),FALSE))</f>
        <v>63.715184198922614</v>
      </c>
      <c r="T57" s="70">
        <f>IF(VLOOKUP($A57,raw[],COLUMN(U$1)-COLUMN($A$1),FALSE)=0, VLOOKUP($D57, regions[], COLUMN(U$1)-COLUMN($A$1), FALSE), VLOOKUP($A57,raw[],COLUMN(U$1)-COLUMN($A$1),FALSE))</f>
        <v>67.492115573044231</v>
      </c>
      <c r="U57" s="70">
        <f>IF(VLOOKUP($A57,raw[],COLUMN(V$1)-COLUMN($A$1),FALSE)=0, VLOOKUP($D57, regions[], COLUMN(V$1)-COLUMN($A$1), FALSE), VLOOKUP($A57,raw[],COLUMN(V$1)-COLUMN($A$1),FALSE))</f>
        <v>65.757828520206346</v>
      </c>
      <c r="V57" s="70">
        <f>IF(VLOOKUP($A57,raw[],COLUMN(W$1)-COLUMN($A$1),FALSE)=0, VLOOKUP($D57, regions[], COLUMN(W$1)-COLUMN($A$1), FALSE), VLOOKUP($A57,raw[],COLUMN(W$1)-COLUMN($A$1),FALSE))</f>
        <v>1.7827711369808801</v>
      </c>
      <c r="W57" s="70">
        <f>IF(VLOOKUP($A57,raw[],COLUMN(X$1)-COLUMN($A$1),FALSE)=0, VLOOKUP($D57, regions[], COLUMN(X$1)-COLUMN($A$1), FALSE), VLOOKUP($A57,raw[],COLUMN(X$1)-COLUMN($A$1),FALSE))</f>
        <v>2.4127711369808802</v>
      </c>
      <c r="X57" s="70">
        <f>IF(VLOOKUP($A57,raw[],COLUMN(Y$1)-COLUMN($A$1),FALSE)=0, VLOOKUP($D57, regions[], COLUMN(Y$1)-COLUMN($A$1), FALSE), VLOOKUP($A57,raw[],COLUMN(Y$1)-COLUMN($A$1),FALSE))</f>
        <v>1.3594549968403589</v>
      </c>
      <c r="Y57" s="70">
        <f>IF(VLOOKUP($A57,raw[],COLUMN(Z$1)-COLUMN($A$1),FALSE)=0, VLOOKUP($D57, regions[], COLUMN(Z$1)-COLUMN($A$1), FALSE), VLOOKUP($A57,raw[],COLUMN(Z$1)-COLUMN($A$1),FALSE))</f>
        <v>1.989454996840359</v>
      </c>
      <c r="Z57" s="70">
        <f>IF(VLOOKUP($A57,raw[],COLUMN(AA$1)-COLUMN($A$1),FALSE)=0, VLOOKUP($D57, regions[], COLUMN(AA$1)-COLUMN($A$1), FALSE), VLOOKUP($A57,raw[],COLUMN(AA$1)-COLUMN($A$1),FALSE))</f>
        <v>1.9806721748316831</v>
      </c>
      <c r="AA57" s="70">
        <f>IF(VLOOKUP($A57,raw[],COLUMN(AB$1)-COLUMN($A$1),FALSE)=0, VLOOKUP($D57, regions[], COLUMN(AB$1)-COLUMN($A$1), FALSE), VLOOKUP($A57,raw[],COLUMN(AB$1)-COLUMN($A$1),FALSE))</f>
        <v>1.99245247004635</v>
      </c>
      <c r="AB57" s="70">
        <f>IF(VLOOKUP($A57,raw[],COLUMN(AC$1)-COLUMN($A$1),FALSE)=0, VLOOKUP($D57, regions[], COLUMN(AC$1)-COLUMN($A$1), FALSE), VLOOKUP($A57,raw[],COLUMN(AC$1)-COLUMN($A$1),FALSE))</f>
        <v>2.6224524700463498</v>
      </c>
      <c r="AC57" s="72">
        <f>IF(VLOOKUP($A57,raw[],COLUMN(AD$1)-COLUMN($A$1),FALSE)=0, VLOOKUP($D57, regions[], COLUMN(AD$1)-COLUMN($A$1), FALSE), VLOOKUP($A57,raw[],COLUMN(AD$1)-COLUMN($A$1),FALSE))</f>
        <v>1.8922880000000003E-2</v>
      </c>
      <c r="AD57" s="72">
        <f>IF(VLOOKUP($A57,raw[],COLUMN(AE$1)-COLUMN($A$1),FALSE)=0, VLOOKUP($D57, regions[], COLUMN(AE$1)-COLUMN($A$1), FALSE), VLOOKUP($A57,raw[],COLUMN(AE$1)-COLUMN($A$1),FALSE))</f>
        <v>1.5222172340539479E-3</v>
      </c>
      <c r="AE57" s="72">
        <f>IF(VLOOKUP($A57,raw[],COLUMN(AF$1)-COLUMN($A$1),FALSE)=0, VLOOKUP($D57, regions[], COLUMN(AF$1)-COLUMN($A$1), FALSE), VLOOKUP($A57,raw[],COLUMN(AF$1)-COLUMN($A$1),FALSE))</f>
        <v>5.0644471606688178E-4</v>
      </c>
      <c r="AF57" s="72">
        <f>IF(VLOOKUP($A57,raw[],COLUMN(AG$1)-COLUMN($A$1),FALSE)=0, VLOOKUP($D57, regions[], COLUMN(AG$1)-COLUMN($A$1), FALSE), VLOOKUP($A57,raw[],COLUMN(AG$1)-COLUMN($A$1),FALSE))</f>
        <v>4.4754539756151283E-4</v>
      </c>
      <c r="AG57" s="72">
        <f>IF(VLOOKUP($A57,raw[],COLUMN(AH$1)-COLUMN($A$1),FALSE)=0, VLOOKUP($D57, regions[], COLUMN(AH$1)-COLUMN($A$1), FALSE), VLOOKUP($A57,raw[],COLUMN(AH$1)-COLUMN($A$1),FALSE))</f>
        <v>9.3833652529765749E-4</v>
      </c>
      <c r="AH57" s="72">
        <f>IF(VLOOKUP($A57,raw[],COLUMN(AI$1)-COLUMN($A$1),FALSE)=0, VLOOKUP($D57, regions[], COLUMN(AI$1)-COLUMN($A$1), FALSE), VLOOKUP($A57,raw[],COLUMN(AI$1)-COLUMN($A$1),FALSE))</f>
        <v>1.2329000732080504E-3</v>
      </c>
      <c r="AI57" s="72">
        <f>IF(VLOOKUP($A57,raw[],COLUMN(AJ$1)-COLUMN($A$1),FALSE)=0, VLOOKUP($D57, regions[], COLUMN(AJ$1)-COLUMN($A$1), FALSE), VLOOKUP($A57,raw[],COLUMN(AJ$1)-COLUMN($A$1),FALSE))</f>
        <v>1.3065425046960614E-3</v>
      </c>
      <c r="AJ57" s="72">
        <f>IF(VLOOKUP($A57,raw[],COLUMN(AK$1)-COLUMN($A$1),FALSE)=0, VLOOKUP($D57, regions[], COLUMN(AK$1)-COLUMN($A$1), FALSE), VLOOKUP($A57,raw[],COLUMN(AK$1)-COLUMN($A$1),FALSE))</f>
        <v>1.5542100671743552E-3</v>
      </c>
      <c r="AK57" s="72">
        <f>IF(VLOOKUP($A57,raw[],COLUMN(AL$1)-COLUMN($A$1),FALSE)=0, VLOOKUP($D57, regions[], COLUMN(AL$1)-COLUMN($A$1), FALSE), VLOOKUP($A57,raw[],COLUMN(AL$1)-COLUMN($A$1),FALSE))</f>
        <v>2.0910096495578398E-3</v>
      </c>
      <c r="AL57" s="72">
        <f>IF(VLOOKUP($A57,raw[],COLUMN(AM$1)-COLUMN($A$1),FALSE)=0, VLOOKUP($D57, regions[], COLUMN(AM$1)-COLUMN($A$1), FALSE), VLOOKUP($A57,raw[],COLUMN(AM$1)-COLUMN($A$1),FALSE))</f>
        <v>2.9997705513160125E-3</v>
      </c>
      <c r="AM57" s="72">
        <f>IF(VLOOKUP($A57,raw[],COLUMN(AN$1)-COLUMN($A$1),FALSE)=0, VLOOKUP($D57, regions[], COLUMN(AN$1)-COLUMN($A$1), FALSE), VLOOKUP($A57,raw[],COLUMN(AN$1)-COLUMN($A$1),FALSE))</f>
        <v>4.5961967641964313E-3</v>
      </c>
      <c r="AN57" s="72">
        <f>IF(VLOOKUP($A57,raw[],COLUMN(AO$1)-COLUMN($A$1),FALSE)=0, VLOOKUP($D57, regions[], COLUMN(AO$1)-COLUMN($A$1), FALSE), VLOOKUP($A57,raw[],COLUMN(AO$1)-COLUMN($A$1),FALSE))</f>
        <v>7.1074352798496023E-3</v>
      </c>
      <c r="AO57" s="72">
        <f>IF(VLOOKUP($A57,raw[],COLUMN(AP$1)-COLUMN($A$1),FALSE)=0, VLOOKUP($D57, regions[], COLUMN(AP$1)-COLUMN($A$1), FALSE), VLOOKUP($A57,raw[],COLUMN(AP$1)-COLUMN($A$1),FALSE))</f>
        <v>1.103758984314274E-2</v>
      </c>
      <c r="AP57" s="72">
        <f>IF(VLOOKUP($A57,raw[],COLUMN(AQ$1)-COLUMN($A$1),FALSE)=0, VLOOKUP($D57, regions[], COLUMN(AQ$1)-COLUMN($A$1), FALSE), VLOOKUP($A57,raw[],COLUMN(AQ$1)-COLUMN($A$1),FALSE))</f>
        <v>1.7008872501062953E-2</v>
      </c>
      <c r="AQ57" s="72">
        <f>IF(VLOOKUP($A57,raw[],COLUMN(AR$1)-COLUMN($A$1),FALSE)=0, VLOOKUP($D57, regions[], COLUMN(AR$1)-COLUMN($A$1), FALSE), VLOOKUP($A57,raw[],COLUMN(AR$1)-COLUMN($A$1),FALSE))</f>
        <v>2.5792433130569472E-2</v>
      </c>
      <c r="AR57" s="72">
        <f>IF(VLOOKUP($A57,raw[],COLUMN(AS$1)-COLUMN($A$1),FALSE)=0, VLOOKUP($D57, regions[], COLUMN(AS$1)-COLUMN($A$1), FALSE), VLOOKUP($A57,raw[],COLUMN(AS$1)-COLUMN($A$1),FALSE))</f>
        <v>3.948314467635939E-2</v>
      </c>
      <c r="AS57" s="72">
        <f>IF(VLOOKUP($A57,raw[],COLUMN(AT$1)-COLUMN($A$1),FALSE)=0, VLOOKUP($D57, regions[], COLUMN(AT$1)-COLUMN($A$1), FALSE), VLOOKUP($A57,raw[],COLUMN(AT$1)-COLUMN($A$1),FALSE))</f>
        <v>6.1004167044676857E-2</v>
      </c>
      <c r="AT57" s="72">
        <f>IF(VLOOKUP($A57,raw[],COLUMN(AU$1)-COLUMN($A$1),FALSE)=0, VLOOKUP($D57, regions[], COLUMN(AU$1)-COLUMN($A$1), FALSE), VLOOKUP($A57,raw[],COLUMN(AU$1)-COLUMN($A$1),FALSE))</f>
        <v>8.9419563865003923E-2</v>
      </c>
      <c r="AU57" s="72">
        <f>IF(VLOOKUP($A57,raw[],COLUMN(AV$1)-COLUMN($A$1),FALSE)=0, VLOOKUP($D57, regions[], COLUMN(AV$1)-COLUMN($A$1), FALSE), VLOOKUP($A57,raw[],COLUMN(AV$1)-COLUMN($A$1),FALSE))</f>
        <v>0.12285940751319926</v>
      </c>
      <c r="AV57" s="72">
        <f>IF(VLOOKUP($A57,raw[],COLUMN(AW$1)-COLUMN($A$1),FALSE)=0, VLOOKUP($D57, regions[], COLUMN(AW$1)-COLUMN($A$1), FALSE), VLOOKUP($A57,raw[],COLUMN(AW$1)-COLUMN($A$1),FALSE))</f>
        <v>0.1523510213088739</v>
      </c>
      <c r="AW57" s="72">
        <f>IF(VLOOKUP($A57,raw[],COLUMN(AX$1)-COLUMN($A$1),FALSE)=0, VLOOKUP($D57, regions[], COLUMN(AX$1)-COLUMN($A$1), FALSE), VLOOKUP($A57,raw[],COLUMN(AX$1)-COLUMN($A$1),FALSE))</f>
        <v>0.17417010285041848</v>
      </c>
      <c r="AX57" s="72">
        <f>IF(VLOOKUP($A57,raw[],COLUMN(AY$1)-COLUMN($A$1),FALSE)=0, VLOOKUP($D57, regions[], COLUMN(AY$1)-COLUMN($A$1), FALSE), VLOOKUP($A57,raw[],COLUMN(AY$1)-COLUMN($A$1),FALSE))</f>
        <v>71.409000000000006</v>
      </c>
      <c r="AY57" t="str">
        <f t="shared" si="1"/>
        <v>No</v>
      </c>
    </row>
    <row r="58" spans="1:51" x14ac:dyDescent="0.25">
      <c r="A58" s="53" t="s">
        <v>336</v>
      </c>
      <c r="B58" s="54" t="s">
        <v>337</v>
      </c>
      <c r="C58" s="54">
        <v>364</v>
      </c>
      <c r="D58" s="54" t="s">
        <v>196</v>
      </c>
      <c r="E58" s="54" t="s">
        <v>197</v>
      </c>
      <c r="F58" s="54" t="s">
        <v>197</v>
      </c>
      <c r="G58" s="54" t="s">
        <v>204</v>
      </c>
      <c r="H58" s="73">
        <f>VLOOKUP(lmics[[#This Row],[setting]],raw[],8,FALSE)</f>
        <v>83992953</v>
      </c>
      <c r="I58" s="73">
        <f>VLOOKUP(lmics[[#This Row],[setting]],raw[],9,FALSE)</f>
        <v>1604013.423441</v>
      </c>
      <c r="J58" s="67">
        <f>IF(VLOOKUP($A58,raw[],COLUMN(J$1),FALSE)=0, VLOOKUP($D58, regions[], COLUMN(J$1), FALSE), VLOOKUP($A58,raw[],COLUMN(J$1),FALSE))</f>
        <v>0.95299999999999996</v>
      </c>
      <c r="K58" s="77">
        <f>VLOOKUP($A58, raw[], 11, FALSE)</f>
        <v>0.95</v>
      </c>
      <c r="L58" s="77">
        <f>VLOOKUP($A58, raw[], 12, FALSE)</f>
        <v>0.99</v>
      </c>
      <c r="M58" s="77">
        <f>IF(VLOOKUP($A58,raw[],COLUMN(M$1),FALSE)=0, VLOOKUP($D58, regions[], COLUMN(M$1), FALSE), VLOOKUP($A58,raw[],COLUMN(M$1),FALSE))</f>
        <v>1.24E-2</v>
      </c>
      <c r="N58" s="68">
        <f>IF(VLOOKUP($A58,raw[],COLUMN(N$1),FALSE)=0, VLOOKUP($D58, regions[], COLUMN(N$1), FALSE), VLOOKUP($A58,raw[],COLUMN(N$1),FALSE))</f>
        <v>0.25455968916822264</v>
      </c>
      <c r="O58" s="67">
        <f>IF(VLOOKUP($A58,raw[],COLUMN(O$1),FALSE)=0, VLOOKUP($D58, regions[], COLUMN(O$1), FALSE), VLOOKUP($A58,raw[],COLUMN(O$1),FALSE))</f>
        <v>0.8</v>
      </c>
      <c r="P58" s="68">
        <f>IF(VLOOKUP($A58,raw[],COLUMN(P$1),FALSE)=0, VLOOKUP($D58, regions[], COLUMN(P$1), FALSE), VLOOKUP($A58,raw[],COLUMN(P$1),FALSE))</f>
        <v>0.17499999999999999</v>
      </c>
      <c r="Q58" s="70">
        <f>IF(VLOOKUP($A58,raw[],COLUMN(Q$1),FALSE)=0, VLOOKUP($D58, regions[], COLUMN(Q$1), FALSE), VLOOKUP($A58,raw[],COLUMN(Q$1),FALSE))</f>
        <v>10.63442611942555</v>
      </c>
      <c r="R58" s="70">
        <f>IF(VLOOKUP($A58,raw[],COLUMN(R$1),FALSE)=0, VLOOKUP($D58, regions[], COLUMN(R$1), FALSE), VLOOKUP($A58,raw[],COLUMN(R$1),FALSE))</f>
        <v>32.959806119425551</v>
      </c>
      <c r="S58" s="70">
        <f>IF(VLOOKUP($A58,raw[],COLUMN(S$1),FALSE)=0, VLOOKUP($D58, regions[], COLUMN(S$1), FALSE), VLOOKUP($A58,raw[],COLUMN(S$1),FALSE))</f>
        <v>95.952240233722804</v>
      </c>
      <c r="T58" s="70">
        <f>IF(VLOOKUP($A58,raw[],COLUMN(U$1)-COLUMN($A$1),FALSE)=0, VLOOKUP($D58, regions[], COLUMN(U$1)-COLUMN($A$1), FALSE), VLOOKUP($A58,raw[],COLUMN(U$1)-COLUMN($A$1),FALSE))</f>
        <v>113.52961180488938</v>
      </c>
      <c r="U58" s="70">
        <f>IF(VLOOKUP($A58,raw[],COLUMN(V$1)-COLUMN($A$1),FALSE)=0, VLOOKUP($D58, regions[], COLUMN(V$1)-COLUMN($A$1), FALSE), VLOOKUP($A58,raw[],COLUMN(V$1)-COLUMN($A$1),FALSE))</f>
        <v>105.45845431771249</v>
      </c>
      <c r="V58" s="70">
        <f>IF(VLOOKUP($A58,raw[],COLUMN(W$1)-COLUMN($A$1),FALSE)=0, VLOOKUP($D58, regions[], COLUMN(W$1)-COLUMN($A$1), FALSE), VLOOKUP($A58,raw[],COLUMN(W$1)-COLUMN($A$1),FALSE))</f>
        <v>3.6565068398642433</v>
      </c>
      <c r="W58" s="70">
        <f>IF(VLOOKUP($A58,raw[],COLUMN(X$1)-COLUMN($A$1),FALSE)=0, VLOOKUP($D58, regions[], COLUMN(X$1)-COLUMN($A$1), FALSE), VLOOKUP($A58,raw[],COLUMN(X$1)-COLUMN($A$1),FALSE))</f>
        <v>4.1365068398642428</v>
      </c>
      <c r="X58" s="70">
        <f>IF(VLOOKUP($A58,raw[],COLUMN(Y$1)-COLUMN($A$1),FALSE)=0, VLOOKUP($D58, regions[], COLUMN(Y$1)-COLUMN($A$1), FALSE), VLOOKUP($A58,raw[],COLUMN(Y$1)-COLUMN($A$1),FALSE))</f>
        <v>3.2397091781601466</v>
      </c>
      <c r="Y58" s="70">
        <f>IF(VLOOKUP($A58,raw[],COLUMN(Z$1)-COLUMN($A$1),FALSE)=0, VLOOKUP($D58, regions[], COLUMN(Z$1)-COLUMN($A$1), FALSE), VLOOKUP($A58,raw[],COLUMN(Z$1)-COLUMN($A$1),FALSE))</f>
        <v>3.7197091781601466</v>
      </c>
      <c r="Z58" s="70">
        <f>IF(VLOOKUP($A58,raw[],COLUMN(AA$1)-COLUMN($A$1),FALSE)=0, VLOOKUP($D58, regions[], COLUMN(AA$1)-COLUMN($A$1), FALSE), VLOOKUP($A58,raw[],COLUMN(AA$1)-COLUMN($A$1),FALSE))</f>
        <v>3.7125968344414408</v>
      </c>
      <c r="AA58" s="70">
        <f>IF(VLOOKUP($A58,raw[],COLUMN(AB$1)-COLUMN($A$1),FALSE)=0, VLOOKUP($D58, regions[], COLUMN(AB$1)-COLUMN($A$1), FALSE), VLOOKUP($A58,raw[],COLUMN(AB$1)-COLUMN($A$1),FALSE))</f>
        <v>3.8638641936610747</v>
      </c>
      <c r="AB58" s="70">
        <f>IF(VLOOKUP($A58,raw[],COLUMN(AC$1)-COLUMN($A$1),FALSE)=0, VLOOKUP($D58, regions[], COLUMN(AC$1)-COLUMN($A$1), FALSE), VLOOKUP($A58,raw[],COLUMN(AC$1)-COLUMN($A$1),FALSE))</f>
        <v>4.3438641936610747</v>
      </c>
      <c r="AC58" s="72">
        <f>IF(VLOOKUP($A58,raw[],COLUMN(AD$1)-COLUMN($A$1),FALSE)=0, VLOOKUP($D58, regions[], COLUMN(AD$1)-COLUMN($A$1), FALSE), VLOOKUP($A58,raw[],COLUMN(AD$1)-COLUMN($A$1),FALSE))</f>
        <v>1.2817449999999954E-2</v>
      </c>
      <c r="AD58" s="72">
        <f>IF(VLOOKUP($A58,raw[],COLUMN(AE$1)-COLUMN($A$1),FALSE)=0, VLOOKUP($D58, regions[], COLUMN(AE$1)-COLUMN($A$1), FALSE), VLOOKUP($A58,raw[],COLUMN(AE$1)-COLUMN($A$1),FALSE))</f>
        <v>5.3182159672496157E-4</v>
      </c>
      <c r="AE58" s="72">
        <f>IF(VLOOKUP($A58,raw[],COLUMN(AF$1)-COLUMN($A$1),FALSE)=0, VLOOKUP($D58, regions[], COLUMN(AF$1)-COLUMN($A$1), FALSE), VLOOKUP($A58,raw[],COLUMN(AF$1)-COLUMN($A$1),FALSE))</f>
        <v>1.7592028558257154E-4</v>
      </c>
      <c r="AF58" s="72">
        <f>IF(VLOOKUP($A58,raw[],COLUMN(AG$1)-COLUMN($A$1),FALSE)=0, VLOOKUP($D58, regions[], COLUMN(AG$1)-COLUMN($A$1), FALSE), VLOOKUP($A58,raw[],COLUMN(AG$1)-COLUMN($A$1),FALSE))</f>
        <v>1.9594478265212644E-4</v>
      </c>
      <c r="AG58" s="72">
        <f>IF(VLOOKUP($A58,raw[],COLUMN(AH$1)-COLUMN($A$1),FALSE)=0, VLOOKUP($D58, regions[], COLUMN(AH$1)-COLUMN($A$1), FALSE), VLOOKUP($A58,raw[],COLUMN(AH$1)-COLUMN($A$1),FALSE))</f>
        <v>4.2671877566580852E-4</v>
      </c>
      <c r="AH58" s="72">
        <f>IF(VLOOKUP($A58,raw[],COLUMN(AI$1)-COLUMN($A$1),FALSE)=0, VLOOKUP($D58, regions[], COLUMN(AI$1)-COLUMN($A$1), FALSE), VLOOKUP($A58,raw[],COLUMN(AI$1)-COLUMN($A$1),FALSE))</f>
        <v>7.5940989198300228E-4</v>
      </c>
      <c r="AI58" s="72">
        <f>IF(VLOOKUP($A58,raw[],COLUMN(AJ$1)-COLUMN($A$1),FALSE)=0, VLOOKUP($D58, regions[], COLUMN(AJ$1)-COLUMN($A$1), FALSE), VLOOKUP($A58,raw[],COLUMN(AJ$1)-COLUMN($A$1),FALSE))</f>
        <v>5.9178552242656799E-4</v>
      </c>
      <c r="AJ58" s="72">
        <f>IF(VLOOKUP($A58,raw[],COLUMN(AK$1)-COLUMN($A$1),FALSE)=0, VLOOKUP($D58, regions[], COLUMN(AK$1)-COLUMN($A$1), FALSE), VLOOKUP($A58,raw[],COLUMN(AK$1)-COLUMN($A$1),FALSE))</f>
        <v>6.4505960424462386E-4</v>
      </c>
      <c r="AK58" s="72">
        <f>IF(VLOOKUP($A58,raw[],COLUMN(AL$1)-COLUMN($A$1),FALSE)=0, VLOOKUP($D58, regions[], COLUMN(AL$1)-COLUMN($A$1), FALSE), VLOOKUP($A58,raw[],COLUMN(AL$1)-COLUMN($A$1),FALSE))</f>
        <v>7.0583163378969431E-4</v>
      </c>
      <c r="AL58" s="72">
        <f>IF(VLOOKUP($A58,raw[],COLUMN(AM$1)-COLUMN($A$1),FALSE)=0, VLOOKUP($D58, regions[], COLUMN(AM$1)-COLUMN($A$1), FALSE), VLOOKUP($A58,raw[],COLUMN(AM$1)-COLUMN($A$1),FALSE))</f>
        <v>1.0396719641485451E-3</v>
      </c>
      <c r="AM58" s="72">
        <f>IF(VLOOKUP($A58,raw[],COLUMN(AN$1)-COLUMN($A$1),FALSE)=0, VLOOKUP($D58, regions[], COLUMN(AN$1)-COLUMN($A$1), FALSE), VLOOKUP($A58,raw[],COLUMN(AN$1)-COLUMN($A$1),FALSE))</f>
        <v>1.7397054894052362E-3</v>
      </c>
      <c r="AN58" s="72">
        <f>IF(VLOOKUP($A58,raw[],COLUMN(AO$1)-COLUMN($A$1),FALSE)=0, VLOOKUP($D58, regions[], COLUMN(AO$1)-COLUMN($A$1), FALSE), VLOOKUP($A58,raw[],COLUMN(AO$1)-COLUMN($A$1),FALSE))</f>
        <v>3.2391255839095967E-3</v>
      </c>
      <c r="AO58" s="72">
        <f>IF(VLOOKUP($A58,raw[],COLUMN(AP$1)-COLUMN($A$1),FALSE)=0, VLOOKUP($D58, regions[], COLUMN(AP$1)-COLUMN($A$1), FALSE), VLOOKUP($A58,raw[],COLUMN(AP$1)-COLUMN($A$1),FALSE))</f>
        <v>4.7982650573979374E-3</v>
      </c>
      <c r="AP58" s="72">
        <f>IF(VLOOKUP($A58,raw[],COLUMN(AQ$1)-COLUMN($A$1),FALSE)=0, VLOOKUP($D58, regions[], COLUMN(AQ$1)-COLUMN($A$1), FALSE), VLOOKUP($A58,raw[],COLUMN(AQ$1)-COLUMN($A$1),FALSE))</f>
        <v>8.8699861339129743E-3</v>
      </c>
      <c r="AQ58" s="72">
        <f>IF(VLOOKUP($A58,raw[],COLUMN(AR$1)-COLUMN($A$1),FALSE)=0, VLOOKUP($D58, regions[], COLUMN(AR$1)-COLUMN($A$1), FALSE), VLOOKUP($A58,raw[],COLUMN(AR$1)-COLUMN($A$1),FALSE))</f>
        <v>1.6162894890085929E-2</v>
      </c>
      <c r="AR58" s="72">
        <f>IF(VLOOKUP($A58,raw[],COLUMN(AS$1)-COLUMN($A$1),FALSE)=0, VLOOKUP($D58, regions[], COLUMN(AS$1)-COLUMN($A$1), FALSE), VLOOKUP($A58,raw[],COLUMN(AS$1)-COLUMN($A$1),FALSE))</f>
        <v>3.2220010103701673E-2</v>
      </c>
      <c r="AS58" s="72">
        <f>IF(VLOOKUP($A58,raw[],COLUMN(AT$1)-COLUMN($A$1),FALSE)=0, VLOOKUP($D58, regions[], COLUMN(AT$1)-COLUMN($A$1), FALSE), VLOOKUP($A58,raw[],COLUMN(AT$1)-COLUMN($A$1),FALSE))</f>
        <v>6.4028553202138627E-2</v>
      </c>
      <c r="AT58" s="72">
        <f>IF(VLOOKUP($A58,raw[],COLUMN(AU$1)-COLUMN($A$1),FALSE)=0, VLOOKUP($D58, regions[], COLUMN(AU$1)-COLUMN($A$1), FALSE), VLOOKUP($A58,raw[],COLUMN(AU$1)-COLUMN($A$1),FALSE))</f>
        <v>9.215112094519777E-2</v>
      </c>
      <c r="AU58" s="72">
        <f>IF(VLOOKUP($A58,raw[],COLUMN(AV$1)-COLUMN($A$1),FALSE)=0, VLOOKUP($D58, regions[], COLUMN(AV$1)-COLUMN($A$1), FALSE), VLOOKUP($A58,raw[],COLUMN(AV$1)-COLUMN($A$1),FALSE))</f>
        <v>0.12562970555941547</v>
      </c>
      <c r="AV58" s="72">
        <f>IF(VLOOKUP($A58,raw[],COLUMN(AW$1)-COLUMN($A$1),FALSE)=0, VLOOKUP($D58, regions[], COLUMN(AW$1)-COLUMN($A$1), FALSE), VLOOKUP($A58,raw[],COLUMN(AW$1)-COLUMN($A$1),FALSE))</f>
        <v>0.1577032486213901</v>
      </c>
      <c r="AW58" s="72">
        <f>IF(VLOOKUP($A58,raw[],COLUMN(AX$1)-COLUMN($A$1),FALSE)=0, VLOOKUP($D58, regions[], COLUMN(AX$1)-COLUMN($A$1), FALSE), VLOOKUP($A58,raw[],COLUMN(AX$1)-COLUMN($A$1),FALSE))</f>
        <v>0.17881396894351279</v>
      </c>
      <c r="AX58" s="72">
        <f>IF(VLOOKUP($A58,raw[],COLUMN(AY$1)-COLUMN($A$1),FALSE)=0, VLOOKUP($D58, regions[], COLUMN(AY$1)-COLUMN($A$1), FALSE), VLOOKUP($A58,raw[],COLUMN(AY$1)-COLUMN($A$1),FALSE))</f>
        <v>76.346000000000004</v>
      </c>
      <c r="AY58" t="str">
        <f t="shared" si="1"/>
        <v>No</v>
      </c>
    </row>
    <row r="59" spans="1:51" x14ac:dyDescent="0.25">
      <c r="A59" s="55" t="s">
        <v>338</v>
      </c>
      <c r="B59" s="56" t="s">
        <v>339</v>
      </c>
      <c r="C59" s="56">
        <v>368</v>
      </c>
      <c r="D59" s="56" t="s">
        <v>196</v>
      </c>
      <c r="E59" s="56" t="s">
        <v>197</v>
      </c>
      <c r="F59" s="56" t="s">
        <v>197</v>
      </c>
      <c r="G59" s="56" t="s">
        <v>204</v>
      </c>
      <c r="H59" s="74">
        <f>VLOOKUP(lmics[[#This Row],[setting]],raw[],8,FALSE)</f>
        <v>40222503</v>
      </c>
      <c r="I59" s="74">
        <f>VLOOKUP(lmics[[#This Row],[setting]],raw[],9,FALSE)</f>
        <v>1171721.734893</v>
      </c>
      <c r="J59" s="67">
        <f>IF(VLOOKUP($A59,raw[],COLUMN(J$1),FALSE)=0, VLOOKUP($D59, regions[], COLUMN(J$1), FALSE), VLOOKUP($A59,raw[],COLUMN(J$1),FALSE))</f>
        <v>0.86599999999999999</v>
      </c>
      <c r="K59" s="77">
        <f>VLOOKUP($A59, raw[], 11, FALSE)</f>
        <v>0.47</v>
      </c>
      <c r="L59" s="77">
        <f>VLOOKUP($A59, raw[], 12, FALSE)</f>
        <v>0.74</v>
      </c>
      <c r="M59" s="77">
        <f>IF(VLOOKUP($A59,raw[],COLUMN(M$1),FALSE)=0, VLOOKUP($D59, regions[], COLUMN(M$1), FALSE), VLOOKUP($A59,raw[],COLUMN(M$1),FALSE))</f>
        <v>1.4999999999999999E-2</v>
      </c>
      <c r="N59" s="68">
        <f>IF(VLOOKUP($A59,raw[],COLUMN(N$1),FALSE)=0, VLOOKUP($D59, regions[], COLUMN(N$1), FALSE), VLOOKUP($A59,raw[],COLUMN(N$1),FALSE))</f>
        <v>0.26929919897622001</v>
      </c>
      <c r="O59" s="67">
        <f>IF(VLOOKUP($A59,raw[],COLUMN(O$1),FALSE)=0, VLOOKUP($D59, regions[], COLUMN(O$1), FALSE), VLOOKUP($A59,raw[],COLUMN(O$1),FALSE))</f>
        <v>0.8</v>
      </c>
      <c r="P59" s="68">
        <f>IF(VLOOKUP($A59,raw[],COLUMN(P$1),FALSE)=0, VLOOKUP($D59, regions[], COLUMN(P$1), FALSE), VLOOKUP($A59,raw[],COLUMN(P$1),FALSE))</f>
        <v>0.17499999999999999</v>
      </c>
      <c r="Q59" s="70">
        <f>IF(VLOOKUP($A59,raw[],COLUMN(Q$1),FALSE)=0, VLOOKUP($D59, regions[], COLUMN(Q$1), FALSE), VLOOKUP($A59,raw[],COLUMN(Q$1),FALSE))</f>
        <v>4.5416499417372904</v>
      </c>
      <c r="R59" s="70">
        <f>IF(VLOOKUP($A59,raw[],COLUMN(R$1),FALSE)=0, VLOOKUP($D59, regions[], COLUMN(R$1), FALSE), VLOOKUP($A59,raw[],COLUMN(R$1),FALSE))</f>
        <v>26.867029941737293</v>
      </c>
      <c r="S59" s="70">
        <f>IF(VLOOKUP($A59,raw[],COLUMN(S$1),FALSE)=0, VLOOKUP($D59, regions[], COLUMN(S$1), FALSE), VLOOKUP($A59,raw[],COLUMN(S$1),FALSE))</f>
        <v>62.108128516577182</v>
      </c>
      <c r="T59" s="70">
        <f>IF(VLOOKUP($A59,raw[],COLUMN(U$1)-COLUMN($A$1),FALSE)=0, VLOOKUP($D59, regions[], COLUMN(U$1)-COLUMN($A$1), FALSE), VLOOKUP($A59,raw[],COLUMN(U$1)-COLUMN($A$1),FALSE))</f>
        <v>65.241899880477121</v>
      </c>
      <c r="U59" s="70">
        <f>IF(VLOOKUP($A59,raw[],COLUMN(V$1)-COLUMN($A$1),FALSE)=0, VLOOKUP($D59, regions[], COLUMN(V$1)-COLUMN($A$1), FALSE), VLOOKUP($A59,raw[],COLUMN(V$1)-COLUMN($A$1),FALSE))</f>
        <v>63.802938309662309</v>
      </c>
      <c r="V59" s="70">
        <f>IF(VLOOKUP($A59,raw[],COLUMN(W$1)-COLUMN($A$1),FALSE)=0, VLOOKUP($D59, regions[], COLUMN(W$1)-COLUMN($A$1), FALSE), VLOOKUP($A59,raw[],COLUMN(W$1)-COLUMN($A$1),FALSE))</f>
        <v>2.9295178592243376</v>
      </c>
      <c r="W59" s="70">
        <f>IF(VLOOKUP($A59,raw[],COLUMN(X$1)-COLUMN($A$1),FALSE)=0, VLOOKUP($D59, regions[], COLUMN(X$1)-COLUMN($A$1), FALSE), VLOOKUP($A59,raw[],COLUMN(X$1)-COLUMN($A$1),FALSE))</f>
        <v>3.4095178592243376</v>
      </c>
      <c r="X59" s="70">
        <f>IF(VLOOKUP($A59,raw[],COLUMN(Y$1)-COLUMN($A$1),FALSE)=0, VLOOKUP($D59, regions[], COLUMN(Y$1)-COLUMN($A$1), FALSE), VLOOKUP($A59,raw[],COLUMN(Y$1)-COLUMN($A$1),FALSE))</f>
        <v>2.5156805955491586</v>
      </c>
      <c r="Y59" s="70">
        <f>IF(VLOOKUP($A59,raw[],COLUMN(Z$1)-COLUMN($A$1),FALSE)=0, VLOOKUP($D59, regions[], COLUMN(Z$1)-COLUMN($A$1), FALSE), VLOOKUP($A59,raw[],COLUMN(Z$1)-COLUMN($A$1),FALSE))</f>
        <v>2.9956805955491586</v>
      </c>
      <c r="Z59" s="70">
        <f>IF(VLOOKUP($A59,raw[],COLUMN(AA$1)-COLUMN($A$1),FALSE)=0, VLOOKUP($D59, regions[], COLUMN(AA$1)-COLUMN($A$1), FALSE), VLOOKUP($A59,raw[],COLUMN(AA$1)-COLUMN($A$1),FALSE))</f>
        <v>2.9906791613906472</v>
      </c>
      <c r="AA59" s="70">
        <f>IF(VLOOKUP($A59,raw[],COLUMN(AB$1)-COLUMN($A$1),FALSE)=0, VLOOKUP($D59, regions[], COLUMN(AB$1)-COLUMN($A$1), FALSE), VLOOKUP($A59,raw[],COLUMN(AB$1)-COLUMN($A$1),FALSE))</f>
        <v>3.1358197667673808</v>
      </c>
      <c r="AB59" s="70">
        <f>IF(VLOOKUP($A59,raw[],COLUMN(AC$1)-COLUMN($A$1),FALSE)=0, VLOOKUP($D59, regions[], COLUMN(AC$1)-COLUMN($A$1), FALSE), VLOOKUP($A59,raw[],COLUMN(AC$1)-COLUMN($A$1),FALSE))</f>
        <v>3.6158197667673808</v>
      </c>
      <c r="AC59" s="72">
        <f>IF(VLOOKUP($A59,raw[],COLUMN(AD$1)-COLUMN($A$1),FALSE)=0, VLOOKUP($D59, regions[], COLUMN(AD$1)-COLUMN($A$1), FALSE), VLOOKUP($A59,raw[],COLUMN(AD$1)-COLUMN($A$1),FALSE))</f>
        <v>2.4110800000000019E-2</v>
      </c>
      <c r="AD59" s="72">
        <f>IF(VLOOKUP($A59,raw[],COLUMN(AE$1)-COLUMN($A$1),FALSE)=0, VLOOKUP($D59, regions[], COLUMN(AE$1)-COLUMN($A$1), FALSE), VLOOKUP($A59,raw[],COLUMN(AE$1)-COLUMN($A$1),FALSE))</f>
        <v>1.0799817233349974E-3</v>
      </c>
      <c r="AE59" s="72">
        <f>IF(VLOOKUP($A59,raw[],COLUMN(AF$1)-COLUMN($A$1),FALSE)=0, VLOOKUP($D59, regions[], COLUMN(AF$1)-COLUMN($A$1), FALSE), VLOOKUP($A59,raw[],COLUMN(AF$1)-COLUMN($A$1),FALSE))</f>
        <v>6.7821551938492984E-4</v>
      </c>
      <c r="AF59" s="72">
        <f>IF(VLOOKUP($A59,raw[],COLUMN(AG$1)-COLUMN($A$1),FALSE)=0, VLOOKUP($D59, regions[], COLUMN(AG$1)-COLUMN($A$1), FALSE), VLOOKUP($A59,raw[],COLUMN(AG$1)-COLUMN($A$1),FALSE))</f>
        <v>5.6557849116027745E-4</v>
      </c>
      <c r="AG59" s="72">
        <f>IF(VLOOKUP($A59,raw[],COLUMN(AH$1)-COLUMN($A$1),FALSE)=0, VLOOKUP($D59, regions[], COLUMN(AH$1)-COLUMN($A$1), FALSE), VLOOKUP($A59,raw[],COLUMN(AH$1)-COLUMN($A$1),FALSE))</f>
        <v>1.0004142952082203E-3</v>
      </c>
      <c r="AH59" s="72">
        <f>IF(VLOOKUP($A59,raw[],COLUMN(AI$1)-COLUMN($A$1),FALSE)=0, VLOOKUP($D59, regions[], COLUMN(AI$1)-COLUMN($A$1), FALSE), VLOOKUP($A59,raw[],COLUMN(AI$1)-COLUMN($A$1),FALSE))</f>
        <v>1.4151251214418346E-3</v>
      </c>
      <c r="AI59" s="72">
        <f>IF(VLOOKUP($A59,raw[],COLUMN(AJ$1)-COLUMN($A$1),FALSE)=0, VLOOKUP($D59, regions[], COLUMN(AJ$1)-COLUMN($A$1), FALSE), VLOOKUP($A59,raw[],COLUMN(AJ$1)-COLUMN($A$1),FALSE))</f>
        <v>1.5242081853088043E-3</v>
      </c>
      <c r="AJ59" s="72">
        <f>IF(VLOOKUP($A59,raw[],COLUMN(AK$1)-COLUMN($A$1),FALSE)=0, VLOOKUP($D59, regions[], COLUMN(AK$1)-COLUMN($A$1), FALSE), VLOOKUP($A59,raw[],COLUMN(AK$1)-COLUMN($A$1),FALSE))</f>
        <v>1.7479123246873808E-3</v>
      </c>
      <c r="AK59" s="72">
        <f>IF(VLOOKUP($A59,raw[],COLUMN(AL$1)-COLUMN($A$1),FALSE)=0, VLOOKUP($D59, regions[], COLUMN(AL$1)-COLUMN($A$1), FALSE), VLOOKUP($A59,raw[],COLUMN(AL$1)-COLUMN($A$1),FALSE))</f>
        <v>2.2037392374316925E-3</v>
      </c>
      <c r="AL59" s="72">
        <f>IF(VLOOKUP($A59,raw[],COLUMN(AM$1)-COLUMN($A$1),FALSE)=0, VLOOKUP($D59, regions[], COLUMN(AM$1)-COLUMN($A$1), FALSE), VLOOKUP($A59,raw[],COLUMN(AM$1)-COLUMN($A$1),FALSE))</f>
        <v>3.0908236420942241E-3</v>
      </c>
      <c r="AM59" s="72">
        <f>IF(VLOOKUP($A59,raw[],COLUMN(AN$1)-COLUMN($A$1),FALSE)=0, VLOOKUP($D59, regions[], COLUMN(AN$1)-COLUMN($A$1), FALSE), VLOOKUP($A59,raw[],COLUMN(AN$1)-COLUMN($A$1),FALSE))</f>
        <v>4.6923737995915194E-3</v>
      </c>
      <c r="AN59" s="72">
        <f>IF(VLOOKUP($A59,raw[],COLUMN(AO$1)-COLUMN($A$1),FALSE)=0, VLOOKUP($D59, regions[], COLUMN(AO$1)-COLUMN($A$1), FALSE), VLOOKUP($A59,raw[],COLUMN(AO$1)-COLUMN($A$1),FALSE))</f>
        <v>7.1647330039273649E-3</v>
      </c>
      <c r="AO59" s="72">
        <f>IF(VLOOKUP($A59,raw[],COLUMN(AP$1)-COLUMN($A$1),FALSE)=0, VLOOKUP($D59, regions[], COLUMN(AP$1)-COLUMN($A$1), FALSE), VLOOKUP($A59,raw[],COLUMN(AP$1)-COLUMN($A$1),FALSE))</f>
        <v>1.1076525869839116E-2</v>
      </c>
      <c r="AP59" s="72">
        <f>IF(VLOOKUP($A59,raw[],COLUMN(AQ$1)-COLUMN($A$1),FALSE)=0, VLOOKUP($D59, regions[], COLUMN(AQ$1)-COLUMN($A$1), FALSE), VLOOKUP($A59,raw[],COLUMN(AQ$1)-COLUMN($A$1),FALSE))</f>
        <v>1.7215447490337803E-2</v>
      </c>
      <c r="AQ59" s="72">
        <f>IF(VLOOKUP($A59,raw[],COLUMN(AR$1)-COLUMN($A$1),FALSE)=0, VLOOKUP($D59, regions[], COLUMN(AR$1)-COLUMN($A$1), FALSE), VLOOKUP($A59,raw[],COLUMN(AR$1)-COLUMN($A$1),FALSE))</f>
        <v>2.7241255375288469E-2</v>
      </c>
      <c r="AR59" s="72">
        <f>IF(VLOOKUP($A59,raw[],COLUMN(AS$1)-COLUMN($A$1),FALSE)=0, VLOOKUP($D59, regions[], COLUMN(AS$1)-COLUMN($A$1), FALSE), VLOOKUP($A59,raw[],COLUMN(AS$1)-COLUMN($A$1),FALSE))</f>
        <v>4.3058974571024498E-2</v>
      </c>
      <c r="AS59" s="72">
        <f>IF(VLOOKUP($A59,raw[],COLUMN(AT$1)-COLUMN($A$1),FALSE)=0, VLOOKUP($D59, regions[], COLUMN(AT$1)-COLUMN($A$1), FALSE), VLOOKUP($A59,raw[],COLUMN(AT$1)-COLUMN($A$1),FALSE))</f>
        <v>6.5942761472422159E-2</v>
      </c>
      <c r="AT59" s="72">
        <f>IF(VLOOKUP($A59,raw[],COLUMN(AU$1)-COLUMN($A$1),FALSE)=0, VLOOKUP($D59, regions[], COLUMN(AU$1)-COLUMN($A$1), FALSE), VLOOKUP($A59,raw[],COLUMN(AU$1)-COLUMN($A$1),FALSE))</f>
        <v>9.7172606369998721E-2</v>
      </c>
      <c r="AU59" s="72">
        <f>IF(VLOOKUP($A59,raw[],COLUMN(AV$1)-COLUMN($A$1),FALSE)=0, VLOOKUP($D59, regions[], COLUMN(AV$1)-COLUMN($A$1), FALSE), VLOOKUP($A59,raw[],COLUMN(AV$1)-COLUMN($A$1),FALSE))</f>
        <v>0.13079294681675191</v>
      </c>
      <c r="AV59" s="72">
        <f>IF(VLOOKUP($A59,raw[],COLUMN(AW$1)-COLUMN($A$1),FALSE)=0, VLOOKUP($D59, regions[], COLUMN(AW$1)-COLUMN($A$1), FALSE), VLOOKUP($A59,raw[],COLUMN(AW$1)-COLUMN($A$1),FALSE))</f>
        <v>0.15974497508907906</v>
      </c>
      <c r="AW59" s="72">
        <f>IF(VLOOKUP($A59,raw[],COLUMN(AX$1)-COLUMN($A$1),FALSE)=0, VLOOKUP($D59, regions[], COLUMN(AX$1)-COLUMN($A$1), FALSE), VLOOKUP($A59,raw[],COLUMN(AX$1)-COLUMN($A$1),FALSE))</f>
        <v>0.17784872588826692</v>
      </c>
      <c r="AX59" s="72">
        <f>IF(VLOOKUP($A59,raw[],COLUMN(AY$1)-COLUMN($A$1),FALSE)=0, VLOOKUP($D59, regions[], COLUMN(AY$1)-COLUMN($A$1), FALSE), VLOOKUP($A59,raw[],COLUMN(AY$1)-COLUMN($A$1),FALSE))</f>
        <v>70.367999999999995</v>
      </c>
      <c r="AY59" t="str">
        <f t="shared" si="1"/>
        <v>No</v>
      </c>
    </row>
    <row r="60" spans="1:51" x14ac:dyDescent="0.25">
      <c r="A60" s="53" t="s">
        <v>340</v>
      </c>
      <c r="B60" s="54" t="s">
        <v>341</v>
      </c>
      <c r="C60" s="54">
        <v>388</v>
      </c>
      <c r="D60" s="54" t="s">
        <v>215</v>
      </c>
      <c r="E60" s="54" t="s">
        <v>232</v>
      </c>
      <c r="F60" s="54" t="s">
        <v>217</v>
      </c>
      <c r="G60" s="54" t="s">
        <v>204</v>
      </c>
      <c r="H60" s="73">
        <f>VLOOKUP(lmics[[#This Row],[setting]],raw[],8,FALSE)</f>
        <v>2961161</v>
      </c>
      <c r="I60" s="73">
        <f>VLOOKUP(lmics[[#This Row],[setting]],raw[],9,FALSE)</f>
        <v>48056.681869</v>
      </c>
      <c r="J60" s="67">
        <f>IF(VLOOKUP($A60,raw[],COLUMN(J$1),FALSE)=0, VLOOKUP($D60, regions[], COLUMN(J$1), FALSE), VLOOKUP($A60,raw[],COLUMN(J$1),FALSE))</f>
        <v>0.98599999999999999</v>
      </c>
      <c r="K60" s="77">
        <f>VLOOKUP($A60, raw[], 11, FALSE)</f>
        <v>0</v>
      </c>
      <c r="L60" s="77">
        <f>VLOOKUP($A60, raw[], 12, FALSE)</f>
        <v>0.95</v>
      </c>
      <c r="M60" s="77">
        <f>IF(VLOOKUP($A60,raw[],COLUMN(M$1),FALSE)=0, VLOOKUP($D60, regions[], COLUMN(M$1), FALSE), VLOOKUP($A60,raw[],COLUMN(M$1),FALSE))</f>
        <v>2.98E-2</v>
      </c>
      <c r="N60" s="68">
        <f>IF(VLOOKUP($A60,raw[],COLUMN(N$1),FALSE)=0, VLOOKUP($D60, regions[], COLUMN(N$1), FALSE), VLOOKUP($A60,raw[],COLUMN(N$1),FALSE))</f>
        <v>0.307859973382413</v>
      </c>
      <c r="O60" s="67">
        <f>IF(VLOOKUP($A60,raw[],COLUMN(O$1),FALSE)=0, VLOOKUP($D60, regions[], COLUMN(O$1), FALSE), VLOOKUP($A60,raw[],COLUMN(O$1),FALSE))</f>
        <v>0.8</v>
      </c>
      <c r="P60" s="68">
        <f>IF(VLOOKUP($A60,raw[],COLUMN(P$1),FALSE)=0, VLOOKUP($D60, regions[], COLUMN(P$1), FALSE), VLOOKUP($A60,raw[],COLUMN(P$1),FALSE))</f>
        <v>0.17499999999999999</v>
      </c>
      <c r="Q60" s="70">
        <f>IF(VLOOKUP($A60,raw[],COLUMN(Q$1),FALSE)=0, VLOOKUP($D60, regions[], COLUMN(Q$1), FALSE), VLOOKUP($A60,raw[],COLUMN(Q$1),FALSE))</f>
        <v>9.5809424045128697</v>
      </c>
      <c r="R60" s="70">
        <f>IF(VLOOKUP($A60,raw[],COLUMN(R$1),FALSE)=0, VLOOKUP($D60, regions[], COLUMN(R$1), FALSE), VLOOKUP($A60,raw[],COLUMN(R$1),FALSE))</f>
        <v>31.906322404512871</v>
      </c>
      <c r="S60" s="70">
        <f>IF(VLOOKUP($A60,raw[],COLUMN(S$1),FALSE)=0, VLOOKUP($D60, regions[], COLUMN(S$1), FALSE), VLOOKUP($A60,raw[],COLUMN(S$1),FALSE))</f>
        <v>83.98272565230252</v>
      </c>
      <c r="T60" s="70">
        <f>IF(VLOOKUP($A60,raw[],COLUMN(U$1)-COLUMN($A$1),FALSE)=0, VLOOKUP($D60, regions[], COLUMN(U$1)-COLUMN($A$1), FALSE), VLOOKUP($A60,raw[],COLUMN(U$1)-COLUMN($A$1),FALSE))</f>
        <v>95.878684685256474</v>
      </c>
      <c r="U60" s="70">
        <f>IF(VLOOKUP($A60,raw[],COLUMN(V$1)-COLUMN($A$1),FALSE)=0, VLOOKUP($D60, regions[], COLUMN(V$1)-COLUMN($A$1), FALSE), VLOOKUP($A60,raw[],COLUMN(V$1)-COLUMN($A$1),FALSE))</f>
        <v>90.416311745864633</v>
      </c>
      <c r="V60" s="70">
        <f>IF(VLOOKUP($A60,raw[],COLUMN(W$1)-COLUMN($A$1),FALSE)=0, VLOOKUP($D60, regions[], COLUMN(W$1)-COLUMN($A$1), FALSE), VLOOKUP($A60,raw[],COLUMN(W$1)-COLUMN($A$1),FALSE))</f>
        <v>6.6860334839026612</v>
      </c>
      <c r="W60" s="70">
        <f>IF(VLOOKUP($A60,raw[],COLUMN(X$1)-COLUMN($A$1),FALSE)=0, VLOOKUP($D60, regions[], COLUMN(X$1)-COLUMN($A$1), FALSE), VLOOKUP($A60,raw[],COLUMN(X$1)-COLUMN($A$1),FALSE))</f>
        <v>6.7060334839026607</v>
      </c>
      <c r="X60" s="70">
        <f>IF(VLOOKUP($A60,raw[],COLUMN(Y$1)-COLUMN($A$1),FALSE)=0, VLOOKUP($D60, regions[], COLUMN(Y$1)-COLUMN($A$1), FALSE), VLOOKUP($A60,raw[],COLUMN(Y$1)-COLUMN($A$1),FALSE))</f>
        <v>6.2694683149670478</v>
      </c>
      <c r="Y60" s="70">
        <f>IF(VLOOKUP($A60,raw[],COLUMN(Z$1)-COLUMN($A$1),FALSE)=0, VLOOKUP($D60, regions[], COLUMN(Z$1)-COLUMN($A$1), FALSE), VLOOKUP($A60,raw[],COLUMN(Z$1)-COLUMN($A$1),FALSE))</f>
        <v>6.2894683149670474</v>
      </c>
      <c r="Z60" s="70">
        <f>IF(VLOOKUP($A60,raw[],COLUMN(AA$1)-COLUMN($A$1),FALSE)=0, VLOOKUP($D60, regions[], COLUMN(AA$1)-COLUMN($A$1), FALSE), VLOOKUP($A60,raw[],COLUMN(AA$1)-COLUMN($A$1),FALSE))</f>
        <v>6.2828539689495591</v>
      </c>
      <c r="AA60" s="70">
        <f>IF(VLOOKUP($A60,raw[],COLUMN(AB$1)-COLUMN($A$1),FALSE)=0, VLOOKUP($D60, regions[], COLUMN(AB$1)-COLUMN($A$1), FALSE), VLOOKUP($A60,raw[],COLUMN(AB$1)-COLUMN($A$1),FALSE))</f>
        <v>6.8933079489733373</v>
      </c>
      <c r="AB60" s="70">
        <f>IF(VLOOKUP($A60,raw[],COLUMN(AC$1)-COLUMN($A$1),FALSE)=0, VLOOKUP($D60, regions[], COLUMN(AC$1)-COLUMN($A$1), FALSE), VLOOKUP($A60,raw[],COLUMN(AC$1)-COLUMN($A$1),FALSE))</f>
        <v>6.9133079489733369</v>
      </c>
      <c r="AC60" s="72">
        <f>IF(VLOOKUP($A60,raw[],COLUMN(AD$1)-COLUMN($A$1),FALSE)=0, VLOOKUP($D60, regions[], COLUMN(AD$1)-COLUMN($A$1), FALSE), VLOOKUP($A60,raw[],COLUMN(AD$1)-COLUMN($A$1),FALSE))</f>
        <v>1.1772590000000055E-2</v>
      </c>
      <c r="AD60" s="72">
        <f>IF(VLOOKUP($A60,raw[],COLUMN(AE$1)-COLUMN($A$1),FALSE)=0, VLOOKUP($D60, regions[], COLUMN(AE$1)-COLUMN($A$1), FALSE), VLOOKUP($A60,raw[],COLUMN(AE$1)-COLUMN($A$1),FALSE))</f>
        <v>8.0799974977416777E-4</v>
      </c>
      <c r="AE60" s="72">
        <f>IF(VLOOKUP($A60,raw[],COLUMN(AF$1)-COLUMN($A$1),FALSE)=0, VLOOKUP($D60, regions[], COLUMN(AF$1)-COLUMN($A$1), FALSE), VLOOKUP($A60,raw[],COLUMN(AF$1)-COLUMN($A$1),FALSE))</f>
        <v>3.4310915692144765E-4</v>
      </c>
      <c r="AF60" s="72">
        <f>IF(VLOOKUP($A60,raw[],COLUMN(AG$1)-COLUMN($A$1),FALSE)=0, VLOOKUP($D60, regions[], COLUMN(AG$1)-COLUMN($A$1), FALSE), VLOOKUP($A60,raw[],COLUMN(AG$1)-COLUMN($A$1),FALSE))</f>
        <v>3.2715319779528731E-4</v>
      </c>
      <c r="AG60" s="72">
        <f>IF(VLOOKUP($A60,raw[],COLUMN(AH$1)-COLUMN($A$1),FALSE)=0, VLOOKUP($D60, regions[], COLUMN(AH$1)-COLUMN($A$1), FALSE), VLOOKUP($A60,raw[],COLUMN(AH$1)-COLUMN($A$1),FALSE))</f>
        <v>7.8892363496803233E-4</v>
      </c>
      <c r="AH60" s="72">
        <f>IF(VLOOKUP($A60,raw[],COLUMN(AI$1)-COLUMN($A$1),FALSE)=0, VLOOKUP($D60, regions[], COLUMN(AI$1)-COLUMN($A$1), FALSE), VLOOKUP($A60,raw[],COLUMN(AI$1)-COLUMN($A$1),FALSE))</f>
        <v>1.0780534073041913E-3</v>
      </c>
      <c r="AI60" s="72">
        <f>IF(VLOOKUP($A60,raw[],COLUMN(AJ$1)-COLUMN($A$1),FALSE)=0, VLOOKUP($D60, regions[], COLUMN(AJ$1)-COLUMN($A$1), FALSE), VLOOKUP($A60,raw[],COLUMN(AJ$1)-COLUMN($A$1),FALSE))</f>
        <v>1.1480297032394698E-3</v>
      </c>
      <c r="AJ60" s="72">
        <f>IF(VLOOKUP($A60,raw[],COLUMN(AK$1)-COLUMN($A$1),FALSE)=0, VLOOKUP($D60, regions[], COLUMN(AK$1)-COLUMN($A$1), FALSE), VLOOKUP($A60,raw[],COLUMN(AK$1)-COLUMN($A$1),FALSE))</f>
        <v>1.3736876876624586E-3</v>
      </c>
      <c r="AK60" s="72">
        <f>IF(VLOOKUP($A60,raw[],COLUMN(AL$1)-COLUMN($A$1),FALSE)=0, VLOOKUP($D60, regions[], COLUMN(AL$1)-COLUMN($A$1), FALSE), VLOOKUP($A60,raw[],COLUMN(AL$1)-COLUMN($A$1),FALSE))</f>
        <v>1.8588291620629529E-3</v>
      </c>
      <c r="AL60" s="72">
        <f>IF(VLOOKUP($A60,raw[],COLUMN(AM$1)-COLUMN($A$1),FALSE)=0, VLOOKUP($D60, regions[], COLUMN(AM$1)-COLUMN($A$1), FALSE), VLOOKUP($A60,raw[],COLUMN(AM$1)-COLUMN($A$1),FALSE))</f>
        <v>2.71750082356649E-3</v>
      </c>
      <c r="AM60" s="72">
        <f>IF(VLOOKUP($A60,raw[],COLUMN(AN$1)-COLUMN($A$1),FALSE)=0, VLOOKUP($D60, regions[], COLUMN(AN$1)-COLUMN($A$1), FALSE), VLOOKUP($A60,raw[],COLUMN(AN$1)-COLUMN($A$1),FALSE))</f>
        <v>4.2168369679111565E-3</v>
      </c>
      <c r="AN60" s="72">
        <f>IF(VLOOKUP($A60,raw[],COLUMN(AO$1)-COLUMN($A$1),FALSE)=0, VLOOKUP($D60, regions[], COLUMN(AO$1)-COLUMN($A$1), FALSE), VLOOKUP($A60,raw[],COLUMN(AO$1)-COLUMN($A$1),FALSE))</f>
        <v>6.5686598199869517E-3</v>
      </c>
      <c r="AO60" s="72">
        <f>IF(VLOOKUP($A60,raw[],COLUMN(AP$1)-COLUMN($A$1),FALSE)=0, VLOOKUP($D60, regions[], COLUMN(AP$1)-COLUMN($A$1), FALSE), VLOOKUP($A60,raw[],COLUMN(AP$1)-COLUMN($A$1),FALSE))</f>
        <v>1.0107070536801569E-2</v>
      </c>
      <c r="AP60" s="72">
        <f>IF(VLOOKUP($A60,raw[],COLUMN(AQ$1)-COLUMN($A$1),FALSE)=0, VLOOKUP($D60, regions[], COLUMN(AQ$1)-COLUMN($A$1), FALSE), VLOOKUP($A60,raw[],COLUMN(AQ$1)-COLUMN($A$1),FALSE))</f>
        <v>1.4161193888885175E-2</v>
      </c>
      <c r="AQ60" s="72">
        <f>IF(VLOOKUP($A60,raw[],COLUMN(AR$1)-COLUMN($A$1),FALSE)=0, VLOOKUP($D60, regions[], COLUMN(AR$1)-COLUMN($A$1), FALSE), VLOOKUP($A60,raw[],COLUMN(AR$1)-COLUMN($A$1),FALSE))</f>
        <v>2.0022560666233091E-2</v>
      </c>
      <c r="AR60" s="72">
        <f>IF(VLOOKUP($A60,raw[],COLUMN(AS$1)-COLUMN($A$1),FALSE)=0, VLOOKUP($D60, regions[], COLUMN(AS$1)-COLUMN($A$1), FALSE), VLOOKUP($A60,raw[],COLUMN(AS$1)-COLUMN($A$1),FALSE))</f>
        <v>3.0245210004194729E-2</v>
      </c>
      <c r="AS60" s="72">
        <f>IF(VLOOKUP($A60,raw[],COLUMN(AT$1)-COLUMN($A$1),FALSE)=0, VLOOKUP($D60, regions[], COLUMN(AT$1)-COLUMN($A$1), FALSE), VLOOKUP($A60,raw[],COLUMN(AT$1)-COLUMN($A$1),FALSE))</f>
        <v>4.8588944964654886E-2</v>
      </c>
      <c r="AT60" s="72">
        <f>IF(VLOOKUP($A60,raw[],COLUMN(AU$1)-COLUMN($A$1),FALSE)=0, VLOOKUP($D60, regions[], COLUMN(AU$1)-COLUMN($A$1), FALSE), VLOOKUP($A60,raw[],COLUMN(AU$1)-COLUMN($A$1),FALSE))</f>
        <v>7.4875270638348451E-2</v>
      </c>
      <c r="AU60" s="72">
        <f>IF(VLOOKUP($A60,raw[],COLUMN(AV$1)-COLUMN($A$1),FALSE)=0, VLOOKUP($D60, regions[], COLUMN(AV$1)-COLUMN($A$1), FALSE), VLOOKUP($A60,raw[],COLUMN(AV$1)-COLUMN($A$1),FALSE))</f>
        <v>0.10766867269478904</v>
      </c>
      <c r="AV60" s="72">
        <f>IF(VLOOKUP($A60,raw[],COLUMN(AW$1)-COLUMN($A$1),FALSE)=0, VLOOKUP($D60, regions[], COLUMN(AW$1)-COLUMN($A$1), FALSE), VLOOKUP($A60,raw[],COLUMN(AW$1)-COLUMN($A$1),FALSE))</f>
        <v>0.13925038964471201</v>
      </c>
      <c r="AW60" s="72">
        <f>IF(VLOOKUP($A60,raw[],COLUMN(AX$1)-COLUMN($A$1),FALSE)=0, VLOOKUP($D60, regions[], COLUMN(AX$1)-COLUMN($A$1), FALSE), VLOOKUP($A60,raw[],COLUMN(AX$1)-COLUMN($A$1),FALSE))</f>
        <v>0.16398700606550246</v>
      </c>
      <c r="AX60" s="72">
        <f>IF(VLOOKUP($A60,raw[],COLUMN(AY$1)-COLUMN($A$1),FALSE)=0, VLOOKUP($D60, regions[], COLUMN(AY$1)-COLUMN($A$1), FALSE), VLOOKUP($A60,raw[],COLUMN(AY$1)-COLUMN($A$1),FALSE))</f>
        <v>74.331999999999994</v>
      </c>
      <c r="AY60" t="str">
        <f t="shared" si="1"/>
        <v>Yes</v>
      </c>
    </row>
    <row r="61" spans="1:51" x14ac:dyDescent="0.25">
      <c r="A61" s="55" t="s">
        <v>342</v>
      </c>
      <c r="B61" s="56" t="s">
        <v>343</v>
      </c>
      <c r="C61" s="56">
        <v>400</v>
      </c>
      <c r="D61" s="56" t="s">
        <v>196</v>
      </c>
      <c r="E61" s="56" t="s">
        <v>197</v>
      </c>
      <c r="F61" s="56" t="s">
        <v>197</v>
      </c>
      <c r="G61" s="56" t="s">
        <v>204</v>
      </c>
      <c r="H61" s="74">
        <f>VLOOKUP(lmics[[#This Row],[setting]],raw[],8,FALSE)</f>
        <v>10203140</v>
      </c>
      <c r="I61" s="74">
        <f>VLOOKUP(lmics[[#This Row],[setting]],raw[],9,FALSE)</f>
        <v>224969.03386</v>
      </c>
      <c r="J61" s="67">
        <f>IF(VLOOKUP($A61,raw[],COLUMN(J$1),FALSE)=0, VLOOKUP($D61, regions[], COLUMN(J$1), FALSE), VLOOKUP($A61,raw[],COLUMN(J$1),FALSE))</f>
        <v>0.98099999999999998</v>
      </c>
      <c r="K61" s="77">
        <f>VLOOKUP($A61, raw[], 11, FALSE)</f>
        <v>0</v>
      </c>
      <c r="L61" s="77">
        <f>VLOOKUP($A61, raw[], 12, FALSE)</f>
        <v>0.77</v>
      </c>
      <c r="M61" s="77">
        <f>IF(VLOOKUP($A61,raw[],COLUMN(M$1),FALSE)=0, VLOOKUP($D61, regions[], COLUMN(M$1), FALSE), VLOOKUP($A61,raw[],COLUMN(M$1),FALSE))</f>
        <v>2.4700000000000003E-2</v>
      </c>
      <c r="N61" s="68">
        <f>IF(VLOOKUP($A61,raw[],COLUMN(N$1),FALSE)=0, VLOOKUP($D61, regions[], COLUMN(N$1), FALSE), VLOOKUP($A61,raw[],COLUMN(N$1),FALSE))</f>
        <v>0.25738483729519801</v>
      </c>
      <c r="O61" s="67">
        <f>IF(VLOOKUP($A61,raw[],COLUMN(O$1),FALSE)=0, VLOOKUP($D61, regions[], COLUMN(O$1), FALSE), VLOOKUP($A61,raw[],COLUMN(O$1),FALSE))</f>
        <v>0.8</v>
      </c>
      <c r="P61" s="68">
        <f>IF(VLOOKUP($A61,raw[],COLUMN(P$1),FALSE)=0, VLOOKUP($D61, regions[], COLUMN(P$1), FALSE), VLOOKUP($A61,raw[],COLUMN(P$1),FALSE))</f>
        <v>0.17499999999999999</v>
      </c>
      <c r="Q61" s="70">
        <f>IF(VLOOKUP($A61,raw[],COLUMN(Q$1),FALSE)=0, VLOOKUP($D61, regions[], COLUMN(Q$1), FALSE), VLOOKUP($A61,raw[],COLUMN(Q$1),FALSE))</f>
        <v>6.662674060488075</v>
      </c>
      <c r="R61" s="70">
        <f>IF(VLOOKUP($A61,raw[],COLUMN(R$1),FALSE)=0, VLOOKUP($D61, regions[], COLUMN(R$1), FALSE), VLOOKUP($A61,raw[],COLUMN(R$1),FALSE))</f>
        <v>28.988054060488075</v>
      </c>
      <c r="S61" s="70">
        <f>IF(VLOOKUP($A61,raw[],COLUMN(S$1),FALSE)=0, VLOOKUP($D61, regions[], COLUMN(S$1), FALSE), VLOOKUP($A61,raw[],COLUMN(S$1),FALSE))</f>
        <v>74.09061840550558</v>
      </c>
      <c r="T61" s="70">
        <f>IF(VLOOKUP($A61,raw[],COLUMN(U$1)-COLUMN($A$1),FALSE)=0, VLOOKUP($D61, regions[], COLUMN(U$1)-COLUMN($A$1), FALSE), VLOOKUP($A61,raw[],COLUMN(U$1)-COLUMN($A$1),FALSE))</f>
        <v>82.356938033238592</v>
      </c>
      <c r="U61" s="70">
        <f>IF(VLOOKUP($A61,raw[],COLUMN(V$1)-COLUMN($A$1),FALSE)=0, VLOOKUP($D61, regions[], COLUMN(V$1)-COLUMN($A$1), FALSE), VLOOKUP($A61,raw[],COLUMN(V$1)-COLUMN($A$1),FALSE))</f>
        <v>78.561218787921035</v>
      </c>
      <c r="V61" s="70">
        <f>IF(VLOOKUP($A61,raw[],COLUMN(W$1)-COLUMN($A$1),FALSE)=0, VLOOKUP($D61, regions[], COLUMN(W$1)-COLUMN($A$1), FALSE), VLOOKUP($A61,raw[],COLUMN(W$1)-COLUMN($A$1),FALSE))</f>
        <v>4.8379690622377165</v>
      </c>
      <c r="W61" s="70">
        <f>IF(VLOOKUP($A61,raw[],COLUMN(X$1)-COLUMN($A$1),FALSE)=0, VLOOKUP($D61, regions[], COLUMN(X$1)-COLUMN($A$1), FALSE), VLOOKUP($A61,raw[],COLUMN(X$1)-COLUMN($A$1),FALSE))</f>
        <v>5.3179690622377169</v>
      </c>
      <c r="X61" s="70">
        <f>IF(VLOOKUP($A61,raw[],COLUMN(Y$1)-COLUMN($A$1),FALSE)=0, VLOOKUP($D61, regions[], COLUMN(Y$1)-COLUMN($A$1), FALSE), VLOOKUP($A61,raw[],COLUMN(Y$1)-COLUMN($A$1),FALSE))</f>
        <v>4.4231530388712965</v>
      </c>
      <c r="Y61" s="70">
        <f>IF(VLOOKUP($A61,raw[],COLUMN(Z$1)-COLUMN($A$1),FALSE)=0, VLOOKUP($D61, regions[], COLUMN(Z$1)-COLUMN($A$1), FALSE), VLOOKUP($A61,raw[],COLUMN(Z$1)-COLUMN($A$1),FALSE))</f>
        <v>4.9031530388712969</v>
      </c>
      <c r="Z61" s="70">
        <f>IF(VLOOKUP($A61,raw[],COLUMN(AA$1)-COLUMN($A$1),FALSE)=0, VLOOKUP($D61, regions[], COLUMN(AA$1)-COLUMN($A$1), FALSE), VLOOKUP($A61,raw[],COLUMN(AA$1)-COLUMN($A$1),FALSE))</f>
        <v>4.8974978960412354</v>
      </c>
      <c r="AA61" s="70">
        <f>IF(VLOOKUP($A61,raw[],COLUMN(AB$1)-COLUMN($A$1),FALSE)=0, VLOOKUP($D61, regions[], COLUMN(AB$1)-COLUMN($A$1), FALSE), VLOOKUP($A61,raw[],COLUMN(AB$1)-COLUMN($A$1),FALSE))</f>
        <v>5.0446199188880723</v>
      </c>
      <c r="AB61" s="70">
        <f>IF(VLOOKUP($A61,raw[],COLUMN(AC$1)-COLUMN($A$1),FALSE)=0, VLOOKUP($D61, regions[], COLUMN(AC$1)-COLUMN($A$1), FALSE), VLOOKUP($A61,raw[],COLUMN(AC$1)-COLUMN($A$1),FALSE))</f>
        <v>5.5246199188880727</v>
      </c>
      <c r="AC61" s="72">
        <f>IF(VLOOKUP($A61,raw[],COLUMN(AD$1)-COLUMN($A$1),FALSE)=0, VLOOKUP($D61, regions[], COLUMN(AD$1)-COLUMN($A$1), FALSE), VLOOKUP($A61,raw[],COLUMN(AD$1)-COLUMN($A$1),FALSE))</f>
        <v>1.4632749999999941E-2</v>
      </c>
      <c r="AD61" s="72">
        <f>IF(VLOOKUP($A61,raw[],COLUMN(AE$1)-COLUMN($A$1),FALSE)=0, VLOOKUP($D61, regions[], COLUMN(AE$1)-COLUMN($A$1), FALSE), VLOOKUP($A61,raw[],COLUMN(AE$1)-COLUMN($A$1),FALSE))</f>
        <v>6.0964833162461E-4</v>
      </c>
      <c r="AE61" s="72">
        <f>IF(VLOOKUP($A61,raw[],COLUMN(AF$1)-COLUMN($A$1),FALSE)=0, VLOOKUP($D61, regions[], COLUMN(AF$1)-COLUMN($A$1), FALSE), VLOOKUP($A61,raw[],COLUMN(AF$1)-COLUMN($A$1),FALSE))</f>
        <v>3.2828657853446503E-4</v>
      </c>
      <c r="AF61" s="72">
        <f>IF(VLOOKUP($A61,raw[],COLUMN(AG$1)-COLUMN($A$1),FALSE)=0, VLOOKUP($D61, regions[], COLUMN(AG$1)-COLUMN($A$1), FALSE), VLOOKUP($A61,raw[],COLUMN(AG$1)-COLUMN($A$1),FALSE))</f>
        <v>2.7577292513125776E-4</v>
      </c>
      <c r="AG61" s="72">
        <f>IF(VLOOKUP($A61,raw[],COLUMN(AH$1)-COLUMN($A$1),FALSE)=0, VLOOKUP($D61, regions[], COLUMN(AH$1)-COLUMN($A$1), FALSE), VLOOKUP($A61,raw[],COLUMN(AH$1)-COLUMN($A$1),FALSE))</f>
        <v>5.1201955857610687E-4</v>
      </c>
      <c r="AH61" s="72">
        <f>IF(VLOOKUP($A61,raw[],COLUMN(AI$1)-COLUMN($A$1),FALSE)=0, VLOOKUP($D61, regions[], COLUMN(AI$1)-COLUMN($A$1), FALSE), VLOOKUP($A61,raw[],COLUMN(AI$1)-COLUMN($A$1),FALSE))</f>
        <v>7.1612071515947645E-4</v>
      </c>
      <c r="AI61" s="72">
        <f>IF(VLOOKUP($A61,raw[],COLUMN(AJ$1)-COLUMN($A$1),FALSE)=0, VLOOKUP($D61, regions[], COLUMN(AJ$1)-COLUMN($A$1), FALSE), VLOOKUP($A61,raw[],COLUMN(AJ$1)-COLUMN($A$1),FALSE))</f>
        <v>7.7178297825039046E-4</v>
      </c>
      <c r="AJ61" s="72">
        <f>IF(VLOOKUP($A61,raw[],COLUMN(AK$1)-COLUMN($A$1),FALSE)=0, VLOOKUP($D61, regions[], COLUMN(AK$1)-COLUMN($A$1), FALSE), VLOOKUP($A61,raw[],COLUMN(AK$1)-COLUMN($A$1),FALSE))</f>
        <v>9.1062710482887714E-4</v>
      </c>
      <c r="AK61" s="72">
        <f>IF(VLOOKUP($A61,raw[],COLUMN(AL$1)-COLUMN($A$1),FALSE)=0, VLOOKUP($D61, regions[], COLUMN(AL$1)-COLUMN($A$1), FALSE), VLOOKUP($A61,raw[],COLUMN(AL$1)-COLUMN($A$1),FALSE))</f>
        <v>1.2224606282356869E-3</v>
      </c>
      <c r="AL61" s="72">
        <f>IF(VLOOKUP($A61,raw[],COLUMN(AM$1)-COLUMN($A$1),FALSE)=0, VLOOKUP($D61, regions[], COLUMN(AM$1)-COLUMN($A$1), FALSE), VLOOKUP($A61,raw[],COLUMN(AM$1)-COLUMN($A$1),FALSE))</f>
        <v>1.8512747911948806E-3</v>
      </c>
      <c r="AM61" s="72">
        <f>IF(VLOOKUP($A61,raw[],COLUMN(AN$1)-COLUMN($A$1),FALSE)=0, VLOOKUP($D61, regions[], COLUMN(AN$1)-COLUMN($A$1), FALSE), VLOOKUP($A61,raw[],COLUMN(AN$1)-COLUMN($A$1),FALSE))</f>
        <v>3.1122471683366691E-3</v>
      </c>
      <c r="AN61" s="72">
        <f>IF(VLOOKUP($A61,raw[],COLUMN(AO$1)-COLUMN($A$1),FALSE)=0, VLOOKUP($D61, regions[], COLUMN(AO$1)-COLUMN($A$1), FALSE), VLOOKUP($A61,raw[],COLUMN(AO$1)-COLUMN($A$1),FALSE))</f>
        <v>5.0729302808490678E-3</v>
      </c>
      <c r="AO61" s="72">
        <f>IF(VLOOKUP($A61,raw[],COLUMN(AP$1)-COLUMN($A$1),FALSE)=0, VLOOKUP($D61, regions[], COLUMN(AP$1)-COLUMN($A$1), FALSE), VLOOKUP($A61,raw[],COLUMN(AP$1)-COLUMN($A$1),FALSE))</f>
        <v>8.369964446812107E-3</v>
      </c>
      <c r="AP61" s="72">
        <f>IF(VLOOKUP($A61,raw[],COLUMN(AQ$1)-COLUMN($A$1),FALSE)=0, VLOOKUP($D61, regions[], COLUMN(AQ$1)-COLUMN($A$1), FALSE), VLOOKUP($A61,raw[],COLUMN(AQ$1)-COLUMN($A$1),FALSE))</f>
        <v>1.3391899499446925E-2</v>
      </c>
      <c r="AQ61" s="72">
        <f>IF(VLOOKUP($A61,raw[],COLUMN(AR$1)-COLUMN($A$1),FALSE)=0, VLOOKUP($D61, regions[], COLUMN(AR$1)-COLUMN($A$1), FALSE), VLOOKUP($A61,raw[],COLUMN(AR$1)-COLUMN($A$1),FALSE))</f>
        <v>2.212427567931665E-2</v>
      </c>
      <c r="AR61" s="72">
        <f>IF(VLOOKUP($A61,raw[],COLUMN(AS$1)-COLUMN($A$1),FALSE)=0, VLOOKUP($D61, regions[], COLUMN(AS$1)-COLUMN($A$1), FALSE), VLOOKUP($A61,raw[],COLUMN(AS$1)-COLUMN($A$1),FALSE))</f>
        <v>3.618751162717259E-2</v>
      </c>
      <c r="AS61" s="72">
        <f>IF(VLOOKUP($A61,raw[],COLUMN(AT$1)-COLUMN($A$1),FALSE)=0, VLOOKUP($D61, regions[], COLUMN(AT$1)-COLUMN($A$1), FALSE), VLOOKUP($A61,raw[],COLUMN(AT$1)-COLUMN($A$1),FALSE))</f>
        <v>5.7640347386947753E-2</v>
      </c>
      <c r="AT61" s="72">
        <f>IF(VLOOKUP($A61,raw[],COLUMN(AU$1)-COLUMN($A$1),FALSE)=0, VLOOKUP($D61, regions[], COLUMN(AU$1)-COLUMN($A$1), FALSE), VLOOKUP($A61,raw[],COLUMN(AU$1)-COLUMN($A$1),FALSE))</f>
        <v>8.8864944342642305E-2</v>
      </c>
      <c r="AU61" s="72">
        <f>IF(VLOOKUP($A61,raw[],COLUMN(AV$1)-COLUMN($A$1),FALSE)=0, VLOOKUP($D61, regions[], COLUMN(AV$1)-COLUMN($A$1), FALSE), VLOOKUP($A61,raw[],COLUMN(AV$1)-COLUMN($A$1),FALSE))</f>
        <v>0.1233822091096403</v>
      </c>
      <c r="AV61" s="72">
        <f>IF(VLOOKUP($A61,raw[],COLUMN(AW$1)-COLUMN($A$1),FALSE)=0, VLOOKUP($D61, regions[], COLUMN(AW$1)-COLUMN($A$1), FALSE), VLOOKUP($A61,raw[],COLUMN(AW$1)-COLUMN($A$1),FALSE))</f>
        <v>0.15471847178241849</v>
      </c>
      <c r="AW61" s="72">
        <f>IF(VLOOKUP($A61,raw[],COLUMN(AX$1)-COLUMN($A$1),FALSE)=0, VLOOKUP($D61, regions[], COLUMN(AX$1)-COLUMN($A$1), FALSE), VLOOKUP($A61,raw[],COLUMN(AX$1)-COLUMN($A$1),FALSE))</f>
        <v>0.17654961686173334</v>
      </c>
      <c r="AX61" s="72">
        <f>IF(VLOOKUP($A61,raw[],COLUMN(AY$1)-COLUMN($A$1),FALSE)=0, VLOOKUP($D61, regions[], COLUMN(AY$1)-COLUMN($A$1), FALSE), VLOOKUP($A61,raw[],COLUMN(AY$1)-COLUMN($A$1),FALSE))</f>
        <v>74.326999999999998</v>
      </c>
      <c r="AY61" t="str">
        <f t="shared" si="1"/>
        <v>Yes</v>
      </c>
    </row>
    <row r="62" spans="1:51" x14ac:dyDescent="0.25">
      <c r="A62" s="53" t="s">
        <v>344</v>
      </c>
      <c r="B62" s="54" t="s">
        <v>345</v>
      </c>
      <c r="C62" s="54">
        <v>398</v>
      </c>
      <c r="D62" s="54" t="s">
        <v>201</v>
      </c>
      <c r="E62" s="54" t="s">
        <v>220</v>
      </c>
      <c r="F62" s="54" t="s">
        <v>203</v>
      </c>
      <c r="G62" s="54" t="s">
        <v>204</v>
      </c>
      <c r="H62" s="73">
        <f>VLOOKUP(lmics[[#This Row],[setting]],raw[],8,FALSE)</f>
        <v>18776707</v>
      </c>
      <c r="I62" s="73">
        <f>VLOOKUP(lmics[[#This Row],[setting]],raw[],9,FALSE)</f>
        <v>401389.66553899995</v>
      </c>
      <c r="J62" s="67">
        <f>IF(VLOOKUP($A62,raw[],COLUMN(J$1),FALSE)=0, VLOOKUP($D62, regions[], COLUMN(J$1), FALSE), VLOOKUP($A62,raw[],COLUMN(J$1),FALSE))</f>
        <v>0.99299999999999999</v>
      </c>
      <c r="K62" s="77">
        <f>VLOOKUP($A62, raw[], 11, FALSE)</f>
        <v>0.93</v>
      </c>
      <c r="L62" s="77">
        <f>VLOOKUP($A62, raw[], 12, FALSE)</f>
        <v>0.88</v>
      </c>
      <c r="M62" s="77">
        <f>IF(VLOOKUP($A62,raw[],COLUMN(M$1),FALSE)=0, VLOOKUP($D62, regions[], COLUMN(M$1), FALSE), VLOOKUP($A62,raw[],COLUMN(M$1),FALSE))</f>
        <v>3.32E-2</v>
      </c>
      <c r="N62" s="68">
        <f>IF(VLOOKUP($A62,raw[],COLUMN(N$1),FALSE)=0, VLOOKUP($D62, regions[], COLUMN(N$1), FALSE), VLOOKUP($A62,raw[],COLUMN(N$1),FALSE))</f>
        <v>0.29237590740285052</v>
      </c>
      <c r="O62" s="67">
        <f>IF(VLOOKUP($A62,raw[],COLUMN(O$1),FALSE)=0, VLOOKUP($D62, regions[], COLUMN(O$1), FALSE), VLOOKUP($A62,raw[],COLUMN(O$1),FALSE))</f>
        <v>0.8</v>
      </c>
      <c r="P62" s="68">
        <f>IF(VLOOKUP($A62,raw[],COLUMN(P$1),FALSE)=0, VLOOKUP($D62, regions[], COLUMN(P$1), FALSE), VLOOKUP($A62,raw[],COLUMN(P$1),FALSE))</f>
        <v>0.17499999999999999</v>
      </c>
      <c r="Q62" s="70">
        <f>IF(VLOOKUP($A62,raw[],COLUMN(Q$1),FALSE)=0, VLOOKUP($D62, regions[], COLUMN(Q$1), FALSE), VLOOKUP($A62,raw[],COLUMN(Q$1),FALSE))</f>
        <v>11.358880427502219</v>
      </c>
      <c r="R62" s="70">
        <f>IF(VLOOKUP($A62,raw[],COLUMN(R$1),FALSE)=0, VLOOKUP($D62, regions[], COLUMN(R$1), FALSE), VLOOKUP($A62,raw[],COLUMN(R$1),FALSE))</f>
        <v>33.684260427502224</v>
      </c>
      <c r="S62" s="70">
        <f>IF(VLOOKUP($A62,raw[],COLUMN(S$1),FALSE)=0, VLOOKUP($D62, regions[], COLUMN(S$1), FALSE), VLOOKUP($A62,raw[],COLUMN(S$1),FALSE))</f>
        <v>97.015116081439842</v>
      </c>
      <c r="T62" s="70">
        <f>IF(VLOOKUP($A62,raw[],COLUMN(U$1)-COLUMN($A$1),FALSE)=0, VLOOKUP($D62, regions[], COLUMN(U$1)-COLUMN($A$1), FALSE), VLOOKUP($A62,raw[],COLUMN(U$1)-COLUMN($A$1),FALSE))</f>
        <v>114.7686242357681</v>
      </c>
      <c r="U62" s="70">
        <f>IF(VLOOKUP($A62,raw[],COLUMN(V$1)-COLUMN($A$1),FALSE)=0, VLOOKUP($D62, regions[], COLUMN(V$1)-COLUMN($A$1), FALSE), VLOOKUP($A62,raw[],COLUMN(V$1)-COLUMN($A$1),FALSE))</f>
        <v>106.61658855265645</v>
      </c>
      <c r="V62" s="70">
        <f>IF(VLOOKUP($A62,raw[],COLUMN(W$1)-COLUMN($A$1),FALSE)=0, VLOOKUP($D62, regions[], COLUMN(W$1)-COLUMN($A$1), FALSE), VLOOKUP($A62,raw[],COLUMN(W$1)-COLUMN($A$1),FALSE))</f>
        <v>5.6597989965890978</v>
      </c>
      <c r="W62" s="70">
        <f>IF(VLOOKUP($A62,raw[],COLUMN(X$1)-COLUMN($A$1),FALSE)=0, VLOOKUP($D62, regions[], COLUMN(X$1)-COLUMN($A$1), FALSE), VLOOKUP($A62,raw[],COLUMN(X$1)-COLUMN($A$1),FALSE))</f>
        <v>9.7297989965890981</v>
      </c>
      <c r="X62" s="70">
        <f>IF(VLOOKUP($A62,raw[],COLUMN(Y$1)-COLUMN($A$1),FALSE)=0, VLOOKUP($D62, regions[], COLUMN(Y$1)-COLUMN($A$1), FALSE), VLOOKUP($A62,raw[],COLUMN(Y$1)-COLUMN($A$1),FALSE))</f>
        <v>5.2299561051930521</v>
      </c>
      <c r="Y62" s="70">
        <f>IF(VLOOKUP($A62,raw[],COLUMN(Z$1)-COLUMN($A$1),FALSE)=0, VLOOKUP($D62, regions[], COLUMN(Z$1)-COLUMN($A$1), FALSE), VLOOKUP($A62,raw[],COLUMN(Z$1)-COLUMN($A$1),FALSE))</f>
        <v>9.2999561051930524</v>
      </c>
      <c r="Z62" s="70">
        <f>IF(VLOOKUP($A62,raw[],COLUMN(AA$1)-COLUMN($A$1),FALSE)=0, VLOOKUP($D62, regions[], COLUMN(AA$1)-COLUMN($A$1), FALSE), VLOOKUP($A62,raw[],COLUMN(AA$1)-COLUMN($A$1),FALSE))</f>
        <v>9.2884385904769342</v>
      </c>
      <c r="AA62" s="70">
        <f>IF(VLOOKUP($A62,raw[],COLUMN(AB$1)-COLUMN($A$1),FALSE)=0, VLOOKUP($D62, regions[], COLUMN(AB$1)-COLUMN($A$1), FALSE), VLOOKUP($A62,raw[],COLUMN(AB$1)-COLUMN($A$1),FALSE))</f>
        <v>5.8718072583630594</v>
      </c>
      <c r="AB62" s="70">
        <f>IF(VLOOKUP($A62,raw[],COLUMN(AC$1)-COLUMN($A$1),FALSE)=0, VLOOKUP($D62, regions[], COLUMN(AC$1)-COLUMN($A$1), FALSE), VLOOKUP($A62,raw[],COLUMN(AC$1)-COLUMN($A$1),FALSE))</f>
        <v>9.9418072583630597</v>
      </c>
      <c r="AC62" s="72">
        <f>IF(VLOOKUP($A62,raw[],COLUMN(AD$1)-COLUMN($A$1),FALSE)=0, VLOOKUP($D62, regions[], COLUMN(AD$1)-COLUMN($A$1), FALSE), VLOOKUP($A62,raw[],COLUMN(AD$1)-COLUMN($A$1),FALSE))</f>
        <v>7.6736500000000527E-3</v>
      </c>
      <c r="AD62" s="72">
        <f>IF(VLOOKUP($A62,raw[],COLUMN(AE$1)-COLUMN($A$1),FALSE)=0, VLOOKUP($D62, regions[], COLUMN(AE$1)-COLUMN($A$1), FALSE), VLOOKUP($A62,raw[],COLUMN(AE$1)-COLUMN($A$1),FALSE))</f>
        <v>5.5877282710469801E-4</v>
      </c>
      <c r="AE62" s="72">
        <f>IF(VLOOKUP($A62,raw[],COLUMN(AF$1)-COLUMN($A$1),FALSE)=0, VLOOKUP($D62, regions[], COLUMN(AF$1)-COLUMN($A$1), FALSE), VLOOKUP($A62,raw[],COLUMN(AF$1)-COLUMN($A$1),FALSE))</f>
        <v>2.7353974298632871E-4</v>
      </c>
      <c r="AF62" s="72">
        <f>IF(VLOOKUP($A62,raw[],COLUMN(AG$1)-COLUMN($A$1),FALSE)=0, VLOOKUP($D62, regions[], COLUMN(AG$1)-COLUMN($A$1), FALSE), VLOOKUP($A62,raw[],COLUMN(AG$1)-COLUMN($A$1),FALSE))</f>
        <v>2.9288976803779922E-4</v>
      </c>
      <c r="AG62" s="72">
        <f>IF(VLOOKUP($A62,raw[],COLUMN(AH$1)-COLUMN($A$1),FALSE)=0, VLOOKUP($D62, regions[], COLUMN(AH$1)-COLUMN($A$1), FALSE), VLOOKUP($A62,raw[],COLUMN(AH$1)-COLUMN($A$1),FALSE))</f>
        <v>5.9057460042845128E-4</v>
      </c>
      <c r="AH62" s="72">
        <f>IF(VLOOKUP($A62,raw[],COLUMN(AI$1)-COLUMN($A$1),FALSE)=0, VLOOKUP($D62, regions[], COLUMN(AI$1)-COLUMN($A$1), FALSE), VLOOKUP($A62,raw[],COLUMN(AI$1)-COLUMN($A$1),FALSE))</f>
        <v>8.6802308517955622E-4</v>
      </c>
      <c r="AI62" s="72">
        <f>IF(VLOOKUP($A62,raw[],COLUMN(AJ$1)-COLUMN($A$1),FALSE)=0, VLOOKUP($D62, regions[], COLUMN(AJ$1)-COLUMN($A$1), FALSE), VLOOKUP($A62,raw[],COLUMN(AJ$1)-COLUMN($A$1),FALSE))</f>
        <v>1.1322508451784348E-3</v>
      </c>
      <c r="AJ62" s="72">
        <f>IF(VLOOKUP($A62,raw[],COLUMN(AK$1)-COLUMN($A$1),FALSE)=0, VLOOKUP($D62, regions[], COLUMN(AK$1)-COLUMN($A$1), FALSE), VLOOKUP($A62,raw[],COLUMN(AK$1)-COLUMN($A$1),FALSE))</f>
        <v>1.7362060675387271E-3</v>
      </c>
      <c r="AK62" s="72">
        <f>IF(VLOOKUP($A62,raw[],COLUMN(AL$1)-COLUMN($A$1),FALSE)=0, VLOOKUP($D62, regions[], COLUMN(AL$1)-COLUMN($A$1), FALSE), VLOOKUP($A62,raw[],COLUMN(AL$1)-COLUMN($A$1),FALSE))</f>
        <v>2.7651398905049469E-3</v>
      </c>
      <c r="AL62" s="72">
        <f>IF(VLOOKUP($A62,raw[],COLUMN(AM$1)-COLUMN($A$1),FALSE)=0, VLOOKUP($D62, regions[], COLUMN(AM$1)-COLUMN($A$1), FALSE), VLOOKUP($A62,raw[],COLUMN(AM$1)-COLUMN($A$1),FALSE))</f>
        <v>3.8116304279226295E-3</v>
      </c>
      <c r="AM62" s="72">
        <f>IF(VLOOKUP($A62,raw[],COLUMN(AN$1)-COLUMN($A$1),FALSE)=0, VLOOKUP($D62, regions[], COLUMN(AN$1)-COLUMN($A$1), FALSE), VLOOKUP($A62,raw[],COLUMN(AN$1)-COLUMN($A$1),FALSE))</f>
        <v>5.1108571994989476E-3</v>
      </c>
      <c r="AN62" s="72">
        <f>IF(VLOOKUP($A62,raw[],COLUMN(AO$1)-COLUMN($A$1),FALSE)=0, VLOOKUP($D62, regions[], COLUMN(AO$1)-COLUMN($A$1), FALSE), VLOOKUP($A62,raw[],COLUMN(AO$1)-COLUMN($A$1),FALSE))</f>
        <v>7.1501039862457566E-3</v>
      </c>
      <c r="AO62" s="72">
        <f>IF(VLOOKUP($A62,raw[],COLUMN(AP$1)-COLUMN($A$1),FALSE)=0, VLOOKUP($D62, regions[], COLUMN(AP$1)-COLUMN($A$1), FALSE), VLOOKUP($A62,raw[],COLUMN(AP$1)-COLUMN($A$1),FALSE))</f>
        <v>1.0725561526911859E-2</v>
      </c>
      <c r="AP62" s="72">
        <f>IF(VLOOKUP($A62,raw[],COLUMN(AQ$1)-COLUMN($A$1),FALSE)=0, VLOOKUP($D62, regions[], COLUMN(AQ$1)-COLUMN($A$1), FALSE), VLOOKUP($A62,raw[],COLUMN(AQ$1)-COLUMN($A$1),FALSE))</f>
        <v>1.6538686927187084E-2</v>
      </c>
      <c r="AQ62" s="72">
        <f>IF(VLOOKUP($A62,raw[],COLUMN(AR$1)-COLUMN($A$1),FALSE)=0, VLOOKUP($D62, regions[], COLUMN(AR$1)-COLUMN($A$1), FALSE), VLOOKUP($A62,raw[],COLUMN(AR$1)-COLUMN($A$1),FALSE))</f>
        <v>2.4728424144013106E-2</v>
      </c>
      <c r="AR62" s="72">
        <f>IF(VLOOKUP($A62,raw[],COLUMN(AS$1)-COLUMN($A$1),FALSE)=0, VLOOKUP($D62, regions[], COLUMN(AS$1)-COLUMN($A$1), FALSE), VLOOKUP($A62,raw[],COLUMN(AS$1)-COLUMN($A$1),FALSE))</f>
        <v>3.4583943415142905E-2</v>
      </c>
      <c r="AS62" s="72">
        <f>IF(VLOOKUP($A62,raw[],COLUMN(AT$1)-COLUMN($A$1),FALSE)=0, VLOOKUP($D62, regions[], COLUMN(AT$1)-COLUMN($A$1), FALSE), VLOOKUP($A62,raw[],COLUMN(AT$1)-COLUMN($A$1),FALSE))</f>
        <v>5.4274969562793166E-2</v>
      </c>
      <c r="AT62" s="72">
        <f>IF(VLOOKUP($A62,raw[],COLUMN(AU$1)-COLUMN($A$1),FALSE)=0, VLOOKUP($D62, regions[], COLUMN(AU$1)-COLUMN($A$1), FALSE), VLOOKUP($A62,raw[],COLUMN(AU$1)-COLUMN($A$1),FALSE))</f>
        <v>7.9683684738573041E-2</v>
      </c>
      <c r="AU62" s="72">
        <f>IF(VLOOKUP($A62,raw[],COLUMN(AV$1)-COLUMN($A$1),FALSE)=0, VLOOKUP($D62, regions[], COLUMN(AV$1)-COLUMN($A$1), FALSE), VLOOKUP($A62,raw[],COLUMN(AV$1)-COLUMN($A$1),FALSE))</f>
        <v>0.11119078253863507</v>
      </c>
      <c r="AV62" s="72">
        <f>IF(VLOOKUP($A62,raw[],COLUMN(AW$1)-COLUMN($A$1),FALSE)=0, VLOOKUP($D62, regions[], COLUMN(AW$1)-COLUMN($A$1), FALSE), VLOOKUP($A62,raw[],COLUMN(AW$1)-COLUMN($A$1),FALSE))</f>
        <v>0.14423617153627075</v>
      </c>
      <c r="AW62" s="72">
        <f>IF(VLOOKUP($A62,raw[],COLUMN(AX$1)-COLUMN($A$1),FALSE)=0, VLOOKUP($D62, regions[], COLUMN(AX$1)-COLUMN($A$1), FALSE), VLOOKUP($A62,raw[],COLUMN(AX$1)-COLUMN($A$1),FALSE))</f>
        <v>0.16970912047030279</v>
      </c>
      <c r="AX62" s="72">
        <f>IF(VLOOKUP($A62,raw[],COLUMN(AY$1)-COLUMN($A$1),FALSE)=0, VLOOKUP($D62, regions[], COLUMN(AY$1)-COLUMN($A$1), FALSE), VLOOKUP($A62,raw[],COLUMN(AY$1)-COLUMN($A$1),FALSE))</f>
        <v>73.224999999999994</v>
      </c>
      <c r="AY62" t="str">
        <f t="shared" si="1"/>
        <v>No</v>
      </c>
    </row>
    <row r="63" spans="1:51" x14ac:dyDescent="0.25">
      <c r="A63" s="55" t="s">
        <v>346</v>
      </c>
      <c r="B63" s="56" t="s">
        <v>347</v>
      </c>
      <c r="C63" s="56">
        <v>404</v>
      </c>
      <c r="D63" s="56" t="s">
        <v>207</v>
      </c>
      <c r="E63" s="56" t="s">
        <v>255</v>
      </c>
      <c r="F63" s="56" t="s">
        <v>211</v>
      </c>
      <c r="G63" s="56" t="s">
        <v>212</v>
      </c>
      <c r="H63" s="74">
        <f>VLOOKUP(lmics[[#This Row],[setting]],raw[],8,FALSE)</f>
        <v>53771300</v>
      </c>
      <c r="I63" s="74">
        <f>VLOOKUP(lmics[[#This Row],[setting]],raw[],9,FALSE)</f>
        <v>1554259.4265000001</v>
      </c>
      <c r="J63" s="67">
        <f>IF(VLOOKUP($A63,raw[],COLUMN(J$1),FALSE)=0, VLOOKUP($D63, regions[], COLUMN(J$1), FALSE), VLOOKUP($A63,raw[],COLUMN(J$1),FALSE))</f>
        <v>0.61199999999999999</v>
      </c>
      <c r="K63" s="77">
        <f>VLOOKUP($A63, raw[], 11, FALSE)</f>
        <v>0</v>
      </c>
      <c r="L63" s="77">
        <f>VLOOKUP($A63, raw[], 12, FALSE)</f>
        <v>0.91</v>
      </c>
      <c r="M63" s="77">
        <f>IF(VLOOKUP($A63,raw[],COLUMN(M$1),FALSE)=0, VLOOKUP($D63, regions[], COLUMN(M$1), FALSE), VLOOKUP($A63,raw[],COLUMN(M$1),FALSE))</f>
        <v>1.66E-2</v>
      </c>
      <c r="N63" s="68">
        <f>IF(VLOOKUP($A63,raw[],COLUMN(N$1),FALSE)=0, VLOOKUP($D63, regions[], COLUMN(N$1), FALSE), VLOOKUP($A63,raw[],COLUMN(N$1),FALSE))</f>
        <v>0.29029165014939401</v>
      </c>
      <c r="O63" s="67">
        <f>IF(VLOOKUP($A63,raw[],COLUMN(O$1),FALSE)=0, VLOOKUP($D63, regions[], COLUMN(O$1), FALSE), VLOOKUP($A63,raw[],COLUMN(O$1),FALSE))</f>
        <v>0.38300000000000001</v>
      </c>
      <c r="P63" s="68">
        <f>IF(VLOOKUP($A63,raw[],COLUMN(P$1),FALSE)=0, VLOOKUP($D63, regions[], COLUMN(P$1), FALSE), VLOOKUP($A63,raw[],COLUMN(P$1),FALSE))</f>
        <v>4.8000000000000001E-2</v>
      </c>
      <c r="Q63" s="70">
        <f>IF(VLOOKUP($A63,raw[],COLUMN(Q$1),FALSE)=0, VLOOKUP($D63, regions[], COLUMN(Q$1), FALSE), VLOOKUP($A63,raw[],COLUMN(Q$1),FALSE))</f>
        <v>3.2702733856022803</v>
      </c>
      <c r="R63" s="70">
        <f>IF(VLOOKUP($A63,raw[],COLUMN(R$1),FALSE)=0, VLOOKUP($D63, regions[], COLUMN(R$1), FALSE), VLOOKUP($A63,raw[],COLUMN(R$1),FALSE))</f>
        <v>25.595653385602283</v>
      </c>
      <c r="S63" s="70">
        <f>IF(VLOOKUP($A63,raw[],COLUMN(S$1),FALSE)=0, VLOOKUP($D63, regions[], COLUMN(S$1), FALSE), VLOOKUP($A63,raw[],COLUMN(S$1),FALSE))</f>
        <v>57.033388623673964</v>
      </c>
      <c r="T63" s="70">
        <f>IF(VLOOKUP($A63,raw[],COLUMN(U$1)-COLUMN($A$1),FALSE)=0, VLOOKUP($D63, regions[], COLUMN(U$1)-COLUMN($A$1), FALSE), VLOOKUP($A63,raw[],COLUMN(U$1)-COLUMN($A$1),FALSE))</f>
        <v>58.187642302698919</v>
      </c>
      <c r="U63" s="70">
        <f>IF(VLOOKUP($A63,raw[],COLUMN(V$1)-COLUMN($A$1),FALSE)=0, VLOOKUP($D63, regions[], COLUMN(V$1)-COLUMN($A$1), FALSE), VLOOKUP($A63,raw[],COLUMN(V$1)-COLUMN($A$1),FALSE))</f>
        <v>57.657633411105273</v>
      </c>
      <c r="V63" s="70">
        <f>IF(VLOOKUP($A63,raw[],COLUMN(W$1)-COLUMN($A$1),FALSE)=0, VLOOKUP($D63, regions[], COLUMN(W$1)-COLUMN($A$1), FALSE), VLOOKUP($A63,raw[],COLUMN(W$1)-COLUMN($A$1),FALSE))</f>
        <v>2.5958115127751458</v>
      </c>
      <c r="W63" s="70">
        <f>IF(VLOOKUP($A63,raw[],COLUMN(X$1)-COLUMN($A$1),FALSE)=0, VLOOKUP($D63, regions[], COLUMN(X$1)-COLUMN($A$1), FALSE), VLOOKUP($A63,raw[],COLUMN(X$1)-COLUMN($A$1),FALSE))</f>
        <v>7.4258115127751463</v>
      </c>
      <c r="X63" s="70">
        <f>IF(VLOOKUP($A63,raw[],COLUMN(Y$1)-COLUMN($A$1),FALSE)=0, VLOOKUP($D63, regions[], COLUMN(Y$1)-COLUMN($A$1), FALSE), VLOOKUP($A63,raw[],COLUMN(Y$1)-COLUMN($A$1),FALSE))</f>
        <v>2.1840550650090131</v>
      </c>
      <c r="Y63" s="70">
        <f>IF(VLOOKUP($A63,raw[],COLUMN(Z$1)-COLUMN($A$1),FALSE)=0, VLOOKUP($D63, regions[], COLUMN(Z$1)-COLUMN($A$1), FALSE), VLOOKUP($A63,raw[],COLUMN(Z$1)-COLUMN($A$1),FALSE))</f>
        <v>7.0140550650090132</v>
      </c>
      <c r="Z63" s="70">
        <f>IF(VLOOKUP($A63,raw[],COLUMN(AA$1)-COLUMN($A$1),FALSE)=0, VLOOKUP($D63, regions[], COLUMN(AA$1)-COLUMN($A$1), FALSE), VLOOKUP($A63,raw[],COLUMN(AA$1)-COLUMN($A$1),FALSE))</f>
        <v>7.0098538567922599</v>
      </c>
      <c r="AA63" s="70">
        <f>IF(VLOOKUP($A63,raw[],COLUMN(AB$1)-COLUMN($A$1),FALSE)=0, VLOOKUP($D63, regions[], COLUMN(AB$1)-COLUMN($A$1), FALSE), VLOOKUP($A63,raw[],COLUMN(AB$1)-COLUMN($A$1),FALSE))</f>
        <v>2.8013715642114856</v>
      </c>
      <c r="AB63" s="70">
        <f>IF(VLOOKUP($A63,raw[],COLUMN(AC$1)-COLUMN($A$1),FALSE)=0, VLOOKUP($D63, regions[], COLUMN(AC$1)-COLUMN($A$1), FALSE), VLOOKUP($A63,raw[],COLUMN(AC$1)-COLUMN($A$1),FALSE))</f>
        <v>7.6313715642114861</v>
      </c>
      <c r="AC63" s="72">
        <f>IF(VLOOKUP($A63,raw[],COLUMN(AD$1)-COLUMN($A$1),FALSE)=0, VLOOKUP($D63, regions[], COLUMN(AD$1)-COLUMN($A$1), FALSE), VLOOKUP($A63,raw[],COLUMN(AD$1)-COLUMN($A$1),FALSE))</f>
        <v>3.6371680000000052E-2</v>
      </c>
      <c r="AD63" s="72">
        <f>IF(VLOOKUP($A63,raw[],COLUMN(AE$1)-COLUMN($A$1),FALSE)=0, VLOOKUP($D63, regions[], COLUMN(AE$1)-COLUMN($A$1), FALSE), VLOOKUP($A63,raw[],COLUMN(AE$1)-COLUMN($A$1),FALSE))</f>
        <v>2.8778575125313626E-3</v>
      </c>
      <c r="AE63" s="72">
        <f>IF(VLOOKUP($A63,raw[],COLUMN(AF$1)-COLUMN($A$1),FALSE)=0, VLOOKUP($D63, regions[], COLUMN(AF$1)-COLUMN($A$1), FALSE), VLOOKUP($A63,raw[],COLUMN(AF$1)-COLUMN($A$1),FALSE))</f>
        <v>8.8878149832473396E-4</v>
      </c>
      <c r="AF63" s="72">
        <f>IF(VLOOKUP($A63,raw[],COLUMN(AG$1)-COLUMN($A$1),FALSE)=0, VLOOKUP($D63, regions[], COLUMN(AG$1)-COLUMN($A$1), FALSE), VLOOKUP($A63,raw[],COLUMN(AG$1)-COLUMN($A$1),FALSE))</f>
        <v>7.2191935359029714E-4</v>
      </c>
      <c r="AG63" s="72">
        <f>IF(VLOOKUP($A63,raw[],COLUMN(AH$1)-COLUMN($A$1),FALSE)=0, VLOOKUP($D63, regions[], COLUMN(AH$1)-COLUMN($A$1), FALSE), VLOOKUP($A63,raw[],COLUMN(AH$1)-COLUMN($A$1),FALSE))</f>
        <v>1.2535671078773741E-3</v>
      </c>
      <c r="AH63" s="72">
        <f>IF(VLOOKUP($A63,raw[],COLUMN(AI$1)-COLUMN($A$1),FALSE)=0, VLOOKUP($D63, regions[], COLUMN(AI$1)-COLUMN($A$1), FALSE), VLOOKUP($A63,raw[],COLUMN(AI$1)-COLUMN($A$1),FALSE))</f>
        <v>2.0151098251266352E-3</v>
      </c>
      <c r="AI63" s="72">
        <f>IF(VLOOKUP($A63,raw[],COLUMN(AJ$1)-COLUMN($A$1),FALSE)=0, VLOOKUP($D63, regions[], COLUMN(AJ$1)-COLUMN($A$1), FALSE), VLOOKUP($A63,raw[],COLUMN(AJ$1)-COLUMN($A$1),FALSE))</f>
        <v>2.7743378338870063E-3</v>
      </c>
      <c r="AJ63" s="72">
        <f>IF(VLOOKUP($A63,raw[],COLUMN(AK$1)-COLUMN($A$1),FALSE)=0, VLOOKUP($D63, regions[], COLUMN(AK$1)-COLUMN($A$1), FALSE), VLOOKUP($A63,raw[],COLUMN(AK$1)-COLUMN($A$1),FALSE))</f>
        <v>3.6171295347846425E-3</v>
      </c>
      <c r="AK63" s="72">
        <f>IF(VLOOKUP($A63,raw[],COLUMN(AL$1)-COLUMN($A$1),FALSE)=0, VLOOKUP($D63, regions[], COLUMN(AL$1)-COLUMN($A$1), FALSE), VLOOKUP($A63,raw[],COLUMN(AL$1)-COLUMN($A$1),FALSE))</f>
        <v>4.8349930451986167E-3</v>
      </c>
      <c r="AL63" s="72">
        <f>IF(VLOOKUP($A63,raw[],COLUMN(AM$1)-COLUMN($A$1),FALSE)=0, VLOOKUP($D63, regions[], COLUMN(AM$1)-COLUMN($A$1), FALSE), VLOOKUP($A63,raw[],COLUMN(AM$1)-COLUMN($A$1),FALSE))</f>
        <v>6.0774118722196563E-3</v>
      </c>
      <c r="AM63" s="72">
        <f>IF(VLOOKUP($A63,raw[],COLUMN(AN$1)-COLUMN($A$1),FALSE)=0, VLOOKUP($D63, regions[], COLUMN(AN$1)-COLUMN($A$1), FALSE), VLOOKUP($A63,raw[],COLUMN(AN$1)-COLUMN($A$1),FALSE))</f>
        <v>7.6402037982026281E-3</v>
      </c>
      <c r="AN63" s="72">
        <f>IF(VLOOKUP($A63,raw[],COLUMN(AO$1)-COLUMN($A$1),FALSE)=0, VLOOKUP($D63, regions[], COLUMN(AO$1)-COLUMN($A$1), FALSE), VLOOKUP($A63,raw[],COLUMN(AO$1)-COLUMN($A$1),FALSE))</f>
        <v>1.0285721443846717E-2</v>
      </c>
      <c r="AO63" s="72">
        <f>IF(VLOOKUP($A63,raw[],COLUMN(AP$1)-COLUMN($A$1),FALSE)=0, VLOOKUP($D63, regions[], COLUMN(AP$1)-COLUMN($A$1), FALSE), VLOOKUP($A63,raw[],COLUMN(AP$1)-COLUMN($A$1),FALSE))</f>
        <v>1.3317102527833061E-2</v>
      </c>
      <c r="AP63" s="72">
        <f>IF(VLOOKUP($A63,raw[],COLUMN(AQ$1)-COLUMN($A$1),FALSE)=0, VLOOKUP($D63, regions[], COLUMN(AQ$1)-COLUMN($A$1), FALSE), VLOOKUP($A63,raw[],COLUMN(AQ$1)-COLUMN($A$1),FALSE))</f>
        <v>1.9017377283509957E-2</v>
      </c>
      <c r="AQ63" s="72">
        <f>IF(VLOOKUP($A63,raw[],COLUMN(AR$1)-COLUMN($A$1),FALSE)=0, VLOOKUP($D63, regions[], COLUMN(AR$1)-COLUMN($A$1), FALSE), VLOOKUP($A63,raw[],COLUMN(AR$1)-COLUMN($A$1),FALSE))</f>
        <v>2.8329205279911861E-2</v>
      </c>
      <c r="AR63" s="72">
        <f>IF(VLOOKUP($A63,raw[],COLUMN(AS$1)-COLUMN($A$1),FALSE)=0, VLOOKUP($D63, regions[], COLUMN(AS$1)-COLUMN($A$1), FALSE), VLOOKUP($A63,raw[],COLUMN(AS$1)-COLUMN($A$1),FALSE))</f>
        <v>4.2834133912262096E-2</v>
      </c>
      <c r="AS63" s="72">
        <f>IF(VLOOKUP($A63,raw[],COLUMN(AT$1)-COLUMN($A$1),FALSE)=0, VLOOKUP($D63, regions[], COLUMN(AT$1)-COLUMN($A$1), FALSE), VLOOKUP($A63,raw[],COLUMN(AT$1)-COLUMN($A$1),FALSE))</f>
        <v>6.4664908087092451E-2</v>
      </c>
      <c r="AT63" s="72">
        <f>IF(VLOOKUP($A63,raw[],COLUMN(AU$1)-COLUMN($A$1),FALSE)=0, VLOOKUP($D63, regions[], COLUMN(AU$1)-COLUMN($A$1), FALSE), VLOOKUP($A63,raw[],COLUMN(AU$1)-COLUMN($A$1),FALSE))</f>
        <v>9.7217163228875234E-2</v>
      </c>
      <c r="AU63" s="72">
        <f>IF(VLOOKUP($A63,raw[],COLUMN(AV$1)-COLUMN($A$1),FALSE)=0, VLOOKUP($D63, regions[], COLUMN(AV$1)-COLUMN($A$1), FALSE), VLOOKUP($A63,raw[],COLUMN(AV$1)-COLUMN($A$1),FALSE))</f>
        <v>0.1368826401817643</v>
      </c>
      <c r="AV63" s="72">
        <f>IF(VLOOKUP($A63,raw[],COLUMN(AW$1)-COLUMN($A$1),FALSE)=0, VLOOKUP($D63, regions[], COLUMN(AW$1)-COLUMN($A$1), FALSE), VLOOKUP($A63,raw[],COLUMN(AW$1)-COLUMN($A$1),FALSE))</f>
        <v>0.17226761766858911</v>
      </c>
      <c r="AW63" s="72">
        <f>IF(VLOOKUP($A63,raw[],COLUMN(AX$1)-COLUMN($A$1),FALSE)=0, VLOOKUP($D63, regions[], COLUMN(AX$1)-COLUMN($A$1), FALSE), VLOOKUP($A63,raw[],COLUMN(AX$1)-COLUMN($A$1),FALSE))</f>
        <v>0.18675635071800664</v>
      </c>
      <c r="AX63" s="72">
        <f>IF(VLOOKUP($A63,raw[],COLUMN(AY$1)-COLUMN($A$1),FALSE)=0, VLOOKUP($D63, regions[], COLUMN(AY$1)-COLUMN($A$1), FALSE), VLOOKUP($A63,raw[],COLUMN(AY$1)-COLUMN($A$1),FALSE))</f>
        <v>66.177999999999997</v>
      </c>
      <c r="AY63" t="str">
        <f t="shared" si="1"/>
        <v>Yes</v>
      </c>
    </row>
    <row r="64" spans="1:51" x14ac:dyDescent="0.25">
      <c r="A64" s="53" t="s">
        <v>348</v>
      </c>
      <c r="B64" s="54" t="s">
        <v>349</v>
      </c>
      <c r="C64" s="54">
        <v>296</v>
      </c>
      <c r="D64" s="54" t="s">
        <v>260</v>
      </c>
      <c r="E64" s="54" t="s">
        <v>309</v>
      </c>
      <c r="F64" s="54" t="s">
        <v>262</v>
      </c>
      <c r="G64" s="54" t="s">
        <v>212</v>
      </c>
      <c r="H64" s="73">
        <f>VLOOKUP(lmics[[#This Row],[setting]],raw[],8,FALSE)</f>
        <v>119446</v>
      </c>
      <c r="I64" s="73">
        <f>VLOOKUP(lmics[[#This Row],[setting]],raw[],9,FALSE)</f>
        <v>3353.2075580000001</v>
      </c>
      <c r="J64" s="67">
        <f>IF(VLOOKUP($A64,raw[],COLUMN(J$1),FALSE)=0, VLOOKUP($D64, regions[], COLUMN(J$1), FALSE), VLOOKUP($A64,raw[],COLUMN(J$1),FALSE))</f>
        <v>0.86099999999999999</v>
      </c>
      <c r="K64" s="77">
        <f>VLOOKUP($A64, raw[], 11, FALSE)</f>
        <v>0.91</v>
      </c>
      <c r="L64" s="77">
        <f>VLOOKUP($A64, raw[], 12, FALSE)</f>
        <v>0.92</v>
      </c>
      <c r="M64" s="77">
        <f>IF(VLOOKUP($A64,raw[],COLUMN(M$1),FALSE)=0, VLOOKUP($D64, regions[], COLUMN(M$1), FALSE), VLOOKUP($A64,raw[],COLUMN(M$1),FALSE))</f>
        <v>0.15859999999999999</v>
      </c>
      <c r="N64" s="68">
        <f>IF(VLOOKUP($A64,raw[],COLUMN(N$1),FALSE)=0, VLOOKUP($D64, regions[], COLUMN(N$1), FALSE), VLOOKUP($A64,raw[],COLUMN(N$1),FALSE))</f>
        <v>0.31472755890902343</v>
      </c>
      <c r="O64" s="67">
        <f>IF(VLOOKUP($A64,raw[],COLUMN(O$1),FALSE)=0, VLOOKUP($D64, regions[], COLUMN(O$1), FALSE), VLOOKUP($A64,raw[],COLUMN(O$1),FALSE))</f>
        <v>0.8</v>
      </c>
      <c r="P64" s="68">
        <f>IF(VLOOKUP($A64,raw[],COLUMN(P$1),FALSE)=0, VLOOKUP($D64, regions[], COLUMN(P$1), FALSE), VLOOKUP($A64,raw[],COLUMN(P$1),FALSE))</f>
        <v>0.17499999999999999</v>
      </c>
      <c r="Q64" s="70">
        <f>IF(VLOOKUP($A64,raw[],COLUMN(Q$1),FALSE)=0, VLOOKUP($D64, regions[], COLUMN(Q$1), FALSE), VLOOKUP($A64,raw[],COLUMN(Q$1),FALSE))</f>
        <v>6.1810782438113003</v>
      </c>
      <c r="R64" s="70">
        <f>IF(VLOOKUP($A64,raw[],COLUMN(R$1),FALSE)=0, VLOOKUP($D64, regions[], COLUMN(R$1), FALSE), VLOOKUP($A64,raw[],COLUMN(R$1),FALSE))</f>
        <v>28.506458243811302</v>
      </c>
      <c r="S64" s="70">
        <f>IF(VLOOKUP($A64,raw[],COLUMN(S$1),FALSE)=0, VLOOKUP($D64, regions[], COLUMN(S$1), FALSE), VLOOKUP($A64,raw[],COLUMN(S$1),FALSE))</f>
        <v>65.861624844443156</v>
      </c>
      <c r="T64" s="70">
        <f>IF(VLOOKUP($A64,raw[],COLUMN(U$1)-COLUMN($A$1),FALSE)=0, VLOOKUP($D64, regions[], COLUMN(U$1)-COLUMN($A$1), FALSE), VLOOKUP($A64,raw[],COLUMN(U$1)-COLUMN($A$1),FALSE))</f>
        <v>70.095694726664505</v>
      </c>
      <c r="U64" s="70">
        <f>IF(VLOOKUP($A64,raw[],COLUMN(V$1)-COLUMN($A$1),FALSE)=0, VLOOKUP($D64, regions[], COLUMN(V$1)-COLUMN($A$1), FALSE), VLOOKUP($A64,raw[],COLUMN(V$1)-COLUMN($A$1),FALSE))</f>
        <v>68.151499333584297</v>
      </c>
      <c r="V64" s="70">
        <f>IF(VLOOKUP($A64,raw[],COLUMN(W$1)-COLUMN($A$1),FALSE)=0, VLOOKUP($D64, regions[], COLUMN(W$1)-COLUMN($A$1), FALSE), VLOOKUP($A64,raw[],COLUMN(W$1)-COLUMN($A$1),FALSE))</f>
        <v>9.8897788223457628</v>
      </c>
      <c r="W64" s="70">
        <f>IF(VLOOKUP($A64,raw[],COLUMN(X$1)-COLUMN($A$1),FALSE)=0, VLOOKUP($D64, regions[], COLUMN(X$1)-COLUMN($A$1), FALSE), VLOOKUP($A64,raw[],COLUMN(X$1)-COLUMN($A$1),FALSE))</f>
        <v>10.519778822345764</v>
      </c>
      <c r="X64" s="70">
        <f>IF(VLOOKUP($A64,raw[],COLUMN(Y$1)-COLUMN($A$1),FALSE)=0, VLOOKUP($D64, regions[], COLUMN(Y$1)-COLUMN($A$1), FALSE), VLOOKUP($A64,raw[],COLUMN(Y$1)-COLUMN($A$1),FALSE))</f>
        <v>9.4794473949157432</v>
      </c>
      <c r="Y64" s="70">
        <f>IF(VLOOKUP($A64,raw[],COLUMN(Z$1)-COLUMN($A$1),FALSE)=0, VLOOKUP($D64, regions[], COLUMN(Z$1)-COLUMN($A$1), FALSE), VLOOKUP($A64,raw[],COLUMN(Z$1)-COLUMN($A$1),FALSE))</f>
        <v>10.109447394915744</v>
      </c>
      <c r="Z64" s="70">
        <f>IF(VLOOKUP($A64,raw[],COLUMN(AA$1)-COLUMN($A$1),FALSE)=0, VLOOKUP($D64, regions[], COLUMN(AA$1)-COLUMN($A$1), FALSE), VLOOKUP($A64,raw[],COLUMN(AA$1)-COLUMN($A$1),FALSE))</f>
        <v>10.105868409725574</v>
      </c>
      <c r="AA64" s="70">
        <f>IF(VLOOKUP($A64,raw[],COLUMN(AB$1)-COLUMN($A$1),FALSE)=0, VLOOKUP($D64, regions[], COLUMN(AB$1)-COLUMN($A$1), FALSE), VLOOKUP($A64,raw[],COLUMN(AB$1)-COLUMN($A$1),FALSE))</f>
        <v>10.094830823053575</v>
      </c>
      <c r="AB64" s="70">
        <f>IF(VLOOKUP($A64,raw[],COLUMN(AC$1)-COLUMN($A$1),FALSE)=0, VLOOKUP($D64, regions[], COLUMN(AC$1)-COLUMN($A$1), FALSE), VLOOKUP($A64,raw[],COLUMN(AC$1)-COLUMN($A$1),FALSE))</f>
        <v>10.724830823053576</v>
      </c>
      <c r="AC64" s="72">
        <f>IF(VLOOKUP($A64,raw[],COLUMN(AD$1)-COLUMN($A$1),FALSE)=0, VLOOKUP($D64, regions[], COLUMN(AD$1)-COLUMN($A$1), FALSE), VLOOKUP($A64,raw[],COLUMN(AD$1)-COLUMN($A$1),FALSE))</f>
        <v>4.2810580000000042E-2</v>
      </c>
      <c r="AD64" s="72">
        <f>IF(VLOOKUP($A64,raw[],COLUMN(AE$1)-COLUMN($A$1),FALSE)=0, VLOOKUP($D64, regions[], COLUMN(AE$1)-COLUMN($A$1), FALSE), VLOOKUP($A64,raw[],COLUMN(AE$1)-COLUMN($A$1),FALSE))</f>
        <v>2.9734736307469594E-3</v>
      </c>
      <c r="AE64" s="72">
        <f>IF(VLOOKUP($A64,raw[],COLUMN(AF$1)-COLUMN($A$1),FALSE)=0, VLOOKUP($D64, regions[], COLUMN(AF$1)-COLUMN($A$1), FALSE), VLOOKUP($A64,raw[],COLUMN(AF$1)-COLUMN($A$1),FALSE))</f>
        <v>1.0102677539002773E-3</v>
      </c>
      <c r="AF64" s="72">
        <f>IF(VLOOKUP($A64,raw[],COLUMN(AG$1)-COLUMN($A$1),FALSE)=0, VLOOKUP($D64, regions[], COLUMN(AG$1)-COLUMN($A$1), FALSE), VLOOKUP($A64,raw[],COLUMN(AG$1)-COLUMN($A$1),FALSE))</f>
        <v>7.7028172397112474E-4</v>
      </c>
      <c r="AG64" s="72">
        <f>IF(VLOOKUP($A64,raw[],COLUMN(AH$1)-COLUMN($A$1),FALSE)=0, VLOOKUP($D64, regions[], COLUMN(AH$1)-COLUMN($A$1), FALSE), VLOOKUP($A64,raw[],COLUMN(AH$1)-COLUMN($A$1),FALSE))</f>
        <v>1.3611415838985282E-3</v>
      </c>
      <c r="AH64" s="72">
        <f>IF(VLOOKUP($A64,raw[],COLUMN(AI$1)-COLUMN($A$1),FALSE)=0, VLOOKUP($D64, regions[], COLUMN(AI$1)-COLUMN($A$1), FALSE), VLOOKUP($A64,raw[],COLUMN(AI$1)-COLUMN($A$1),FALSE))</f>
        <v>1.8087283671869372E-3</v>
      </c>
      <c r="AI64" s="72">
        <f>IF(VLOOKUP($A64,raw[],COLUMN(AJ$1)-COLUMN($A$1),FALSE)=0, VLOOKUP($D64, regions[], COLUMN(AJ$1)-COLUMN($A$1), FALSE), VLOOKUP($A64,raw[],COLUMN(AJ$1)-COLUMN($A$1),FALSE))</f>
        <v>1.9320481092567449E-3</v>
      </c>
      <c r="AJ64" s="72">
        <f>IF(VLOOKUP($A64,raw[],COLUMN(AK$1)-COLUMN($A$1),FALSE)=0, VLOOKUP($D64, regions[], COLUMN(AK$1)-COLUMN($A$1), FALSE), VLOOKUP($A64,raw[],COLUMN(AK$1)-COLUMN($A$1),FALSE))</f>
        <v>2.2648100574510369E-3</v>
      </c>
      <c r="AK64" s="72">
        <f>IF(VLOOKUP($A64,raw[],COLUMN(AL$1)-COLUMN($A$1),FALSE)=0, VLOOKUP($D64, regions[], COLUMN(AL$1)-COLUMN($A$1), FALSE), VLOOKUP($A64,raw[],COLUMN(AL$1)-COLUMN($A$1),FALSE))</f>
        <v>2.9664223068404175E-3</v>
      </c>
      <c r="AL64" s="72">
        <f>IF(VLOOKUP($A64,raw[],COLUMN(AM$1)-COLUMN($A$1),FALSE)=0, VLOOKUP($D64, regions[], COLUMN(AM$1)-COLUMN($A$1), FALSE), VLOOKUP($A64,raw[],COLUMN(AM$1)-COLUMN($A$1),FALSE))</f>
        <v>4.090306331880492E-3</v>
      </c>
      <c r="AM64" s="72">
        <f>IF(VLOOKUP($A64,raw[],COLUMN(AN$1)-COLUMN($A$1),FALSE)=0, VLOOKUP($D64, regions[], COLUMN(AN$1)-COLUMN($A$1), FALSE), VLOOKUP($A64,raw[],COLUMN(AN$1)-COLUMN($A$1),FALSE))</f>
        <v>5.9454738142292783E-3</v>
      </c>
      <c r="AN64" s="72">
        <f>IF(VLOOKUP($A64,raw[],COLUMN(AO$1)-COLUMN($A$1),FALSE)=0, VLOOKUP($D64, regions[], COLUMN(AO$1)-COLUMN($A$1), FALSE), VLOOKUP($A64,raw[],COLUMN(AO$1)-COLUMN($A$1),FALSE))</f>
        <v>8.8883732613264464E-3</v>
      </c>
      <c r="AO64" s="72">
        <f>IF(VLOOKUP($A64,raw[],COLUMN(AP$1)-COLUMN($A$1),FALSE)=0, VLOOKUP($D64, regions[], COLUMN(AP$1)-COLUMN($A$1), FALSE), VLOOKUP($A64,raw[],COLUMN(AP$1)-COLUMN($A$1),FALSE))</f>
        <v>1.3344731434740999E-2</v>
      </c>
      <c r="AP64" s="72">
        <f>IF(VLOOKUP($A64,raw[],COLUMN(AQ$1)-COLUMN($A$1),FALSE)=0, VLOOKUP($D64, regions[], COLUMN(AQ$1)-COLUMN($A$1), FALSE), VLOOKUP($A64,raw[],COLUMN(AQ$1)-COLUMN($A$1),FALSE))</f>
        <v>1.8650319566401743E-2</v>
      </c>
      <c r="AQ64" s="72">
        <f>IF(VLOOKUP($A64,raw[],COLUMN(AR$1)-COLUMN($A$1),FALSE)=0, VLOOKUP($D64, regions[], COLUMN(AR$1)-COLUMN($A$1), FALSE), VLOOKUP($A64,raw[],COLUMN(AR$1)-COLUMN($A$1),FALSE))</f>
        <v>2.5792278768542693E-2</v>
      </c>
      <c r="AR64" s="72">
        <f>IF(VLOOKUP($A64,raw[],COLUMN(AS$1)-COLUMN($A$1),FALSE)=0, VLOOKUP($D64, regions[], COLUMN(AS$1)-COLUMN($A$1), FALSE), VLOOKUP($A64,raw[],COLUMN(AS$1)-COLUMN($A$1),FALSE))</f>
        <v>3.7261687144411811E-2</v>
      </c>
      <c r="AS64" s="72">
        <f>IF(VLOOKUP($A64,raw[],COLUMN(AT$1)-COLUMN($A$1),FALSE)=0, VLOOKUP($D64, regions[], COLUMN(AT$1)-COLUMN($A$1), FALSE), VLOOKUP($A64,raw[],COLUMN(AT$1)-COLUMN($A$1),FALSE))</f>
        <v>5.6245524282747067E-2</v>
      </c>
      <c r="AT64" s="72">
        <f>IF(VLOOKUP($A64,raw[],COLUMN(AU$1)-COLUMN($A$1),FALSE)=0, VLOOKUP($D64, regions[], COLUMN(AU$1)-COLUMN($A$1), FALSE), VLOOKUP($A64,raw[],COLUMN(AU$1)-COLUMN($A$1),FALSE))</f>
        <v>8.1681558971999441E-2</v>
      </c>
      <c r="AU64" s="72">
        <f>IF(VLOOKUP($A64,raw[],COLUMN(AV$1)-COLUMN($A$1),FALSE)=0, VLOOKUP($D64, regions[], COLUMN(AV$1)-COLUMN($A$1), FALSE), VLOOKUP($A64,raw[],COLUMN(AV$1)-COLUMN($A$1),FALSE))</f>
        <v>0.10897725065418802</v>
      </c>
      <c r="AV64" s="72">
        <f>IF(VLOOKUP($A64,raw[],COLUMN(AW$1)-COLUMN($A$1),FALSE)=0, VLOOKUP($D64, regions[], COLUMN(AW$1)-COLUMN($A$1), FALSE), VLOOKUP($A64,raw[],COLUMN(AW$1)-COLUMN($A$1),FALSE))</f>
        <v>0.13173376074294296</v>
      </c>
      <c r="AW64" s="72">
        <f>IF(VLOOKUP($A64,raw[],COLUMN(AX$1)-COLUMN($A$1),FALSE)=0, VLOOKUP($D64, regions[], COLUMN(AX$1)-COLUMN($A$1), FALSE), VLOOKUP($A64,raw[],COLUMN(AX$1)-COLUMN($A$1),FALSE))</f>
        <v>0.15341759745752365</v>
      </c>
      <c r="AX64" s="72">
        <f>IF(VLOOKUP($A64,raw[],COLUMN(AY$1)-COLUMN($A$1),FALSE)=0, VLOOKUP($D64, regions[], COLUMN(AY$1)-COLUMN($A$1), FALSE), VLOOKUP($A64,raw[],COLUMN(AY$1)-COLUMN($A$1),FALSE))</f>
        <v>67.989999999999995</v>
      </c>
      <c r="AY64" t="str">
        <f t="shared" si="1"/>
        <v>No</v>
      </c>
    </row>
    <row r="65" spans="1:51" x14ac:dyDescent="0.25">
      <c r="A65" s="55" t="s">
        <v>350</v>
      </c>
      <c r="B65" s="56" t="s">
        <v>351</v>
      </c>
      <c r="C65" s="56">
        <v>408</v>
      </c>
      <c r="D65" s="56" t="s">
        <v>225</v>
      </c>
      <c r="E65" s="56" t="s">
        <v>271</v>
      </c>
      <c r="F65" s="56" t="s">
        <v>262</v>
      </c>
      <c r="G65" s="56" t="s">
        <v>198</v>
      </c>
      <c r="H65" s="74">
        <f>VLOOKUP(lmics[[#This Row],[setting]],raw[],8,FALSE)</f>
        <v>25778815</v>
      </c>
      <c r="I65" s="74">
        <f>VLOOKUP(lmics[[#This Row],[setting]],raw[],9,FALSE)</f>
        <v>359330.90228499996</v>
      </c>
      <c r="J65" s="67">
        <f>IF(VLOOKUP($A65,raw[],COLUMN(J$1),FALSE)=0, VLOOKUP($D65, regions[], COLUMN(J$1), FALSE), VLOOKUP($A65,raw[],COLUMN(J$1),FALSE))</f>
        <v>0.92200000000000004</v>
      </c>
      <c r="K65" s="77">
        <f>VLOOKUP($A65, raw[], 11, FALSE)</f>
        <v>0.99</v>
      </c>
      <c r="L65" s="77">
        <f>VLOOKUP($A65, raw[], 12, FALSE)</f>
        <v>0.97</v>
      </c>
      <c r="M65" s="77">
        <f>IF(VLOOKUP($A65,raw[],COLUMN(M$1),FALSE)=0, VLOOKUP($D65, regions[], COLUMN(M$1), FALSE), VLOOKUP($A65,raw[],COLUMN(M$1),FALSE))</f>
        <v>6.4100000000000004E-2</v>
      </c>
      <c r="N65" s="68">
        <f>IF(VLOOKUP($A65,raw[],COLUMN(N$1),FALSE)=0, VLOOKUP($D65, regions[], COLUMN(N$1), FALSE), VLOOKUP($A65,raw[],COLUMN(N$1),FALSE))</f>
        <v>0.328432494471814</v>
      </c>
      <c r="O65" s="67">
        <f>IF(VLOOKUP($A65,raw[],COLUMN(O$1),FALSE)=0, VLOOKUP($D65, regions[], COLUMN(O$1), FALSE), VLOOKUP($A65,raw[],COLUMN(O$1),FALSE))</f>
        <v>0.8</v>
      </c>
      <c r="P65" s="68">
        <f>IF(VLOOKUP($A65,raw[],COLUMN(P$1),FALSE)=0, VLOOKUP($D65, regions[], COLUMN(P$1), FALSE), VLOOKUP($A65,raw[],COLUMN(P$1),FALSE))</f>
        <v>0.17499999999999999</v>
      </c>
      <c r="Q65" s="70">
        <f>IF(VLOOKUP($A65,raw[],COLUMN(Q$1),FALSE)=0, VLOOKUP($D65, regions[], COLUMN(Q$1), FALSE), VLOOKUP($A65,raw[],COLUMN(Q$1),FALSE))</f>
        <v>4.1911279395996512</v>
      </c>
      <c r="R65" s="70">
        <f>IF(VLOOKUP($A65,raw[],COLUMN(R$1),FALSE)=0, VLOOKUP($D65, regions[], COLUMN(R$1), FALSE), VLOOKUP($A65,raw[],COLUMN(R$1),FALSE))</f>
        <v>26.516507939599656</v>
      </c>
      <c r="S65" s="70">
        <f>IF(VLOOKUP($A65,raw[],COLUMN(S$1),FALSE)=0, VLOOKUP($D65, regions[], COLUMN(S$1), FALSE), VLOOKUP($A65,raw[],COLUMN(S$1),FALSE))</f>
        <v>60.98336822040153</v>
      </c>
      <c r="T65" s="70">
        <f>IF(VLOOKUP($A65,raw[],COLUMN(U$1)-COLUMN($A$1),FALSE)=0, VLOOKUP($D65, regions[], COLUMN(U$1)-COLUMN($A$1), FALSE), VLOOKUP($A65,raw[],COLUMN(U$1)-COLUMN($A$1),FALSE))</f>
        <v>63.714175612771484</v>
      </c>
      <c r="U65" s="70">
        <f>IF(VLOOKUP($A65,raw[],COLUMN(V$1)-COLUMN($A$1),FALSE)=0, VLOOKUP($D65, regions[], COLUMN(V$1)-COLUMN($A$1), FALSE), VLOOKUP($A65,raw[],COLUMN(V$1)-COLUMN($A$1),FALSE))</f>
        <v>62.460246580109981</v>
      </c>
      <c r="V65" s="70">
        <f>IF(VLOOKUP($A65,raw[],COLUMN(W$1)-COLUMN($A$1),FALSE)=0, VLOOKUP($D65, regions[], COLUMN(W$1)-COLUMN($A$1), FALSE), VLOOKUP($A65,raw[],COLUMN(W$1)-COLUMN($A$1),FALSE))</f>
        <v>1.6436020548483423</v>
      </c>
      <c r="W65" s="70">
        <f>IF(VLOOKUP($A65,raw[],COLUMN(X$1)-COLUMN($A$1),FALSE)=0, VLOOKUP($D65, regions[], COLUMN(X$1)-COLUMN($A$1), FALSE), VLOOKUP($A65,raw[],COLUMN(X$1)-COLUMN($A$1),FALSE))</f>
        <v>3.2025622273512755</v>
      </c>
      <c r="X65" s="70">
        <f>IF(VLOOKUP($A65,raw[],COLUMN(Y$1)-COLUMN($A$1),FALSE)=0, VLOOKUP($D65, regions[], COLUMN(Y$1)-COLUMN($A$1), FALSE), VLOOKUP($A65,raw[],COLUMN(Y$1)-COLUMN($A$1),FALSE))</f>
        <v>1.2292065656247828</v>
      </c>
      <c r="Y65" s="70">
        <f>IF(VLOOKUP($A65,raw[],COLUMN(Z$1)-COLUMN($A$1),FALSE)=0, VLOOKUP($D65, regions[], COLUMN(Z$1)-COLUMN($A$1), FALSE), VLOOKUP($A65,raw[],COLUMN(Z$1)-COLUMN($A$1),FALSE))</f>
        <v>2.7881667381277162</v>
      </c>
      <c r="Z65" s="70">
        <f>IF(VLOOKUP($A65,raw[],COLUMN(AA$1)-COLUMN($A$1),FALSE)=0, VLOOKUP($D65, regions[], COLUMN(AA$1)-COLUMN($A$1), FALSE), VLOOKUP($A65,raw[],COLUMN(AA$1)-COLUMN($A$1),FALSE))</f>
        <v>2.7827289253258933</v>
      </c>
      <c r="AA65" s="70">
        <f>IF(VLOOKUP($A65,raw[],COLUMN(AB$1)-COLUMN($A$1),FALSE)=0, VLOOKUP($D65, regions[], COLUMN(AB$1)-COLUMN($A$1), FALSE), VLOOKUP($A65,raw[],COLUMN(AB$1)-COLUMN($A$1),FALSE))</f>
        <v>1.8501029819347219</v>
      </c>
      <c r="AB65" s="70">
        <f>IF(VLOOKUP($A65,raw[],COLUMN(AC$1)-COLUMN($A$1),FALSE)=0, VLOOKUP($D65, regions[], COLUMN(AC$1)-COLUMN($A$1), FALSE), VLOOKUP($A65,raw[],COLUMN(AC$1)-COLUMN($A$1),FALSE))</f>
        <v>3.4090631544376548</v>
      </c>
      <c r="AC65" s="72">
        <f>IF(VLOOKUP($A65,raw[],COLUMN(AD$1)-COLUMN($A$1),FALSE)=0, VLOOKUP($D65, regions[], COLUMN(AD$1)-COLUMN($A$1), FALSE), VLOOKUP($A65,raw[],COLUMN(AD$1)-COLUMN($A$1),FALSE))</f>
        <v>1.3898110000000016E-2</v>
      </c>
      <c r="AD65" s="72">
        <f>IF(VLOOKUP($A65,raw[],COLUMN(AE$1)-COLUMN($A$1),FALSE)=0, VLOOKUP($D65, regions[], COLUMN(AE$1)-COLUMN($A$1), FALSE), VLOOKUP($A65,raw[],COLUMN(AE$1)-COLUMN($A$1),FALSE))</f>
        <v>1.1525710593658816E-3</v>
      </c>
      <c r="AE65" s="72">
        <f>IF(VLOOKUP($A65,raw[],COLUMN(AF$1)-COLUMN($A$1),FALSE)=0, VLOOKUP($D65, regions[], COLUMN(AF$1)-COLUMN($A$1), FALSE), VLOOKUP($A65,raw[],COLUMN(AF$1)-COLUMN($A$1),FALSE))</f>
        <v>6.4473978694718382E-4</v>
      </c>
      <c r="AF65" s="72">
        <f>IF(VLOOKUP($A65,raw[],COLUMN(AG$1)-COLUMN($A$1),FALSE)=0, VLOOKUP($D65, regions[], COLUMN(AG$1)-COLUMN($A$1), FALSE), VLOOKUP($A65,raw[],COLUMN(AG$1)-COLUMN($A$1),FALSE))</f>
        <v>5.9891366179574187E-4</v>
      </c>
      <c r="AG65" s="72">
        <f>IF(VLOOKUP($A65,raw[],COLUMN(AH$1)-COLUMN($A$1),FALSE)=0, VLOOKUP($D65, regions[], COLUMN(AH$1)-COLUMN($A$1), FALSE), VLOOKUP($A65,raw[],COLUMN(AH$1)-COLUMN($A$1),FALSE))</f>
        <v>8.6491156320066926E-4</v>
      </c>
      <c r="AH65" s="72">
        <f>IF(VLOOKUP($A65,raw[],COLUMN(AI$1)-COLUMN($A$1),FALSE)=0, VLOOKUP($D65, regions[], COLUMN(AI$1)-COLUMN($A$1), FALSE), VLOOKUP($A65,raw[],COLUMN(AI$1)-COLUMN($A$1),FALSE))</f>
        <v>1.2403650027324735E-3</v>
      </c>
      <c r="AI65" s="72">
        <f>IF(VLOOKUP($A65,raw[],COLUMN(AJ$1)-COLUMN($A$1),FALSE)=0, VLOOKUP($D65, regions[], COLUMN(AJ$1)-COLUMN($A$1), FALSE), VLOOKUP($A65,raw[],COLUMN(AJ$1)-COLUMN($A$1),FALSE))</f>
        <v>1.5396702549552246E-3</v>
      </c>
      <c r="AJ65" s="72">
        <f>IF(VLOOKUP($A65,raw[],COLUMN(AK$1)-COLUMN($A$1),FALSE)=0, VLOOKUP($D65, regions[], COLUMN(AK$1)-COLUMN($A$1), FALSE), VLOOKUP($A65,raw[],COLUMN(AK$1)-COLUMN($A$1),FALSE))</f>
        <v>1.7486773131445052E-3</v>
      </c>
      <c r="AK65" s="72">
        <f>IF(VLOOKUP($A65,raw[],COLUMN(AL$1)-COLUMN($A$1),FALSE)=0, VLOOKUP($D65, regions[], COLUMN(AL$1)-COLUMN($A$1), FALSE), VLOOKUP($A65,raw[],COLUMN(AL$1)-COLUMN($A$1),FALSE))</f>
        <v>2.0164190836135585E-3</v>
      </c>
      <c r="AL65" s="72">
        <f>IF(VLOOKUP($A65,raw[],COLUMN(AM$1)-COLUMN($A$1),FALSE)=0, VLOOKUP($D65, regions[], COLUMN(AM$1)-COLUMN($A$1), FALSE), VLOOKUP($A65,raw[],COLUMN(AM$1)-COLUMN($A$1),FALSE))</f>
        <v>2.4495057763126563E-3</v>
      </c>
      <c r="AM65" s="72">
        <f>IF(VLOOKUP($A65,raw[],COLUMN(AN$1)-COLUMN($A$1),FALSE)=0, VLOOKUP($D65, regions[], COLUMN(AN$1)-COLUMN($A$1), FALSE), VLOOKUP($A65,raw[],COLUMN(AN$1)-COLUMN($A$1),FALSE))</f>
        <v>3.3431663826267301E-3</v>
      </c>
      <c r="AN65" s="72">
        <f>IF(VLOOKUP($A65,raw[],COLUMN(AO$1)-COLUMN($A$1),FALSE)=0, VLOOKUP($D65, regions[], COLUMN(AO$1)-COLUMN($A$1), FALSE), VLOOKUP($A65,raw[],COLUMN(AO$1)-COLUMN($A$1),FALSE))</f>
        <v>4.7975882404791299E-3</v>
      </c>
      <c r="AO65" s="72">
        <f>IF(VLOOKUP($A65,raw[],COLUMN(AP$1)-COLUMN($A$1),FALSE)=0, VLOOKUP($D65, regions[], COLUMN(AP$1)-COLUMN($A$1), FALSE), VLOOKUP($A65,raw[],COLUMN(AP$1)-COLUMN($A$1),FALSE))</f>
        <v>9.6814078851944693E-3</v>
      </c>
      <c r="AP65" s="72">
        <f>IF(VLOOKUP($A65,raw[],COLUMN(AQ$1)-COLUMN($A$1),FALSE)=0, VLOOKUP($D65, regions[], COLUMN(AQ$1)-COLUMN($A$1), FALSE), VLOOKUP($A65,raw[],COLUMN(AQ$1)-COLUMN($A$1),FALSE))</f>
        <v>1.9800397704221529E-2</v>
      </c>
      <c r="AQ65" s="72">
        <f>IF(VLOOKUP($A65,raw[],COLUMN(AR$1)-COLUMN($A$1),FALSE)=0, VLOOKUP($D65, regions[], COLUMN(AR$1)-COLUMN($A$1), FALSE), VLOOKUP($A65,raw[],COLUMN(AR$1)-COLUMN($A$1),FALSE))</f>
        <v>2.8866401546664689E-2</v>
      </c>
      <c r="AR65" s="72">
        <f>IF(VLOOKUP($A65,raw[],COLUMN(AS$1)-COLUMN($A$1),FALSE)=0, VLOOKUP($D65, regions[], COLUMN(AS$1)-COLUMN($A$1), FALSE), VLOOKUP($A65,raw[],COLUMN(AS$1)-COLUMN($A$1),FALSE))</f>
        <v>4.0468624095642045E-2</v>
      </c>
      <c r="AS65" s="72">
        <f>IF(VLOOKUP($A65,raw[],COLUMN(AT$1)-COLUMN($A$1),FALSE)=0, VLOOKUP($D65, regions[], COLUMN(AT$1)-COLUMN($A$1), FALSE), VLOOKUP($A65,raw[],COLUMN(AT$1)-COLUMN($A$1),FALSE))</f>
        <v>6.3035874753407231E-2</v>
      </c>
      <c r="AT65" s="72">
        <f>IF(VLOOKUP($A65,raw[],COLUMN(AU$1)-COLUMN($A$1),FALSE)=0, VLOOKUP($D65, regions[], COLUMN(AU$1)-COLUMN($A$1), FALSE), VLOOKUP($A65,raw[],COLUMN(AU$1)-COLUMN($A$1),FALSE))</f>
        <v>8.8046589269959522E-2</v>
      </c>
      <c r="AU65" s="72">
        <f>IF(VLOOKUP($A65,raw[],COLUMN(AV$1)-COLUMN($A$1),FALSE)=0, VLOOKUP($D65, regions[], COLUMN(AV$1)-COLUMN($A$1), FALSE), VLOOKUP($A65,raw[],COLUMN(AV$1)-COLUMN($A$1),FALSE))</f>
        <v>0.11891714167014793</v>
      </c>
      <c r="AV65" s="72">
        <f>IF(VLOOKUP($A65,raw[],COLUMN(AW$1)-COLUMN($A$1),FALSE)=0, VLOOKUP($D65, regions[], COLUMN(AW$1)-COLUMN($A$1), FALSE), VLOOKUP($A65,raw[],COLUMN(AW$1)-COLUMN($A$1),FALSE))</f>
        <v>0.14850683038408077</v>
      </c>
      <c r="AW65" s="72">
        <f>IF(VLOOKUP($A65,raw[],COLUMN(AX$1)-COLUMN($A$1),FALSE)=0, VLOOKUP($D65, regions[], COLUMN(AX$1)-COLUMN($A$1), FALSE), VLOOKUP($A65,raw[],COLUMN(AX$1)-COLUMN($A$1),FALSE))</f>
        <v>0.1703078733072366</v>
      </c>
      <c r="AX65" s="72">
        <f>IF(VLOOKUP($A65,raw[],COLUMN(AY$1)-COLUMN($A$1),FALSE)=0, VLOOKUP($D65, regions[], COLUMN(AY$1)-COLUMN($A$1), FALSE), VLOOKUP($A65,raw[],COLUMN(AY$1)-COLUMN($A$1),FALSE))</f>
        <v>71.963999999999999</v>
      </c>
      <c r="AY65" t="str">
        <f t="shared" si="1"/>
        <v>No</v>
      </c>
    </row>
    <row r="66" spans="1:51" x14ac:dyDescent="0.25">
      <c r="A66" s="53" t="s">
        <v>352</v>
      </c>
      <c r="B66" s="54" t="s">
        <v>353</v>
      </c>
      <c r="C66" s="54">
        <v>417</v>
      </c>
      <c r="D66" s="54" t="s">
        <v>201</v>
      </c>
      <c r="E66" s="54" t="s">
        <v>220</v>
      </c>
      <c r="F66" s="54" t="s">
        <v>203</v>
      </c>
      <c r="G66" s="54" t="s">
        <v>212</v>
      </c>
      <c r="H66" s="73">
        <f>VLOOKUP(lmics[[#This Row],[setting]],raw[],8,FALSE)</f>
        <v>6524191</v>
      </c>
      <c r="I66" s="73">
        <f>VLOOKUP(lmics[[#This Row],[setting]],raw[],9,FALSE)</f>
        <v>161878.22709200002</v>
      </c>
      <c r="J66" s="67">
        <f>IF(VLOOKUP($A66,raw[],COLUMN(J$1),FALSE)=0, VLOOKUP($D66, regions[], COLUMN(J$1), FALSE), VLOOKUP($A66,raw[],COLUMN(J$1),FALSE))</f>
        <v>0.996</v>
      </c>
      <c r="K66" s="77">
        <f>VLOOKUP($A66, raw[], 11, FALSE)</f>
        <v>0.95</v>
      </c>
      <c r="L66" s="77">
        <f>VLOOKUP($A66, raw[], 12, FALSE)</f>
        <v>0.86</v>
      </c>
      <c r="M66" s="77">
        <f>IF(VLOOKUP($A66,raw[],COLUMN(M$1),FALSE)=0, VLOOKUP($D66, regions[], COLUMN(M$1), FALSE), VLOOKUP($A66,raw[],COLUMN(M$1),FALSE))</f>
        <v>3.7000000000000005E-2</v>
      </c>
      <c r="N66" s="68">
        <f>IF(VLOOKUP($A66,raw[],COLUMN(N$1),FALSE)=0, VLOOKUP($D66, regions[], COLUMN(N$1), FALSE), VLOOKUP($A66,raw[],COLUMN(N$1),FALSE))</f>
        <v>0.29813171303082237</v>
      </c>
      <c r="O66" s="67">
        <f>IF(VLOOKUP($A66,raw[],COLUMN(O$1),FALSE)=0, VLOOKUP($D66, regions[], COLUMN(O$1), FALSE), VLOOKUP($A66,raw[],COLUMN(O$1),FALSE))</f>
        <v>0.8</v>
      </c>
      <c r="P66" s="68">
        <f>IF(VLOOKUP($A66,raw[],COLUMN(P$1),FALSE)=0, VLOOKUP($D66, regions[], COLUMN(P$1), FALSE), VLOOKUP($A66,raw[],COLUMN(P$1),FALSE))</f>
        <v>0.17499999999999999</v>
      </c>
      <c r="Q66" s="70">
        <f>IF(VLOOKUP($A66,raw[],COLUMN(Q$1),FALSE)=0, VLOOKUP($D66, regions[], COLUMN(Q$1), FALSE), VLOOKUP($A66,raw[],COLUMN(Q$1),FALSE))</f>
        <v>3.4167109677419401</v>
      </c>
      <c r="R66" s="70">
        <f>IF(VLOOKUP($A66,raw[],COLUMN(R$1),FALSE)=0, VLOOKUP($D66, regions[], COLUMN(R$1), FALSE), VLOOKUP($A66,raw[],COLUMN(R$1),FALSE))</f>
        <v>25.742090967741941</v>
      </c>
      <c r="S66" s="70">
        <f>IF(VLOOKUP($A66,raw[],COLUMN(S$1),FALSE)=0, VLOOKUP($D66, regions[], COLUMN(S$1), FALSE), VLOOKUP($A66,raw[],COLUMN(S$1),FALSE))</f>
        <v>57.789004099124718</v>
      </c>
      <c r="T66" s="70">
        <f>IF(VLOOKUP($A66,raw[],COLUMN(U$1)-COLUMN($A$1),FALSE)=0, VLOOKUP($D66, regions[], COLUMN(U$1)-COLUMN($A$1), FALSE), VLOOKUP($A66,raw[],COLUMN(U$1)-COLUMN($A$1),FALSE))</f>
        <v>59.26031358015171</v>
      </c>
      <c r="U66" s="70">
        <f>IF(VLOOKUP($A66,raw[],COLUMN(V$1)-COLUMN($A$1),FALSE)=0, VLOOKUP($D66, regions[], COLUMN(V$1)-COLUMN($A$1), FALSE), VLOOKUP($A66,raw[],COLUMN(V$1)-COLUMN($A$1),FALSE))</f>
        <v>58.584719365984611</v>
      </c>
      <c r="V66" s="70">
        <f>IF(VLOOKUP($A66,raw[],COLUMN(W$1)-COLUMN($A$1),FALSE)=0, VLOOKUP($D66, regions[], COLUMN(W$1)-COLUMN($A$1), FALSE), VLOOKUP($A66,raw[],COLUMN(W$1)-COLUMN($A$1),FALSE))</f>
        <v>3.7531909642858565</v>
      </c>
      <c r="W66" s="70">
        <f>IF(VLOOKUP($A66,raw[],COLUMN(X$1)-COLUMN($A$1),FALSE)=0, VLOOKUP($D66, regions[], COLUMN(X$1)-COLUMN($A$1), FALSE), VLOOKUP($A66,raw[],COLUMN(X$1)-COLUMN($A$1),FALSE))</f>
        <v>7.8231909642858568</v>
      </c>
      <c r="X66" s="70">
        <f>IF(VLOOKUP($A66,raw[],COLUMN(Y$1)-COLUMN($A$1),FALSE)=0, VLOOKUP($D66, regions[], COLUMN(Y$1)-COLUMN($A$1), FALSE), VLOOKUP($A66,raw[],COLUMN(Y$1)-COLUMN($A$1),FALSE))</f>
        <v>3.3452611717258951</v>
      </c>
      <c r="Y66" s="70">
        <f>IF(VLOOKUP($A66,raw[],COLUMN(Z$1)-COLUMN($A$1),FALSE)=0, VLOOKUP($D66, regions[], COLUMN(Z$1)-COLUMN($A$1), FALSE), VLOOKUP($A66,raw[],COLUMN(Z$1)-COLUMN($A$1),FALSE))</f>
        <v>7.4152611717258949</v>
      </c>
      <c r="Z66" s="70">
        <f>IF(VLOOKUP($A66,raw[],COLUMN(AA$1)-COLUMN($A$1),FALSE)=0, VLOOKUP($D66, regions[], COLUMN(AA$1)-COLUMN($A$1), FALSE), VLOOKUP($A66,raw[],COLUMN(AA$1)-COLUMN($A$1),FALSE))</f>
        <v>7.4124474984858946</v>
      </c>
      <c r="AA66" s="70">
        <f>IF(VLOOKUP($A66,raw[],COLUMN(AB$1)-COLUMN($A$1),FALSE)=0, VLOOKUP($D66, regions[], COLUMN(AB$1)-COLUMN($A$1), FALSE), VLOOKUP($A66,raw[],COLUMN(AB$1)-COLUMN($A$1),FALSE))</f>
        <v>3.9573867299530399</v>
      </c>
      <c r="AB66" s="70">
        <f>IF(VLOOKUP($A66,raw[],COLUMN(AC$1)-COLUMN($A$1),FALSE)=0, VLOOKUP($D66, regions[], COLUMN(AC$1)-COLUMN($A$1), FALSE), VLOOKUP($A66,raw[],COLUMN(AC$1)-COLUMN($A$1),FALSE))</f>
        <v>8.0273867299530401</v>
      </c>
      <c r="AC66" s="72">
        <f>IF(VLOOKUP($A66,raw[],COLUMN(AD$1)-COLUMN($A$1),FALSE)=0, VLOOKUP($D66, regions[], COLUMN(AD$1)-COLUMN($A$1), FALSE), VLOOKUP($A66,raw[],COLUMN(AD$1)-COLUMN($A$1),FALSE))</f>
        <v>1.5506239999999961E-2</v>
      </c>
      <c r="AD66" s="72">
        <f>IF(VLOOKUP($A66,raw[],COLUMN(AE$1)-COLUMN($A$1),FALSE)=0, VLOOKUP($D66, regions[], COLUMN(AE$1)-COLUMN($A$1), FALSE), VLOOKUP($A66,raw[],COLUMN(AE$1)-COLUMN($A$1),FALSE))</f>
        <v>7.1685827648111742E-4</v>
      </c>
      <c r="AE66" s="72">
        <f>IF(VLOOKUP($A66,raw[],COLUMN(AF$1)-COLUMN($A$1),FALSE)=0, VLOOKUP($D66, regions[], COLUMN(AF$1)-COLUMN($A$1), FALSE), VLOOKUP($A66,raw[],COLUMN(AF$1)-COLUMN($A$1),FALSE))</f>
        <v>3.0037972302301221E-4</v>
      </c>
      <c r="AF66" s="72">
        <f>IF(VLOOKUP($A66,raw[],COLUMN(AG$1)-COLUMN($A$1),FALSE)=0, VLOOKUP($D66, regions[], COLUMN(AG$1)-COLUMN($A$1), FALSE), VLOOKUP($A66,raw[],COLUMN(AG$1)-COLUMN($A$1),FALSE))</f>
        <v>3.6101335689432674E-4</v>
      </c>
      <c r="AG66" s="72">
        <f>IF(VLOOKUP($A66,raw[],COLUMN(AH$1)-COLUMN($A$1),FALSE)=0, VLOOKUP($D66, regions[], COLUMN(AH$1)-COLUMN($A$1), FALSE), VLOOKUP($A66,raw[],COLUMN(AH$1)-COLUMN($A$1),FALSE))</f>
        <v>5.6671978934353512E-4</v>
      </c>
      <c r="AH66" s="72">
        <f>IF(VLOOKUP($A66,raw[],COLUMN(AI$1)-COLUMN($A$1),FALSE)=0, VLOOKUP($D66, regions[], COLUMN(AI$1)-COLUMN($A$1), FALSE), VLOOKUP($A66,raw[],COLUMN(AI$1)-COLUMN($A$1),FALSE))</f>
        <v>7.7358931817911216E-4</v>
      </c>
      <c r="AI66" s="72">
        <f>IF(VLOOKUP($A66,raw[],COLUMN(AJ$1)-COLUMN($A$1),FALSE)=0, VLOOKUP($D66, regions[], COLUMN(AJ$1)-COLUMN($A$1), FALSE), VLOOKUP($A66,raw[],COLUMN(AJ$1)-COLUMN($A$1),FALSE))</f>
        <v>9.9358270100702176E-4</v>
      </c>
      <c r="AJ66" s="72">
        <f>IF(VLOOKUP($A66,raw[],COLUMN(AK$1)-COLUMN($A$1),FALSE)=0, VLOOKUP($D66, regions[], COLUMN(AK$1)-COLUMN($A$1), FALSE), VLOOKUP($A66,raw[],COLUMN(AK$1)-COLUMN($A$1),FALSE))</f>
        <v>1.5947136196713724E-3</v>
      </c>
      <c r="AK66" s="72">
        <f>IF(VLOOKUP($A66,raw[],COLUMN(AL$1)-COLUMN($A$1),FALSE)=0, VLOOKUP($D66, regions[], COLUMN(AL$1)-COLUMN($A$1), FALSE), VLOOKUP($A66,raw[],COLUMN(AL$1)-COLUMN($A$1),FALSE))</f>
        <v>2.3740632079430881E-3</v>
      </c>
      <c r="AL66" s="72">
        <f>IF(VLOOKUP($A66,raw[],COLUMN(AM$1)-COLUMN($A$1),FALSE)=0, VLOOKUP($D66, regions[], COLUMN(AM$1)-COLUMN($A$1), FALSE), VLOOKUP($A66,raw[],COLUMN(AM$1)-COLUMN($A$1),FALSE))</f>
        <v>3.6025352620456053E-3</v>
      </c>
      <c r="AM66" s="72">
        <f>IF(VLOOKUP($A66,raw[],COLUMN(AN$1)-COLUMN($A$1),FALSE)=0, VLOOKUP($D66, regions[], COLUMN(AN$1)-COLUMN($A$1), FALSE), VLOOKUP($A66,raw[],COLUMN(AN$1)-COLUMN($A$1),FALSE))</f>
        <v>5.013988446982612E-3</v>
      </c>
      <c r="AN66" s="72">
        <f>IF(VLOOKUP($A66,raw[],COLUMN(AO$1)-COLUMN($A$1),FALSE)=0, VLOOKUP($D66, regions[], COLUMN(AO$1)-COLUMN($A$1), FALSE), VLOOKUP($A66,raw[],COLUMN(AO$1)-COLUMN($A$1),FALSE))</f>
        <v>7.2274466341115369E-3</v>
      </c>
      <c r="AO66" s="72">
        <f>IF(VLOOKUP($A66,raw[],COLUMN(AP$1)-COLUMN($A$1),FALSE)=0, VLOOKUP($D66, regions[], COLUMN(AP$1)-COLUMN($A$1), FALSE), VLOOKUP($A66,raw[],COLUMN(AP$1)-COLUMN($A$1),FALSE))</f>
        <v>1.0588233088434732E-2</v>
      </c>
      <c r="AP66" s="72">
        <f>IF(VLOOKUP($A66,raw[],COLUMN(AQ$1)-COLUMN($A$1),FALSE)=0, VLOOKUP($D66, regions[], COLUMN(AQ$1)-COLUMN($A$1), FALSE), VLOOKUP($A66,raw[],COLUMN(AQ$1)-COLUMN($A$1),FALSE))</f>
        <v>1.6698751635160103E-2</v>
      </c>
      <c r="AQ66" s="72">
        <f>IF(VLOOKUP($A66,raw[],COLUMN(AR$1)-COLUMN($A$1),FALSE)=0, VLOOKUP($D66, regions[], COLUMN(AR$1)-COLUMN($A$1), FALSE), VLOOKUP($A66,raw[],COLUMN(AR$1)-COLUMN($A$1),FALSE))</f>
        <v>2.4245073689476284E-2</v>
      </c>
      <c r="AR66" s="72">
        <f>IF(VLOOKUP($A66,raw[],COLUMN(AS$1)-COLUMN($A$1),FALSE)=0, VLOOKUP($D66, regions[], COLUMN(AS$1)-COLUMN($A$1), FALSE), VLOOKUP($A66,raw[],COLUMN(AS$1)-COLUMN($A$1),FALSE))</f>
        <v>4.8767202109432098E-2</v>
      </c>
      <c r="AS66" s="72">
        <f>IF(VLOOKUP($A66,raw[],COLUMN(AT$1)-COLUMN($A$1),FALSE)=0, VLOOKUP($D66, regions[], COLUMN(AT$1)-COLUMN($A$1), FALSE), VLOOKUP($A66,raw[],COLUMN(AT$1)-COLUMN($A$1),FALSE))</f>
        <v>8.2569526074183053E-2</v>
      </c>
      <c r="AT66" s="72">
        <f>IF(VLOOKUP($A66,raw[],COLUMN(AU$1)-COLUMN($A$1),FALSE)=0, VLOOKUP($D66, regions[], COLUMN(AU$1)-COLUMN($A$1), FALSE), VLOOKUP($A66,raw[],COLUMN(AU$1)-COLUMN($A$1),FALSE))</f>
        <v>0.10646327196220833</v>
      </c>
      <c r="AU66" s="72">
        <f>IF(VLOOKUP($A66,raw[],COLUMN(AV$1)-COLUMN($A$1),FALSE)=0, VLOOKUP($D66, regions[], COLUMN(AV$1)-COLUMN($A$1), FALSE), VLOOKUP($A66,raw[],COLUMN(AV$1)-COLUMN($A$1),FALSE))</f>
        <v>0.12628511928546515</v>
      </c>
      <c r="AV66" s="72">
        <f>IF(VLOOKUP($A66,raw[],COLUMN(AW$1)-COLUMN($A$1),FALSE)=0, VLOOKUP($D66, regions[], COLUMN(AW$1)-COLUMN($A$1), FALSE), VLOOKUP($A66,raw[],COLUMN(AW$1)-COLUMN($A$1),FALSE))</f>
        <v>0.14146019066301066</v>
      </c>
      <c r="AW66" s="72">
        <f>IF(VLOOKUP($A66,raw[],COLUMN(AX$1)-COLUMN($A$1),FALSE)=0, VLOOKUP($D66, regions[], COLUMN(AX$1)-COLUMN($A$1), FALSE), VLOOKUP($A66,raw[],COLUMN(AX$1)-COLUMN($A$1),FALSE))</f>
        <v>0.15891810353796404</v>
      </c>
      <c r="AX66" s="72">
        <f>IF(VLOOKUP($A66,raw[],COLUMN(AY$1)-COLUMN($A$1),FALSE)=0, VLOOKUP($D66, regions[], COLUMN(AY$1)-COLUMN($A$1), FALSE), VLOOKUP($A66,raw[],COLUMN(AY$1)-COLUMN($A$1),FALSE))</f>
        <v>71.182000000000002</v>
      </c>
      <c r="AY66" t="str">
        <f t="shared" ref="AY66:AY97" si="2">IF($K66=0,"Yes", "No")</f>
        <v>No</v>
      </c>
    </row>
    <row r="67" spans="1:51" x14ac:dyDescent="0.25">
      <c r="A67" s="55" t="s">
        <v>354</v>
      </c>
      <c r="B67" s="56" t="s">
        <v>355</v>
      </c>
      <c r="C67" s="56">
        <v>418</v>
      </c>
      <c r="D67" s="56" t="s">
        <v>260</v>
      </c>
      <c r="E67" s="56" t="s">
        <v>261</v>
      </c>
      <c r="F67" s="56" t="s">
        <v>262</v>
      </c>
      <c r="G67" s="56" t="s">
        <v>212</v>
      </c>
      <c r="H67" s="74">
        <f>VLOOKUP(lmics[[#This Row],[setting]],raw[],8,FALSE)</f>
        <v>7275556</v>
      </c>
      <c r="I67" s="74">
        <f>VLOOKUP(lmics[[#This Row],[setting]],raw[],9,FALSE)</f>
        <v>173361.94836799998</v>
      </c>
      <c r="J67" s="67">
        <f>IF(VLOOKUP($A67,raw[],COLUMN(J$1),FALSE)=0, VLOOKUP($D67, regions[], COLUMN(J$1), FALSE), VLOOKUP($A67,raw[],COLUMN(J$1),FALSE))</f>
        <v>0.64500000000000002</v>
      </c>
      <c r="K67" s="77">
        <f>VLOOKUP($A67, raw[], 11, FALSE)</f>
        <v>0.57999999999999996</v>
      </c>
      <c r="L67" s="77">
        <f>VLOOKUP($A67, raw[], 12, FALSE)</f>
        <v>0.79</v>
      </c>
      <c r="M67" s="77">
        <f>IF(VLOOKUP($A67,raw[],COLUMN(M$1),FALSE)=0, VLOOKUP($D67, regions[], COLUMN(M$1), FALSE), VLOOKUP($A67,raw[],COLUMN(M$1),FALSE))</f>
        <v>4.4299999999999999E-2</v>
      </c>
      <c r="N67" s="68">
        <f>IF(VLOOKUP($A67,raw[],COLUMN(N$1),FALSE)=0, VLOOKUP($D67, regions[], COLUMN(N$1), FALSE), VLOOKUP($A67,raw[],COLUMN(N$1),FALSE))</f>
        <v>0.34832736416125437</v>
      </c>
      <c r="O67" s="67">
        <f>IF(VLOOKUP($A67,raw[],COLUMN(O$1),FALSE)=0, VLOOKUP($D67, regions[], COLUMN(O$1), FALSE), VLOOKUP($A67,raw[],COLUMN(O$1),FALSE))</f>
        <v>0.8</v>
      </c>
      <c r="P67" s="68">
        <f>IF(VLOOKUP($A67,raw[],COLUMN(P$1),FALSE)=0, VLOOKUP($D67, regions[], COLUMN(P$1), FALSE), VLOOKUP($A67,raw[],COLUMN(P$1),FALSE))</f>
        <v>0.17499999999999999</v>
      </c>
      <c r="Q67" s="70">
        <f>IF(VLOOKUP($A67,raw[],COLUMN(Q$1),FALSE)=0, VLOOKUP($D67, regions[], COLUMN(Q$1), FALSE), VLOOKUP($A67,raw[],COLUMN(Q$1),FALSE))</f>
        <v>7.4756484241429284</v>
      </c>
      <c r="R67" s="70">
        <f>IF(VLOOKUP($A67,raw[],COLUMN(R$1),FALSE)=0, VLOOKUP($D67, regions[], COLUMN(R$1), FALSE), VLOOKUP($A67,raw[],COLUMN(R$1),FALSE))</f>
        <v>29.801028424142942</v>
      </c>
      <c r="S67" s="70">
        <f>IF(VLOOKUP($A67,raw[],COLUMN(S$1),FALSE)=0, VLOOKUP($D67, regions[], COLUMN(S$1), FALSE), VLOOKUP($A67,raw[],COLUMN(S$1),FALSE))</f>
        <v>75.420199665195383</v>
      </c>
      <c r="T67" s="70">
        <f>IF(VLOOKUP($A67,raw[],COLUMN(U$1)-COLUMN($A$1),FALSE)=0, VLOOKUP($D67, regions[], COLUMN(U$1)-COLUMN($A$1), FALSE), VLOOKUP($A67,raw[],COLUMN(U$1)-COLUMN($A$1),FALSE))</f>
        <v>83.955395126310776</v>
      </c>
      <c r="U67" s="70">
        <f>IF(VLOOKUP($A67,raw[],COLUMN(V$1)-COLUMN($A$1),FALSE)=0, VLOOKUP($D67, regions[], COLUMN(V$1)-COLUMN($A$1), FALSE), VLOOKUP($A67,raw[],COLUMN(V$1)-COLUMN($A$1),FALSE))</f>
        <v>80.036213781615146</v>
      </c>
      <c r="V67" s="70">
        <f>IF(VLOOKUP($A67,raw[],COLUMN(W$1)-COLUMN($A$1),FALSE)=0, VLOOKUP($D67, regions[], COLUMN(W$1)-COLUMN($A$1), FALSE), VLOOKUP($A67,raw[],COLUMN(W$1)-COLUMN($A$1),FALSE))</f>
        <v>2.2029424435210267</v>
      </c>
      <c r="W67" s="70">
        <f>IF(VLOOKUP($A67,raw[],COLUMN(X$1)-COLUMN($A$1),FALSE)=0, VLOOKUP($D67, regions[], COLUMN(X$1)-COLUMN($A$1), FALSE), VLOOKUP($A67,raw[],COLUMN(X$1)-COLUMN($A$1),FALSE))</f>
        <v>2.8329424435210266</v>
      </c>
      <c r="X67" s="70">
        <f>IF(VLOOKUP($A67,raw[],COLUMN(Y$1)-COLUMN($A$1),FALSE)=0, VLOOKUP($D67, regions[], COLUMN(Y$1)-COLUMN($A$1), FALSE), VLOOKUP($A67,raw[],COLUMN(Y$1)-COLUMN($A$1),FALSE))</f>
        <v>1.786367195897685</v>
      </c>
      <c r="Y67" s="70">
        <f>IF(VLOOKUP($A67,raw[],COLUMN(Z$1)-COLUMN($A$1),FALSE)=0, VLOOKUP($D67, regions[], COLUMN(Z$1)-COLUMN($A$1), FALSE), VLOOKUP($A67,raw[],COLUMN(Z$1)-COLUMN($A$1),FALSE))</f>
        <v>2.4163671958976849</v>
      </c>
      <c r="Z67" s="70">
        <f>IF(VLOOKUP($A67,raw[],COLUMN(AA$1)-COLUMN($A$1),FALSE)=0, VLOOKUP($D67, regions[], COLUMN(AA$1)-COLUMN($A$1), FALSE), VLOOKUP($A67,raw[],COLUMN(AA$1)-COLUMN($A$1),FALSE))</f>
        <v>2.4100341595666004</v>
      </c>
      <c r="AA67" s="70">
        <f>IF(VLOOKUP($A67,raw[],COLUMN(AB$1)-COLUMN($A$1),FALSE)=0, VLOOKUP($D67, regions[], COLUMN(AB$1)-COLUMN($A$1), FALSE), VLOOKUP($A67,raw[],COLUMN(AB$1)-COLUMN($A$1),FALSE))</f>
        <v>2.4102205018629808</v>
      </c>
      <c r="AB67" s="70">
        <f>IF(VLOOKUP($A67,raw[],COLUMN(AC$1)-COLUMN($A$1),FALSE)=0, VLOOKUP($D67, regions[], COLUMN(AC$1)-COLUMN($A$1), FALSE), VLOOKUP($A67,raw[],COLUMN(AC$1)-COLUMN($A$1),FALSE))</f>
        <v>3.0402205018629807</v>
      </c>
      <c r="AC67" s="72">
        <f>IF(VLOOKUP($A67,raw[],COLUMN(AD$1)-COLUMN($A$1),FALSE)=0, VLOOKUP($D67, regions[], COLUMN(AD$1)-COLUMN($A$1), FALSE), VLOOKUP($A67,raw[],COLUMN(AD$1)-COLUMN($A$1),FALSE))</f>
        <v>3.8777789999999951E-2</v>
      </c>
      <c r="AD67" s="72">
        <f>IF(VLOOKUP($A67,raw[],COLUMN(AE$1)-COLUMN($A$1),FALSE)=0, VLOOKUP($D67, regions[], COLUMN(AE$1)-COLUMN($A$1), FALSE), VLOOKUP($A67,raw[],COLUMN(AE$1)-COLUMN($A$1),FALSE))</f>
        <v>2.4870862066326935E-3</v>
      </c>
      <c r="AE67" s="72">
        <f>IF(VLOOKUP($A67,raw[],COLUMN(AF$1)-COLUMN($A$1),FALSE)=0, VLOOKUP($D67, regions[], COLUMN(AF$1)-COLUMN($A$1), FALSE), VLOOKUP($A67,raw[],COLUMN(AF$1)-COLUMN($A$1),FALSE))</f>
        <v>8.9982170516343662E-4</v>
      </c>
      <c r="AF67" s="72">
        <f>IF(VLOOKUP($A67,raw[],COLUMN(AG$1)-COLUMN($A$1),FALSE)=0, VLOOKUP($D67, regions[], COLUMN(AG$1)-COLUMN($A$1), FALSE), VLOOKUP($A67,raw[],COLUMN(AG$1)-COLUMN($A$1),FALSE))</f>
        <v>7.2067114244427197E-4</v>
      </c>
      <c r="AG67" s="72">
        <f>IF(VLOOKUP($A67,raw[],COLUMN(AH$1)-COLUMN($A$1),FALSE)=0, VLOOKUP($D67, regions[], COLUMN(AH$1)-COLUMN($A$1), FALSE), VLOOKUP($A67,raw[],COLUMN(AH$1)-COLUMN($A$1),FALSE))</f>
        <v>1.2190482461900062E-3</v>
      </c>
      <c r="AH67" s="72">
        <f>IF(VLOOKUP($A67,raw[],COLUMN(AI$1)-COLUMN($A$1),FALSE)=0, VLOOKUP($D67, regions[], COLUMN(AI$1)-COLUMN($A$1), FALSE), VLOOKUP($A67,raw[],COLUMN(AI$1)-COLUMN($A$1),FALSE))</f>
        <v>1.7133573391022912E-3</v>
      </c>
      <c r="AI67" s="72">
        <f>IF(VLOOKUP($A67,raw[],COLUMN(AJ$1)-COLUMN($A$1),FALSE)=0, VLOOKUP($D67, regions[], COLUMN(AJ$1)-COLUMN($A$1), FALSE), VLOOKUP($A67,raw[],COLUMN(AJ$1)-COLUMN($A$1),FALSE))</f>
        <v>1.8585034609793296E-3</v>
      </c>
      <c r="AJ67" s="72">
        <f>IF(VLOOKUP($A67,raw[],COLUMN(AK$1)-COLUMN($A$1),FALSE)=0, VLOOKUP($D67, regions[], COLUMN(AK$1)-COLUMN($A$1), FALSE), VLOOKUP($A67,raw[],COLUMN(AK$1)-COLUMN($A$1),FALSE))</f>
        <v>2.1439161974078557E-3</v>
      </c>
      <c r="AK67" s="72">
        <f>IF(VLOOKUP($A67,raw[],COLUMN(AL$1)-COLUMN($A$1),FALSE)=0, VLOOKUP($D67, regions[], COLUMN(AL$1)-COLUMN($A$1), FALSE), VLOOKUP($A67,raw[],COLUMN(AL$1)-COLUMN($A$1),FALSE))</f>
        <v>2.7328262475156515E-3</v>
      </c>
      <c r="AL67" s="72">
        <f>IF(VLOOKUP($A67,raw[],COLUMN(AM$1)-COLUMN($A$1),FALSE)=0, VLOOKUP($D67, regions[], COLUMN(AM$1)-COLUMN($A$1), FALSE), VLOOKUP($A67,raw[],COLUMN(AM$1)-COLUMN($A$1),FALSE))</f>
        <v>3.7683474278791974E-3</v>
      </c>
      <c r="AM67" s="72">
        <f>IF(VLOOKUP($A67,raw[],COLUMN(AN$1)-COLUMN($A$1),FALSE)=0, VLOOKUP($D67, regions[], COLUMN(AN$1)-COLUMN($A$1), FALSE), VLOOKUP($A67,raw[],COLUMN(AN$1)-COLUMN($A$1),FALSE))</f>
        <v>5.5663928498959694E-3</v>
      </c>
      <c r="AN67" s="72">
        <f>IF(VLOOKUP($A67,raw[],COLUMN(AO$1)-COLUMN($A$1),FALSE)=0, VLOOKUP($D67, regions[], COLUMN(AO$1)-COLUMN($A$1), FALSE), VLOOKUP($A67,raw[],COLUMN(AO$1)-COLUMN($A$1),FALSE))</f>
        <v>8.3716908971744435E-3</v>
      </c>
      <c r="AO67" s="72">
        <f>IF(VLOOKUP($A67,raw[],COLUMN(AP$1)-COLUMN($A$1),FALSE)=0, VLOOKUP($D67, regions[], COLUMN(AP$1)-COLUMN($A$1), FALSE), VLOOKUP($A67,raw[],COLUMN(AP$1)-COLUMN($A$1),FALSE))</f>
        <v>1.2747389066357426E-2</v>
      </c>
      <c r="AP67" s="72">
        <f>IF(VLOOKUP($A67,raw[],COLUMN(AQ$1)-COLUMN($A$1),FALSE)=0, VLOOKUP($D67, regions[], COLUMN(AQ$1)-COLUMN($A$1), FALSE), VLOOKUP($A67,raw[],COLUMN(AQ$1)-COLUMN($A$1),FALSE))</f>
        <v>1.9536607225944226E-2</v>
      </c>
      <c r="AQ67" s="72">
        <f>IF(VLOOKUP($A67,raw[],COLUMN(AR$1)-COLUMN($A$1),FALSE)=0, VLOOKUP($D67, regions[], COLUMN(AR$1)-COLUMN($A$1), FALSE), VLOOKUP($A67,raw[],COLUMN(AR$1)-COLUMN($A$1),FALSE))</f>
        <v>3.0001178093193585E-2</v>
      </c>
      <c r="AR67" s="72">
        <f>IF(VLOOKUP($A67,raw[],COLUMN(AS$1)-COLUMN($A$1),FALSE)=0, VLOOKUP($D67, regions[], COLUMN(AS$1)-COLUMN($A$1), FALSE), VLOOKUP($A67,raw[],COLUMN(AS$1)-COLUMN($A$1),FALSE))</f>
        <v>4.6408078320223686E-2</v>
      </c>
      <c r="AS67" s="72">
        <f>IF(VLOOKUP($A67,raw[],COLUMN(AT$1)-COLUMN($A$1),FALSE)=0, VLOOKUP($D67, regions[], COLUMN(AT$1)-COLUMN($A$1), FALSE), VLOOKUP($A67,raw[],COLUMN(AT$1)-COLUMN($A$1),FALSE))</f>
        <v>7.0293631090044384E-2</v>
      </c>
      <c r="AT67" s="72">
        <f>IF(VLOOKUP($A67,raw[],COLUMN(AU$1)-COLUMN($A$1),FALSE)=0, VLOOKUP($D67, regions[], COLUMN(AU$1)-COLUMN($A$1), FALSE), VLOOKUP($A67,raw[],COLUMN(AU$1)-COLUMN($A$1),FALSE))</f>
        <v>0.10184859739279212</v>
      </c>
      <c r="AU67" s="72">
        <f>IF(VLOOKUP($A67,raw[],COLUMN(AV$1)-COLUMN($A$1),FALSE)=0, VLOOKUP($D67, regions[], COLUMN(AV$1)-COLUMN($A$1), FALSE), VLOOKUP($A67,raw[],COLUMN(AV$1)-COLUMN($A$1),FALSE))</f>
        <v>0.13523986958288475</v>
      </c>
      <c r="AV67" s="72">
        <f>IF(VLOOKUP($A67,raw[],COLUMN(AW$1)-COLUMN($A$1),FALSE)=0, VLOOKUP($D67, regions[], COLUMN(AW$1)-COLUMN($A$1), FALSE), VLOOKUP($A67,raw[],COLUMN(AW$1)-COLUMN($A$1),FALSE))</f>
        <v>0.1623042397327624</v>
      </c>
      <c r="AW67" s="72">
        <f>IF(VLOOKUP($A67,raw[],COLUMN(AX$1)-COLUMN($A$1),FALSE)=0, VLOOKUP($D67, regions[], COLUMN(AX$1)-COLUMN($A$1), FALSE), VLOOKUP($A67,raw[],COLUMN(AX$1)-COLUMN($A$1),FALSE))</f>
        <v>0.17970482443827956</v>
      </c>
      <c r="AX67" s="72">
        <f>IF(VLOOKUP($A67,raw[],COLUMN(AY$1)-COLUMN($A$1),FALSE)=0, VLOOKUP($D67, regions[], COLUMN(AY$1)-COLUMN($A$1), FALSE), VLOOKUP($A67,raw[],COLUMN(AY$1)-COLUMN($A$1),FALSE))</f>
        <v>67.441000000000003</v>
      </c>
      <c r="AY67" t="str">
        <f t="shared" si="2"/>
        <v>No</v>
      </c>
    </row>
    <row r="68" spans="1:51" x14ac:dyDescent="0.25">
      <c r="A68" s="53" t="s">
        <v>356</v>
      </c>
      <c r="B68" s="54" t="s">
        <v>357</v>
      </c>
      <c r="C68" s="54">
        <v>422</v>
      </c>
      <c r="D68" s="54" t="s">
        <v>196</v>
      </c>
      <c r="E68" s="54" t="s">
        <v>197</v>
      </c>
      <c r="F68" s="54" t="s">
        <v>197</v>
      </c>
      <c r="G68" s="54" t="s">
        <v>204</v>
      </c>
      <c r="H68" s="73">
        <f>VLOOKUP(lmics[[#This Row],[setting]],raw[],8,FALSE)</f>
        <v>6825442</v>
      </c>
      <c r="I68" s="73">
        <f>VLOOKUP(lmics[[#This Row],[setting]],raw[],9,FALSE)</f>
        <v>119909.36505600001</v>
      </c>
      <c r="J68" s="67">
        <f>IF(VLOOKUP($A68,raw[],COLUMN(J$1),FALSE)=0, VLOOKUP($D68, regions[], COLUMN(J$1), FALSE), VLOOKUP($A68,raw[],COLUMN(J$1),FALSE))</f>
        <v>0.999</v>
      </c>
      <c r="K68" s="77">
        <f>VLOOKUP($A68, raw[], 11, FALSE)</f>
        <v>0.77</v>
      </c>
      <c r="L68" s="77">
        <f>VLOOKUP($A68, raw[], 12, FALSE)</f>
        <v>0.71</v>
      </c>
      <c r="M68" s="77">
        <f>IF(VLOOKUP($A68,raw[],COLUMN(M$1),FALSE)=0, VLOOKUP($D68, regions[], COLUMN(M$1), FALSE), VLOOKUP($A68,raw[],COLUMN(M$1),FALSE))</f>
        <v>1.06E-2</v>
      </c>
      <c r="N68" s="68">
        <f>IF(VLOOKUP($A68,raw[],COLUMN(N$1),FALSE)=0, VLOOKUP($D68, regions[], COLUMN(N$1), FALSE), VLOOKUP($A68,raw[],COLUMN(N$1),FALSE))</f>
        <v>0.25404672198349698</v>
      </c>
      <c r="O68" s="67">
        <f>IF(VLOOKUP($A68,raw[],COLUMN(O$1),FALSE)=0, VLOOKUP($D68, regions[], COLUMN(O$1), FALSE), VLOOKUP($A68,raw[],COLUMN(O$1),FALSE))</f>
        <v>0.8</v>
      </c>
      <c r="P68" s="68">
        <f>IF(VLOOKUP($A68,raw[],COLUMN(P$1),FALSE)=0, VLOOKUP($D68, regions[], COLUMN(P$1), FALSE), VLOOKUP($A68,raw[],COLUMN(P$1),FALSE))</f>
        <v>0.17499999999999999</v>
      </c>
      <c r="Q68" s="70">
        <f>IF(VLOOKUP($A68,raw[],COLUMN(Q$1),FALSE)=0, VLOOKUP($D68, regions[], COLUMN(Q$1), FALSE), VLOOKUP($A68,raw[],COLUMN(Q$1),FALSE))</f>
        <v>13.8252464543597</v>
      </c>
      <c r="R68" s="70">
        <f>IF(VLOOKUP($A68,raw[],COLUMN(R$1),FALSE)=0, VLOOKUP($D68, regions[], COLUMN(R$1), FALSE), VLOOKUP($A68,raw[],COLUMN(R$1),FALSE))</f>
        <v>36.150626454359703</v>
      </c>
      <c r="S68" s="70">
        <f>IF(VLOOKUP($A68,raw[],COLUMN(S$1),FALSE)=0, VLOOKUP($D68, regions[], COLUMN(S$1), FALSE), VLOOKUP($A68,raw[],COLUMN(S$1),FALSE))</f>
        <v>109.87316500104285</v>
      </c>
      <c r="T68" s="70">
        <f>IF(VLOOKUP($A68,raw[],COLUMN(U$1)-COLUMN($A$1),FALSE)=0, VLOOKUP($D68, regions[], COLUMN(U$1)-COLUMN($A$1), FALSE), VLOOKUP($A68,raw[],COLUMN(U$1)-COLUMN($A$1),FALSE))</f>
        <v>133.03518089980392</v>
      </c>
      <c r="U68" s="70">
        <f>IF(VLOOKUP($A68,raw[],COLUMN(V$1)-COLUMN($A$1),FALSE)=0, VLOOKUP($D68, regions[], COLUMN(V$1)-COLUMN($A$1), FALSE), VLOOKUP($A68,raw[],COLUMN(V$1)-COLUMN($A$1),FALSE))</f>
        <v>122.39967278173845</v>
      </c>
      <c r="V68" s="70">
        <f>IF(VLOOKUP($A68,raw[],COLUMN(W$1)-COLUMN($A$1),FALSE)=0, VLOOKUP($D68, regions[], COLUMN(W$1)-COLUMN($A$1), FALSE), VLOOKUP($A68,raw[],COLUMN(W$1)-COLUMN($A$1),FALSE))</f>
        <v>4.3358152935547292</v>
      </c>
      <c r="W68" s="70">
        <f>IF(VLOOKUP($A68,raw[],COLUMN(X$1)-COLUMN($A$1),FALSE)=0, VLOOKUP($D68, regions[], COLUMN(X$1)-COLUMN($A$1), FALSE), VLOOKUP($A68,raw[],COLUMN(X$1)-COLUMN($A$1),FALSE))</f>
        <v>4.8158152935547296</v>
      </c>
      <c r="X68" s="70">
        <f>IF(VLOOKUP($A68,raw[],COLUMN(Y$1)-COLUMN($A$1),FALSE)=0, VLOOKUP($D68, regions[], COLUMN(Y$1)-COLUMN($A$1), FALSE), VLOOKUP($A68,raw[],COLUMN(Y$1)-COLUMN($A$1),FALSE))</f>
        <v>3.9194894399812688</v>
      </c>
      <c r="Y68" s="70">
        <f>IF(VLOOKUP($A68,raw[],COLUMN(Z$1)-COLUMN($A$1),FALSE)=0, VLOOKUP($D68, regions[], COLUMN(Z$1)-COLUMN($A$1), FALSE), VLOOKUP($A68,raw[],COLUMN(Z$1)-COLUMN($A$1),FALSE))</f>
        <v>4.3994894399812683</v>
      </c>
      <c r="Z68" s="70">
        <f>IF(VLOOKUP($A68,raw[],COLUMN(AA$1)-COLUMN($A$1),FALSE)=0, VLOOKUP($D68, regions[], COLUMN(AA$1)-COLUMN($A$1), FALSE), VLOOKUP($A68,raw[],COLUMN(AA$1)-COLUMN($A$1),FALSE))</f>
        <v>4.3930631251146997</v>
      </c>
      <c r="AA68" s="70">
        <f>IF(VLOOKUP($A68,raw[],COLUMN(AB$1)-COLUMN($A$1),FALSE)=0, VLOOKUP($D68, regions[], COLUMN(AB$1)-COLUMN($A$1), FALSE), VLOOKUP($A68,raw[],COLUMN(AB$1)-COLUMN($A$1),FALSE))</f>
        <v>4.5430044374962923</v>
      </c>
      <c r="AB68" s="70">
        <f>IF(VLOOKUP($A68,raw[],COLUMN(AC$1)-COLUMN($A$1),FALSE)=0, VLOOKUP($D68, regions[], COLUMN(AC$1)-COLUMN($A$1), FALSE), VLOOKUP($A68,raw[],COLUMN(AC$1)-COLUMN($A$1),FALSE))</f>
        <v>5.0230044374962919</v>
      </c>
      <c r="AC68" s="72">
        <f>IF(VLOOKUP($A68,raw[],COLUMN(AD$1)-COLUMN($A$1),FALSE)=0, VLOOKUP($D68, regions[], COLUMN(AD$1)-COLUMN($A$1), FALSE), VLOOKUP($A68,raw[],COLUMN(AD$1)-COLUMN($A$1),FALSE))</f>
        <v>9.4147199999999424E-3</v>
      </c>
      <c r="AD68" s="72">
        <f>IF(VLOOKUP($A68,raw[],COLUMN(AE$1)-COLUMN($A$1),FALSE)=0, VLOOKUP($D68, regions[], COLUMN(AE$1)-COLUMN($A$1), FALSE), VLOOKUP($A68,raw[],COLUMN(AE$1)-COLUMN($A$1),FALSE))</f>
        <v>3.7654506636725825E-4</v>
      </c>
      <c r="AE68" s="72">
        <f>IF(VLOOKUP($A68,raw[],COLUMN(AF$1)-COLUMN($A$1),FALSE)=0, VLOOKUP($D68, regions[], COLUMN(AF$1)-COLUMN($A$1), FALSE), VLOOKUP($A68,raw[],COLUMN(AF$1)-COLUMN($A$1),FALSE))</f>
        <v>1.8321426670696398E-4</v>
      </c>
      <c r="AF68" s="72">
        <f>IF(VLOOKUP($A68,raw[],COLUMN(AG$1)-COLUMN($A$1),FALSE)=0, VLOOKUP($D68, regions[], COLUMN(AG$1)-COLUMN($A$1), FALSE), VLOOKUP($A68,raw[],COLUMN(AG$1)-COLUMN($A$1),FALSE))</f>
        <v>1.5346484957506218E-4</v>
      </c>
      <c r="AG68" s="72">
        <f>IF(VLOOKUP($A68,raw[],COLUMN(AH$1)-COLUMN($A$1),FALSE)=0, VLOOKUP($D68, regions[], COLUMN(AH$1)-COLUMN($A$1), FALSE), VLOOKUP($A68,raw[],COLUMN(AH$1)-COLUMN($A$1),FALSE))</f>
        <v>2.8772095741896333E-4</v>
      </c>
      <c r="AH68" s="72">
        <f>IF(VLOOKUP($A68,raw[],COLUMN(AI$1)-COLUMN($A$1),FALSE)=0, VLOOKUP($D68, regions[], COLUMN(AI$1)-COLUMN($A$1), FALSE), VLOOKUP($A68,raw[],COLUMN(AI$1)-COLUMN($A$1),FALSE))</f>
        <v>4.0111422172237402E-4</v>
      </c>
      <c r="AI68" s="72">
        <f>IF(VLOOKUP($A68,raw[],COLUMN(AJ$1)-COLUMN($A$1),FALSE)=0, VLOOKUP($D68, regions[], COLUMN(AJ$1)-COLUMN($A$1), FALSE), VLOOKUP($A68,raw[],COLUMN(AJ$1)-COLUMN($A$1),FALSE))</f>
        <v>4.2937675606144276E-4</v>
      </c>
      <c r="AJ68" s="72">
        <f>IF(VLOOKUP($A68,raw[],COLUMN(AK$1)-COLUMN($A$1),FALSE)=0, VLOOKUP($D68, regions[], COLUMN(AK$1)-COLUMN($A$1), FALSE), VLOOKUP($A68,raw[],COLUMN(AK$1)-COLUMN($A$1),FALSE))</f>
        <v>5.0556751508178588E-4</v>
      </c>
      <c r="AK68" s="72">
        <f>IF(VLOOKUP($A68,raw[],COLUMN(AL$1)-COLUMN($A$1),FALSE)=0, VLOOKUP($D68, regions[], COLUMN(AL$1)-COLUMN($A$1), FALSE), VLOOKUP($A68,raw[],COLUMN(AL$1)-COLUMN($A$1),FALSE))</f>
        <v>6.8056297450641372E-4</v>
      </c>
      <c r="AL68" s="72">
        <f>IF(VLOOKUP($A68,raw[],COLUMN(AM$1)-COLUMN($A$1),FALSE)=0, VLOOKUP($D68, regions[], COLUMN(AM$1)-COLUMN($A$1), FALSE), VLOOKUP($A68,raw[],COLUMN(AM$1)-COLUMN($A$1),FALSE))</f>
        <v>1.0466309847889622E-3</v>
      </c>
      <c r="AM68" s="72">
        <f>IF(VLOOKUP($A68,raw[],COLUMN(AN$1)-COLUMN($A$1),FALSE)=0, VLOOKUP($D68, regions[], COLUMN(AN$1)-COLUMN($A$1), FALSE), VLOOKUP($A68,raw[],COLUMN(AN$1)-COLUMN($A$1),FALSE))</f>
        <v>1.825483717098368E-3</v>
      </c>
      <c r="AN68" s="72">
        <f>IF(VLOOKUP($A68,raw[],COLUMN(AO$1)-COLUMN($A$1),FALSE)=0, VLOOKUP($D68, regions[], COLUMN(AO$1)-COLUMN($A$1), FALSE), VLOOKUP($A68,raw[],COLUMN(AO$1)-COLUMN($A$1),FALSE))</f>
        <v>3.1195015372933455E-3</v>
      </c>
      <c r="AO68" s="72">
        <f>IF(VLOOKUP($A68,raw[],COLUMN(AP$1)-COLUMN($A$1),FALSE)=0, VLOOKUP($D68, regions[], COLUMN(AP$1)-COLUMN($A$1), FALSE), VLOOKUP($A68,raw[],COLUMN(AP$1)-COLUMN($A$1),FALSE))</f>
        <v>5.4403402361517779E-3</v>
      </c>
      <c r="AP68" s="72">
        <f>IF(VLOOKUP($A68,raw[],COLUMN(AQ$1)-COLUMN($A$1),FALSE)=0, VLOOKUP($D68, regions[], COLUMN(AQ$1)-COLUMN($A$1), FALSE), VLOOKUP($A68,raw[],COLUMN(AQ$1)-COLUMN($A$1),FALSE))</f>
        <v>8.641925489763367E-3</v>
      </c>
      <c r="AQ68" s="72">
        <f>IF(VLOOKUP($A68,raw[],COLUMN(AR$1)-COLUMN($A$1),FALSE)=0, VLOOKUP($D68, regions[], COLUMN(AR$1)-COLUMN($A$1), FALSE), VLOOKUP($A68,raw[],COLUMN(AR$1)-COLUMN($A$1),FALSE))</f>
        <v>1.4734147857251618E-2</v>
      </c>
      <c r="AR68" s="72">
        <f>IF(VLOOKUP($A68,raw[],COLUMN(AS$1)-COLUMN($A$1),FALSE)=0, VLOOKUP($D68, regions[], COLUMN(AS$1)-COLUMN($A$1), FALSE), VLOOKUP($A68,raw[],COLUMN(AS$1)-COLUMN($A$1),FALSE))</f>
        <v>2.550437110398128E-2</v>
      </c>
      <c r="AS68" s="72">
        <f>IF(VLOOKUP($A68,raw[],COLUMN(AT$1)-COLUMN($A$1),FALSE)=0, VLOOKUP($D68, regions[], COLUMN(AT$1)-COLUMN($A$1), FALSE), VLOOKUP($A68,raw[],COLUMN(AT$1)-COLUMN($A$1),FALSE))</f>
        <v>4.216949255502267E-2</v>
      </c>
      <c r="AT68" s="72">
        <f>IF(VLOOKUP($A68,raw[],COLUMN(AU$1)-COLUMN($A$1),FALSE)=0, VLOOKUP($D68, regions[], COLUMN(AU$1)-COLUMN($A$1), FALSE), VLOOKUP($A68,raw[],COLUMN(AU$1)-COLUMN($A$1),FALSE))</f>
        <v>6.8128564206291431E-2</v>
      </c>
      <c r="AU68" s="72">
        <f>IF(VLOOKUP($A68,raw[],COLUMN(AV$1)-COLUMN($A$1),FALSE)=0, VLOOKUP($D68, regions[], COLUMN(AV$1)-COLUMN($A$1), FALSE), VLOOKUP($A68,raw[],COLUMN(AV$1)-COLUMN($A$1),FALSE))</f>
        <v>0.10198240505659194</v>
      </c>
      <c r="AV68" s="72">
        <f>IF(VLOOKUP($A68,raw[],COLUMN(AW$1)-COLUMN($A$1),FALSE)=0, VLOOKUP($D68, regions[], COLUMN(AW$1)-COLUMN($A$1), FALSE), VLOOKUP($A68,raw[],COLUMN(AW$1)-COLUMN($A$1),FALSE))</f>
        <v>0.13605351302737792</v>
      </c>
      <c r="AW68" s="72">
        <f>IF(VLOOKUP($A68,raw[],COLUMN(AX$1)-COLUMN($A$1),FALSE)=0, VLOOKUP($D68, regions[], COLUMN(AX$1)-COLUMN($A$1), FALSE), VLOOKUP($A68,raw[],COLUMN(AX$1)-COLUMN($A$1),FALSE))</f>
        <v>0.1630731895776322</v>
      </c>
      <c r="AX68" s="72">
        <f>IF(VLOOKUP($A68,raw[],COLUMN(AY$1)-COLUMN($A$1),FALSE)=0, VLOOKUP($D68, regions[], COLUMN(AY$1)-COLUMN($A$1), FALSE), VLOOKUP($A68,raw[],COLUMN(AY$1)-COLUMN($A$1),FALSE))</f>
        <v>78.822999999999993</v>
      </c>
      <c r="AY68" t="str">
        <f t="shared" si="2"/>
        <v>No</v>
      </c>
    </row>
    <row r="69" spans="1:51" x14ac:dyDescent="0.25">
      <c r="A69" s="55" t="s">
        <v>358</v>
      </c>
      <c r="B69" s="56" t="s">
        <v>359</v>
      </c>
      <c r="C69" s="56">
        <v>426</v>
      </c>
      <c r="D69" s="56" t="s">
        <v>207</v>
      </c>
      <c r="E69" s="56" t="s">
        <v>245</v>
      </c>
      <c r="F69" s="56" t="s">
        <v>211</v>
      </c>
      <c r="G69" s="56" t="s">
        <v>212</v>
      </c>
      <c r="H69" s="74">
        <f>VLOOKUP(lmics[[#This Row],[setting]],raw[],8,FALSE)</f>
        <v>2142252</v>
      </c>
      <c r="I69" s="74">
        <f>VLOOKUP(lmics[[#This Row],[setting]],raw[],9,FALSE)</f>
        <v>57913.640567999995</v>
      </c>
      <c r="J69" s="67">
        <f>IF(VLOOKUP($A69,raw[],COLUMN(J$1),FALSE)=0, VLOOKUP($D69, regions[], COLUMN(J$1), FALSE), VLOOKUP($A69,raw[],COLUMN(J$1),FALSE))</f>
        <v>0.89400000000000002</v>
      </c>
      <c r="K69" s="77">
        <f>VLOOKUP($A69, raw[], 11, FALSE)</f>
        <v>0</v>
      </c>
      <c r="L69" s="77">
        <f>VLOOKUP($A69, raw[], 12, FALSE)</f>
        <v>0.87</v>
      </c>
      <c r="M69" s="77">
        <f>IF(VLOOKUP($A69,raw[],COLUMN(M$1),FALSE)=0, VLOOKUP($D69, regions[], COLUMN(M$1), FALSE), VLOOKUP($A69,raw[],COLUMN(M$1),FALSE))</f>
        <v>5.7599999999999998E-2</v>
      </c>
      <c r="N69" s="68">
        <f>IF(VLOOKUP($A69,raw[],COLUMN(N$1),FALSE)=0, VLOOKUP($D69, regions[], COLUMN(N$1), FALSE), VLOOKUP($A69,raw[],COLUMN(N$1),FALSE))</f>
        <v>0.26721730975121849</v>
      </c>
      <c r="O69" s="67">
        <f>IF(VLOOKUP($A69,raw[],COLUMN(O$1),FALSE)=0, VLOOKUP($D69, regions[], COLUMN(O$1), FALSE), VLOOKUP($A69,raw[],COLUMN(O$1),FALSE))</f>
        <v>0.38300000000000001</v>
      </c>
      <c r="P69" s="68">
        <f>IF(VLOOKUP($A69,raw[],COLUMN(P$1),FALSE)=0, VLOOKUP($D69, regions[], COLUMN(P$1), FALSE), VLOOKUP($A69,raw[],COLUMN(P$1),FALSE))</f>
        <v>4.8000000000000001E-2</v>
      </c>
      <c r="Q69" s="70">
        <f>IF(VLOOKUP($A69,raw[],COLUMN(Q$1),FALSE)=0, VLOOKUP($D69, regions[], COLUMN(Q$1), FALSE), VLOOKUP($A69,raw[],COLUMN(Q$1),FALSE))</f>
        <v>3.76898846846847</v>
      </c>
      <c r="R69" s="70">
        <f>IF(VLOOKUP($A69,raw[],COLUMN(R$1),FALSE)=0, VLOOKUP($D69, regions[], COLUMN(R$1), FALSE), VLOOKUP($A69,raw[],COLUMN(R$1),FALSE))</f>
        <v>26.094368468468474</v>
      </c>
      <c r="S69" s="70">
        <f>IF(VLOOKUP($A69,raw[],COLUMN(S$1),FALSE)=0, VLOOKUP($D69, regions[], COLUMN(S$1), FALSE), VLOOKUP($A69,raw[],COLUMN(S$1),FALSE))</f>
        <v>58.471390195997529</v>
      </c>
      <c r="T69" s="70">
        <f>IF(VLOOKUP($A69,raw[],COLUMN(U$1)-COLUMN($A$1),FALSE)=0, VLOOKUP($D69, regions[], COLUMN(U$1)-COLUMN($A$1), FALSE), VLOOKUP($A69,raw[],COLUMN(U$1)-COLUMN($A$1),FALSE))</f>
        <v>60.114509663644434</v>
      </c>
      <c r="U69" s="70">
        <f>IF(VLOOKUP($A69,raw[],COLUMN(V$1)-COLUMN($A$1),FALSE)=0, VLOOKUP($D69, regions[], COLUMN(V$1)-COLUMN($A$1), FALSE), VLOOKUP($A69,raw[],COLUMN(V$1)-COLUMN($A$1),FALSE))</f>
        <v>59.360023935221946</v>
      </c>
      <c r="V69" s="70">
        <f>IF(VLOOKUP($A69,raw[],COLUMN(W$1)-COLUMN($A$1),FALSE)=0, VLOOKUP($D69, regions[], COLUMN(W$1)-COLUMN($A$1), FALSE), VLOOKUP($A69,raw[],COLUMN(W$1)-COLUMN($A$1),FALSE))</f>
        <v>4.5532459250876105</v>
      </c>
      <c r="W69" s="70">
        <f>IF(VLOOKUP($A69,raw[],COLUMN(X$1)-COLUMN($A$1),FALSE)=0, VLOOKUP($D69, regions[], COLUMN(X$1)-COLUMN($A$1), FALSE), VLOOKUP($A69,raw[],COLUMN(X$1)-COLUMN($A$1),FALSE))</f>
        <v>9.3832459250876106</v>
      </c>
      <c r="X69" s="70">
        <f>IF(VLOOKUP($A69,raw[],COLUMN(Y$1)-COLUMN($A$1),FALSE)=0, VLOOKUP($D69, regions[], COLUMN(Y$1)-COLUMN($A$1), FALSE), VLOOKUP($A69,raw[],COLUMN(Y$1)-COLUMN($A$1),FALSE))</f>
        <v>4.1473430948133112</v>
      </c>
      <c r="Y69" s="70">
        <f>IF(VLOOKUP($A69,raw[],COLUMN(Z$1)-COLUMN($A$1),FALSE)=0, VLOOKUP($D69, regions[], COLUMN(Z$1)-COLUMN($A$1), FALSE), VLOOKUP($A69,raw[],COLUMN(Z$1)-COLUMN($A$1),FALSE))</f>
        <v>8.9773430948133104</v>
      </c>
      <c r="Z69" s="70">
        <f>IF(VLOOKUP($A69,raw[],COLUMN(AA$1)-COLUMN($A$1),FALSE)=0, VLOOKUP($D69, regions[], COLUMN(AA$1)-COLUMN($A$1), FALSE), VLOOKUP($A69,raw[],COLUMN(AA$1)-COLUMN($A$1),FALSE))</f>
        <v>8.9754759578113052</v>
      </c>
      <c r="AA69" s="70">
        <f>IF(VLOOKUP($A69,raw[],COLUMN(AB$1)-COLUMN($A$1),FALSE)=0, VLOOKUP($D69, regions[], COLUMN(AB$1)-COLUMN($A$1), FALSE), VLOOKUP($A69,raw[],COLUMN(AB$1)-COLUMN($A$1),FALSE))</f>
        <v>4.7567190346355579</v>
      </c>
      <c r="AB69" s="70">
        <f>IF(VLOOKUP($A69,raw[],COLUMN(AC$1)-COLUMN($A$1),FALSE)=0, VLOOKUP($D69, regions[], COLUMN(AC$1)-COLUMN($A$1), FALSE), VLOOKUP($A69,raw[],COLUMN(AC$1)-COLUMN($A$1),FALSE))</f>
        <v>9.5867190346355571</v>
      </c>
      <c r="AC69" s="72">
        <f>IF(VLOOKUP($A69,raw[],COLUMN(AD$1)-COLUMN($A$1),FALSE)=0, VLOOKUP($D69, regions[], COLUMN(AD$1)-COLUMN($A$1), FALSE), VLOOKUP($A69,raw[],COLUMN(AD$1)-COLUMN($A$1),FALSE))</f>
        <v>6.2258699999999952E-2</v>
      </c>
      <c r="AD69" s="72">
        <f>IF(VLOOKUP($A69,raw[],COLUMN(AE$1)-COLUMN($A$1),FALSE)=0, VLOOKUP($D69, regions[], COLUMN(AE$1)-COLUMN($A$1), FALSE), VLOOKUP($A69,raw[],COLUMN(AE$1)-COLUMN($A$1),FALSE))</f>
        <v>6.6132311758051116E-3</v>
      </c>
      <c r="AE69" s="72">
        <f>IF(VLOOKUP($A69,raw[],COLUMN(AF$1)-COLUMN($A$1),FALSE)=0, VLOOKUP($D69, regions[], COLUMN(AF$1)-COLUMN($A$1), FALSE), VLOOKUP($A69,raw[],COLUMN(AF$1)-COLUMN($A$1),FALSE))</f>
        <v>1.7266721968139435E-3</v>
      </c>
      <c r="AF69" s="72">
        <f>IF(VLOOKUP($A69,raw[],COLUMN(AG$1)-COLUMN($A$1),FALSE)=0, VLOOKUP($D69, regions[], COLUMN(AG$1)-COLUMN($A$1), FALSE), VLOOKUP($A69,raw[],COLUMN(AG$1)-COLUMN($A$1),FALSE))</f>
        <v>1.4284612535655375E-3</v>
      </c>
      <c r="AG69" s="72">
        <f>IF(VLOOKUP($A69,raw[],COLUMN(AH$1)-COLUMN($A$1),FALSE)=0, VLOOKUP($D69, regions[], COLUMN(AH$1)-COLUMN($A$1), FALSE), VLOOKUP($A69,raw[],COLUMN(AH$1)-COLUMN($A$1),FALSE))</f>
        <v>2.1940209111963459E-3</v>
      </c>
      <c r="AH69" s="72">
        <f>IF(VLOOKUP($A69,raw[],COLUMN(AI$1)-COLUMN($A$1),FALSE)=0, VLOOKUP($D69, regions[], COLUMN(AI$1)-COLUMN($A$1), FALSE), VLOOKUP($A69,raw[],COLUMN(AI$1)-COLUMN($A$1),FALSE))</f>
        <v>4.0249037558360802E-3</v>
      </c>
      <c r="AI69" s="72">
        <f>IF(VLOOKUP($A69,raw[],COLUMN(AJ$1)-COLUMN($A$1),FALSE)=0, VLOOKUP($D69, regions[], COLUMN(AJ$1)-COLUMN($A$1), FALSE), VLOOKUP($A69,raw[],COLUMN(AJ$1)-COLUMN($A$1),FALSE))</f>
        <v>7.4365963756345427E-3</v>
      </c>
      <c r="AJ69" s="72">
        <f>IF(VLOOKUP($A69,raw[],COLUMN(AK$1)-COLUMN($A$1),FALSE)=0, VLOOKUP($D69, regions[], COLUMN(AK$1)-COLUMN($A$1), FALSE), VLOOKUP($A69,raw[],COLUMN(AK$1)-COLUMN($A$1),FALSE))</f>
        <v>1.1221237110864302E-2</v>
      </c>
      <c r="AK69" s="72">
        <f>IF(VLOOKUP($A69,raw[],COLUMN(AL$1)-COLUMN($A$1),FALSE)=0, VLOOKUP($D69, regions[], COLUMN(AL$1)-COLUMN($A$1), FALSE), VLOOKUP($A69,raw[],COLUMN(AL$1)-COLUMN($A$1),FALSE))</f>
        <v>1.6457366803924959E-2</v>
      </c>
      <c r="AL69" s="72">
        <f>IF(VLOOKUP($A69,raw[],COLUMN(AM$1)-COLUMN($A$1),FALSE)=0, VLOOKUP($D69, regions[], COLUMN(AM$1)-COLUMN($A$1), FALSE), VLOOKUP($A69,raw[],COLUMN(AM$1)-COLUMN($A$1),FALSE))</f>
        <v>1.8570149582324235E-2</v>
      </c>
      <c r="AM69" s="72">
        <f>IF(VLOOKUP($A69,raw[],COLUMN(AN$1)-COLUMN($A$1),FALSE)=0, VLOOKUP($D69, regions[], COLUMN(AN$1)-COLUMN($A$1), FALSE), VLOOKUP($A69,raw[],COLUMN(AN$1)-COLUMN($A$1),FALSE))</f>
        <v>2.0615706205023586E-2</v>
      </c>
      <c r="AN69" s="72">
        <f>IF(VLOOKUP($A69,raw[],COLUMN(AO$1)-COLUMN($A$1),FALSE)=0, VLOOKUP($D69, regions[], COLUMN(AO$1)-COLUMN($A$1), FALSE), VLOOKUP($A69,raw[],COLUMN(AO$1)-COLUMN($A$1),FALSE))</f>
        <v>2.2196201470808335E-2</v>
      </c>
      <c r="AO69" s="72">
        <f>IF(VLOOKUP($A69,raw[],COLUMN(AP$1)-COLUMN($A$1),FALSE)=0, VLOOKUP($D69, regions[], COLUMN(AP$1)-COLUMN($A$1), FALSE), VLOOKUP($A69,raw[],COLUMN(AP$1)-COLUMN($A$1),FALSE))</f>
        <v>2.4970791637420244E-2</v>
      </c>
      <c r="AP69" s="72">
        <f>IF(VLOOKUP($A69,raw[],COLUMN(AQ$1)-COLUMN($A$1),FALSE)=0, VLOOKUP($D69, regions[], COLUMN(AQ$1)-COLUMN($A$1), FALSE), VLOOKUP($A69,raw[],COLUMN(AQ$1)-COLUMN($A$1),FALSE))</f>
        <v>3.0223653779950108E-2</v>
      </c>
      <c r="AQ69" s="72">
        <f>IF(VLOOKUP($A69,raw[],COLUMN(AR$1)-COLUMN($A$1),FALSE)=0, VLOOKUP($D69, regions[], COLUMN(AR$1)-COLUMN($A$1), FALSE), VLOOKUP($A69,raw[],COLUMN(AR$1)-COLUMN($A$1),FALSE))</f>
        <v>3.964174022607498E-2</v>
      </c>
      <c r="AR69" s="72">
        <f>IF(VLOOKUP($A69,raw[],COLUMN(AS$1)-COLUMN($A$1),FALSE)=0, VLOOKUP($D69, regions[], COLUMN(AS$1)-COLUMN($A$1), FALSE), VLOOKUP($A69,raw[],COLUMN(AS$1)-COLUMN($A$1),FALSE))</f>
        <v>5.4468780684668913E-2</v>
      </c>
      <c r="AS69" s="72">
        <f>IF(VLOOKUP($A69,raw[],COLUMN(AT$1)-COLUMN($A$1),FALSE)=0, VLOOKUP($D69, regions[], COLUMN(AT$1)-COLUMN($A$1), FALSE), VLOOKUP($A69,raw[],COLUMN(AT$1)-COLUMN($A$1),FALSE))</f>
        <v>7.4592118098832871E-2</v>
      </c>
      <c r="AT69" s="72">
        <f>IF(VLOOKUP($A69,raw[],COLUMN(AU$1)-COLUMN($A$1),FALSE)=0, VLOOKUP($D69, regions[], COLUMN(AU$1)-COLUMN($A$1), FALSE), VLOOKUP($A69,raw[],COLUMN(AU$1)-COLUMN($A$1),FALSE))</f>
        <v>0.10574099679242542</v>
      </c>
      <c r="AU69" s="72">
        <f>IF(VLOOKUP($A69,raw[],COLUMN(AV$1)-COLUMN($A$1),FALSE)=0, VLOOKUP($D69, regions[], COLUMN(AV$1)-COLUMN($A$1), FALSE), VLOOKUP($A69,raw[],COLUMN(AV$1)-COLUMN($A$1),FALSE))</f>
        <v>0.14301837354200442</v>
      </c>
      <c r="AV69" s="72">
        <f>IF(VLOOKUP($A69,raw[],COLUMN(AW$1)-COLUMN($A$1),FALSE)=0, VLOOKUP($D69, regions[], COLUMN(AW$1)-COLUMN($A$1), FALSE), VLOOKUP($A69,raw[],COLUMN(AW$1)-COLUMN($A$1),FALSE))</f>
        <v>0.17102403238973332</v>
      </c>
      <c r="AW69" s="72">
        <f>IF(VLOOKUP($A69,raw[],COLUMN(AX$1)-COLUMN($A$1),FALSE)=0, VLOOKUP($D69, regions[], COLUMN(AX$1)-COLUMN($A$1), FALSE), VLOOKUP($A69,raw[],COLUMN(AX$1)-COLUMN($A$1),FALSE))</f>
        <v>0.18239025525443139</v>
      </c>
      <c r="AX69" s="72">
        <f>IF(VLOOKUP($A69,raw[],COLUMN(AY$1)-COLUMN($A$1),FALSE)=0, VLOOKUP($D69, regions[], COLUMN(AY$1)-COLUMN($A$1), FALSE), VLOOKUP($A69,raw[],COLUMN(AY$1)-COLUMN($A$1),FALSE))</f>
        <v>53.511000000000003</v>
      </c>
      <c r="AY69" t="str">
        <f t="shared" si="2"/>
        <v>Yes</v>
      </c>
    </row>
    <row r="70" spans="1:51" x14ac:dyDescent="0.25">
      <c r="A70" s="53" t="s">
        <v>360</v>
      </c>
      <c r="B70" s="54" t="s">
        <v>361</v>
      </c>
      <c r="C70" s="54">
        <v>430</v>
      </c>
      <c r="D70" s="54" t="s">
        <v>207</v>
      </c>
      <c r="E70" s="54" t="s">
        <v>235</v>
      </c>
      <c r="F70" s="54" t="s">
        <v>211</v>
      </c>
      <c r="G70" s="54" t="s">
        <v>198</v>
      </c>
      <c r="H70" s="73">
        <f>VLOOKUP(lmics[[#This Row],[setting]],raw[],8,FALSE)</f>
        <v>5057677</v>
      </c>
      <c r="I70" s="73">
        <f>VLOOKUP(lmics[[#This Row],[setting]],raw[],9,FALSE)</f>
        <v>168021.08761699998</v>
      </c>
      <c r="J70" s="67">
        <f>IF(VLOOKUP($A70,raw[],COLUMN(J$1),FALSE)=0, VLOOKUP($D70, regions[], COLUMN(J$1), FALSE), VLOOKUP($A70,raw[],COLUMN(J$1),FALSE))</f>
        <v>0.79799999999999993</v>
      </c>
      <c r="K70" s="77">
        <f>VLOOKUP($A70, raw[], 11, FALSE)</f>
        <v>0</v>
      </c>
      <c r="L70" s="77">
        <f>VLOOKUP($A70, raw[], 12, FALSE)</f>
        <v>0.65</v>
      </c>
      <c r="M70" s="77">
        <f>IF(VLOOKUP($A70,raw[],COLUMN(M$1),FALSE)=0, VLOOKUP($D70, regions[], COLUMN(M$1), FALSE), VLOOKUP($A70,raw[],COLUMN(M$1),FALSE))</f>
        <v>0.13519999999999999</v>
      </c>
      <c r="N70" s="68">
        <f>IF(VLOOKUP($A70,raw[],COLUMN(N$1),FALSE)=0, VLOOKUP($D70, regions[], COLUMN(N$1), FALSE), VLOOKUP($A70,raw[],COLUMN(N$1),FALSE))</f>
        <v>0.30108171495787017</v>
      </c>
      <c r="O70" s="67">
        <f>IF(VLOOKUP($A70,raw[],COLUMN(O$1),FALSE)=0, VLOOKUP($D70, regions[], COLUMN(O$1), FALSE), VLOOKUP($A70,raw[],COLUMN(O$1),FALSE))</f>
        <v>0.38300000000000001</v>
      </c>
      <c r="P70" s="68">
        <f>IF(VLOOKUP($A70,raw[],COLUMN(P$1),FALSE)=0, VLOOKUP($D70, regions[], COLUMN(P$1), FALSE), VLOOKUP($A70,raw[],COLUMN(P$1),FALSE))</f>
        <v>4.8000000000000001E-2</v>
      </c>
      <c r="Q70" s="70">
        <f>IF(VLOOKUP($A70,raw[],COLUMN(Q$1),FALSE)=0, VLOOKUP($D70, regions[], COLUMN(Q$1), FALSE), VLOOKUP($A70,raw[],COLUMN(Q$1),FALSE))</f>
        <v>2.5768460367454074</v>
      </c>
      <c r="R70" s="70">
        <f>IF(VLOOKUP($A70,raw[],COLUMN(R$1),FALSE)=0, VLOOKUP($D70, regions[], COLUMN(R$1), FALSE), VLOOKUP($A70,raw[],COLUMN(R$1),FALSE))</f>
        <v>24.902226036745411</v>
      </c>
      <c r="S70" s="70">
        <f>IF(VLOOKUP($A70,raw[],COLUMN(S$1),FALSE)=0, VLOOKUP($D70, regions[], COLUMN(S$1), FALSE), VLOOKUP($A70,raw[],COLUMN(S$1),FALSE))</f>
        <v>54.786724100783033</v>
      </c>
      <c r="T70" s="70">
        <f>IF(VLOOKUP($A70,raw[],COLUMN(U$1)-COLUMN($A$1),FALSE)=0, VLOOKUP($D70, regions[], COLUMN(U$1)-COLUMN($A$1), FALSE), VLOOKUP($A70,raw[],COLUMN(U$1)-COLUMN($A$1),FALSE))</f>
        <v>55.132572118144786</v>
      </c>
      <c r="U70" s="70">
        <f>IF(VLOOKUP($A70,raw[],COLUMN(V$1)-COLUMN($A$1),FALSE)=0, VLOOKUP($D70, regions[], COLUMN(V$1)-COLUMN($A$1), FALSE), VLOOKUP($A70,raw[],COLUMN(V$1)-COLUMN($A$1),FALSE))</f>
        <v>54.973766018868062</v>
      </c>
      <c r="V70" s="70">
        <f>IF(VLOOKUP($A70,raw[],COLUMN(W$1)-COLUMN($A$1),FALSE)=0, VLOOKUP($D70, regions[], COLUMN(W$1)-COLUMN($A$1), FALSE), VLOOKUP($A70,raw[],COLUMN(W$1)-COLUMN($A$1),FALSE))</f>
        <v>2.5961501308367056</v>
      </c>
      <c r="W70" s="70">
        <f>IF(VLOOKUP($A70,raw[],COLUMN(X$1)-COLUMN($A$1),FALSE)=0, VLOOKUP($D70, regions[], COLUMN(X$1)-COLUMN($A$1), FALSE), VLOOKUP($A70,raw[],COLUMN(X$1)-COLUMN($A$1),FALSE))</f>
        <v>7.4261501308367057</v>
      </c>
      <c r="X70" s="70">
        <f>IF(VLOOKUP($A70,raw[],COLUMN(Y$1)-COLUMN($A$1),FALSE)=0, VLOOKUP($D70, regions[], COLUMN(Y$1)-COLUMN($A$1), FALSE), VLOOKUP($A70,raw[],COLUMN(Y$1)-COLUMN($A$1),FALSE))</f>
        <v>2.1896922143013309</v>
      </c>
      <c r="Y70" s="70">
        <f>IF(VLOOKUP($A70,raw[],COLUMN(Z$1)-COLUMN($A$1),FALSE)=0, VLOOKUP($D70, regions[], COLUMN(Z$1)-COLUMN($A$1), FALSE), VLOOKUP($A70,raw[],COLUMN(Z$1)-COLUMN($A$1),FALSE))</f>
        <v>7.0196922143013314</v>
      </c>
      <c r="Z70" s="70">
        <f>IF(VLOOKUP($A70,raw[],COLUMN(AA$1)-COLUMN($A$1),FALSE)=0, VLOOKUP($D70, regions[], COLUMN(AA$1)-COLUMN($A$1), FALSE), VLOOKUP($A70,raw[],COLUMN(AA$1)-COLUMN($A$1),FALSE))</f>
        <v>7.0176186313524012</v>
      </c>
      <c r="AA70" s="70">
        <f>IF(VLOOKUP($A70,raw[],COLUMN(AB$1)-COLUMN($A$1),FALSE)=0, VLOOKUP($D70, regions[], COLUMN(AB$1)-COLUMN($A$1), FALSE), VLOOKUP($A70,raw[],COLUMN(AB$1)-COLUMN($A$1),FALSE))</f>
        <v>2.7998211407038189</v>
      </c>
      <c r="AB70" s="70">
        <f>IF(VLOOKUP($A70,raw[],COLUMN(AC$1)-COLUMN($A$1),FALSE)=0, VLOOKUP($D70, regions[], COLUMN(AC$1)-COLUMN($A$1), FALSE), VLOOKUP($A70,raw[],COLUMN(AC$1)-COLUMN($A$1),FALSE))</f>
        <v>7.629821140703819</v>
      </c>
      <c r="AC70" s="72">
        <f>IF(VLOOKUP($A70,raw[],COLUMN(AD$1)-COLUMN($A$1),FALSE)=0, VLOOKUP($D70, regions[], COLUMN(AD$1)-COLUMN($A$1), FALSE), VLOOKUP($A70,raw[],COLUMN(AD$1)-COLUMN($A$1),FALSE))</f>
        <v>5.4073959999999935E-2</v>
      </c>
      <c r="AD70" s="72">
        <f>IF(VLOOKUP($A70,raw[],COLUMN(AE$1)-COLUMN($A$1),FALSE)=0, VLOOKUP($D70, regions[], COLUMN(AE$1)-COLUMN($A$1), FALSE), VLOOKUP($A70,raw[],COLUMN(AE$1)-COLUMN($A$1),FALSE))</f>
        <v>5.2957549408408616E-3</v>
      </c>
      <c r="AE70" s="72">
        <f>IF(VLOOKUP($A70,raw[],COLUMN(AF$1)-COLUMN($A$1),FALSE)=0, VLOOKUP($D70, regions[], COLUMN(AF$1)-COLUMN($A$1), FALSE), VLOOKUP($A70,raw[],COLUMN(AF$1)-COLUMN($A$1),FALSE))</f>
        <v>1.52445790798108E-3</v>
      </c>
      <c r="AF70" s="72">
        <f>IF(VLOOKUP($A70,raw[],COLUMN(AG$1)-COLUMN($A$1),FALSE)=0, VLOOKUP($D70, regions[], COLUMN(AG$1)-COLUMN($A$1), FALSE), VLOOKUP($A70,raw[],COLUMN(AG$1)-COLUMN($A$1),FALSE))</f>
        <v>1.0831044156668853E-3</v>
      </c>
      <c r="AG70" s="72">
        <f>IF(VLOOKUP($A70,raw[],COLUMN(AH$1)-COLUMN($A$1),FALSE)=0, VLOOKUP($D70, regions[], COLUMN(AH$1)-COLUMN($A$1), FALSE), VLOOKUP($A70,raw[],COLUMN(AH$1)-COLUMN($A$1),FALSE))</f>
        <v>1.7024033119997914E-3</v>
      </c>
      <c r="AH70" s="72">
        <f>IF(VLOOKUP($A70,raw[],COLUMN(AI$1)-COLUMN($A$1),FALSE)=0, VLOOKUP($D70, regions[], COLUMN(AI$1)-COLUMN($A$1), FALSE), VLOOKUP($A70,raw[],COLUMN(AI$1)-COLUMN($A$1),FALSE))</f>
        <v>2.505124347243223E-3</v>
      </c>
      <c r="AI70" s="72">
        <f>IF(VLOOKUP($A70,raw[],COLUMN(AJ$1)-COLUMN($A$1),FALSE)=0, VLOOKUP($D70, regions[], COLUMN(AJ$1)-COLUMN($A$1), FALSE), VLOOKUP($A70,raw[],COLUMN(AJ$1)-COLUMN($A$1),FALSE))</f>
        <v>3.0446352469821686E-3</v>
      </c>
      <c r="AJ70" s="72">
        <f>IF(VLOOKUP($A70,raw[],COLUMN(AK$1)-COLUMN($A$1),FALSE)=0, VLOOKUP($D70, regions[], COLUMN(AK$1)-COLUMN($A$1), FALSE), VLOOKUP($A70,raw[],COLUMN(AK$1)-COLUMN($A$1),FALSE))</f>
        <v>3.6660693798895804E-3</v>
      </c>
      <c r="AK70" s="72">
        <f>IF(VLOOKUP($A70,raw[],COLUMN(AL$1)-COLUMN($A$1),FALSE)=0, VLOOKUP($D70, regions[], COLUMN(AL$1)-COLUMN($A$1), FALSE), VLOOKUP($A70,raw[],COLUMN(AL$1)-COLUMN($A$1),FALSE))</f>
        <v>4.5674204120736001E-3</v>
      </c>
      <c r="AL70" s="72">
        <f>IF(VLOOKUP($A70,raw[],COLUMN(AM$1)-COLUMN($A$1),FALSE)=0, VLOOKUP($D70, regions[], COLUMN(AM$1)-COLUMN($A$1), FALSE), VLOOKUP($A70,raw[],COLUMN(AM$1)-COLUMN($A$1),FALSE))</f>
        <v>5.7264048718262961E-3</v>
      </c>
      <c r="AM70" s="72">
        <f>IF(VLOOKUP($A70,raw[],COLUMN(AN$1)-COLUMN($A$1),FALSE)=0, VLOOKUP($D70, regions[], COLUMN(AN$1)-COLUMN($A$1), FALSE), VLOOKUP($A70,raw[],COLUMN(AN$1)-COLUMN($A$1),FALSE))</f>
        <v>7.1244541232867295E-3</v>
      </c>
      <c r="AN70" s="72">
        <f>IF(VLOOKUP($A70,raw[],COLUMN(AO$1)-COLUMN($A$1),FALSE)=0, VLOOKUP($D70, regions[], COLUMN(AO$1)-COLUMN($A$1), FALSE), VLOOKUP($A70,raw[],COLUMN(AO$1)-COLUMN($A$1),FALSE))</f>
        <v>9.8491366116745579E-3</v>
      </c>
      <c r="AO70" s="72">
        <f>IF(VLOOKUP($A70,raw[],COLUMN(AP$1)-COLUMN($A$1),FALSE)=0, VLOOKUP($D70, regions[], COLUMN(AP$1)-COLUMN($A$1), FALSE), VLOOKUP($A70,raw[],COLUMN(AP$1)-COLUMN($A$1),FALSE))</f>
        <v>1.3062631100648247E-2</v>
      </c>
      <c r="AP70" s="72">
        <f>IF(VLOOKUP($A70,raw[],COLUMN(AQ$1)-COLUMN($A$1),FALSE)=0, VLOOKUP($D70, regions[], COLUMN(AQ$1)-COLUMN($A$1), FALSE), VLOOKUP($A70,raw[],COLUMN(AQ$1)-COLUMN($A$1),FALSE))</f>
        <v>1.9392439955066558E-2</v>
      </c>
      <c r="AQ70" s="72">
        <f>IF(VLOOKUP($A70,raw[],COLUMN(AR$1)-COLUMN($A$1),FALSE)=0, VLOOKUP($D70, regions[], COLUMN(AR$1)-COLUMN($A$1), FALSE), VLOOKUP($A70,raw[],COLUMN(AR$1)-COLUMN($A$1),FALSE))</f>
        <v>2.9772070140555093E-2</v>
      </c>
      <c r="AR70" s="72">
        <f>IF(VLOOKUP($A70,raw[],COLUMN(AS$1)-COLUMN($A$1),FALSE)=0, VLOOKUP($D70, regions[], COLUMN(AS$1)-COLUMN($A$1), FALSE), VLOOKUP($A70,raw[],COLUMN(AS$1)-COLUMN($A$1),FALSE))</f>
        <v>4.6267125748531791E-2</v>
      </c>
      <c r="AS70" s="72">
        <f>IF(VLOOKUP($A70,raw[],COLUMN(AT$1)-COLUMN($A$1),FALSE)=0, VLOOKUP($D70, regions[], COLUMN(AT$1)-COLUMN($A$1), FALSE), VLOOKUP($A70,raw[],COLUMN(AT$1)-COLUMN($A$1),FALSE))</f>
        <v>7.0807722608555682E-2</v>
      </c>
      <c r="AT70" s="72">
        <f>IF(VLOOKUP($A70,raw[],COLUMN(AU$1)-COLUMN($A$1),FALSE)=0, VLOOKUP($D70, regions[], COLUMN(AU$1)-COLUMN($A$1), FALSE), VLOOKUP($A70,raw[],COLUMN(AU$1)-COLUMN($A$1),FALSE))</f>
        <v>0.10575373670824074</v>
      </c>
      <c r="AU70" s="72">
        <f>IF(VLOOKUP($A70,raw[],COLUMN(AV$1)-COLUMN($A$1),FALSE)=0, VLOOKUP($D70, regions[], COLUMN(AV$1)-COLUMN($A$1), FALSE), VLOOKUP($A70,raw[],COLUMN(AV$1)-COLUMN($A$1),FALSE))</f>
        <v>0.14561767613240678</v>
      </c>
      <c r="AV70" s="72">
        <f>IF(VLOOKUP($A70,raw[],COLUMN(AW$1)-COLUMN($A$1),FALSE)=0, VLOOKUP($D70, regions[], COLUMN(AW$1)-COLUMN($A$1), FALSE), VLOOKUP($A70,raw[],COLUMN(AW$1)-COLUMN($A$1),FALSE))</f>
        <v>0.17837986369653361</v>
      </c>
      <c r="AW70" s="72">
        <f>IF(VLOOKUP($A70,raw[],COLUMN(AX$1)-COLUMN($A$1),FALSE)=0, VLOOKUP($D70, regions[], COLUMN(AX$1)-COLUMN($A$1), FALSE), VLOOKUP($A70,raw[],COLUMN(AX$1)-COLUMN($A$1),FALSE))</f>
        <v>0.18904660956397684</v>
      </c>
      <c r="AX70" s="72">
        <f>IF(VLOOKUP($A70,raw[],COLUMN(AY$1)-COLUMN($A$1),FALSE)=0, VLOOKUP($D70, regions[], COLUMN(AY$1)-COLUMN($A$1), FALSE), VLOOKUP($A70,raw[],COLUMN(AY$1)-COLUMN($A$1),FALSE))</f>
        <v>63.595999999999997</v>
      </c>
      <c r="AY70" t="str">
        <f t="shared" si="2"/>
        <v>Yes</v>
      </c>
    </row>
    <row r="71" spans="1:51" x14ac:dyDescent="0.25">
      <c r="A71" s="55" t="s">
        <v>362</v>
      </c>
      <c r="B71" s="56" t="s">
        <v>363</v>
      </c>
      <c r="C71" s="56">
        <v>434</v>
      </c>
      <c r="D71" s="56" t="s">
        <v>196</v>
      </c>
      <c r="E71" s="56" t="s">
        <v>197</v>
      </c>
      <c r="F71" s="56" t="s">
        <v>197</v>
      </c>
      <c r="G71" s="56" t="s">
        <v>204</v>
      </c>
      <c r="H71" s="74">
        <f>VLOOKUP(lmics[[#This Row],[setting]],raw[],8,FALSE)</f>
        <v>6871287</v>
      </c>
      <c r="I71" s="74">
        <f>VLOOKUP(lmics[[#This Row],[setting]],raw[],9,FALSE)</f>
        <v>130588.809435</v>
      </c>
      <c r="J71" s="67">
        <f>IF(VLOOKUP($A71,raw[],COLUMN(J$1),FALSE)=0, VLOOKUP($D71, regions[], COLUMN(J$1), FALSE), VLOOKUP($A71,raw[],COLUMN(J$1),FALSE))</f>
        <v>0.999</v>
      </c>
      <c r="K71" s="77">
        <f>VLOOKUP($A71, raw[], 11, FALSE)</f>
        <v>0</v>
      </c>
      <c r="L71" s="77">
        <f>VLOOKUP($A71, raw[], 12, FALSE)</f>
        <v>0.73</v>
      </c>
      <c r="M71" s="77">
        <f>IF(VLOOKUP($A71,raw[],COLUMN(M$1),FALSE)=0, VLOOKUP($D71, regions[], COLUMN(M$1), FALSE), VLOOKUP($A71,raw[],COLUMN(M$1),FALSE))</f>
        <v>1.8200000000000001E-2</v>
      </c>
      <c r="N71" s="68">
        <f>IF(VLOOKUP($A71,raw[],COLUMN(N$1),FALSE)=0, VLOOKUP($D71, regions[], COLUMN(N$1), FALSE), VLOOKUP($A71,raw[],COLUMN(N$1),FALSE))</f>
        <v>0.23149406092069991</v>
      </c>
      <c r="O71" s="67">
        <f>IF(VLOOKUP($A71,raw[],COLUMN(O$1),FALSE)=0, VLOOKUP($D71, regions[], COLUMN(O$1), FALSE), VLOOKUP($A71,raw[],COLUMN(O$1),FALSE))</f>
        <v>0.8</v>
      </c>
      <c r="P71" s="68">
        <f>IF(VLOOKUP($A71,raw[],COLUMN(P$1),FALSE)=0, VLOOKUP($D71, regions[], COLUMN(P$1), FALSE), VLOOKUP($A71,raw[],COLUMN(P$1),FALSE))</f>
        <v>0.17499999999999999</v>
      </c>
      <c r="Q71" s="70">
        <f>IF(VLOOKUP($A71,raw[],COLUMN(Q$1),FALSE)=0, VLOOKUP($D71, regions[], COLUMN(Q$1), FALSE), VLOOKUP($A71,raw[],COLUMN(Q$1),FALSE))</f>
        <v>13.0846531390536</v>
      </c>
      <c r="R71" s="70">
        <f>IF(VLOOKUP($A71,raw[],COLUMN(R$1),FALSE)=0, VLOOKUP($D71, regions[], COLUMN(R$1), FALSE), VLOOKUP($A71,raw[],COLUMN(R$1),FALSE))</f>
        <v>35.410033139053603</v>
      </c>
      <c r="S71" s="70">
        <f>IF(VLOOKUP($A71,raw[],COLUMN(S$1),FALSE)=0, VLOOKUP($D71, regions[], COLUMN(S$1), FALSE), VLOOKUP($A71,raw[],COLUMN(S$1),FALSE))</f>
        <v>110.14627625901082</v>
      </c>
      <c r="T71" s="70">
        <f>IF(VLOOKUP($A71,raw[],COLUMN(U$1)-COLUMN($A$1),FALSE)=0, VLOOKUP($D71, regions[], COLUMN(U$1)-COLUMN($A$1), FALSE), VLOOKUP($A71,raw[],COLUMN(U$1)-COLUMN($A$1),FALSE))</f>
        <v>133.83588995802302</v>
      </c>
      <c r="U71" s="70">
        <f>IF(VLOOKUP($A71,raw[],COLUMN(V$1)-COLUMN($A$1),FALSE)=0, VLOOKUP($D71, regions[], COLUMN(V$1)-COLUMN($A$1), FALSE), VLOOKUP($A71,raw[],COLUMN(V$1)-COLUMN($A$1),FALSE))</f>
        <v>122.95812008207901</v>
      </c>
      <c r="V71" s="70">
        <f>IF(VLOOKUP($A71,raw[],COLUMN(W$1)-COLUMN($A$1),FALSE)=0, VLOOKUP($D71, regions[], COLUMN(W$1)-COLUMN($A$1), FALSE), VLOOKUP($A71,raw[],COLUMN(W$1)-COLUMN($A$1),FALSE))</f>
        <v>6.2041542949164246</v>
      </c>
      <c r="W71" s="70">
        <f>IF(VLOOKUP($A71,raw[],COLUMN(X$1)-COLUMN($A$1),FALSE)=0, VLOOKUP($D71, regions[], COLUMN(X$1)-COLUMN($A$1), FALSE), VLOOKUP($A71,raw[],COLUMN(X$1)-COLUMN($A$1),FALSE))</f>
        <v>6.684154294916425</v>
      </c>
      <c r="X71" s="70">
        <f>IF(VLOOKUP($A71,raw[],COLUMN(Y$1)-COLUMN($A$1),FALSE)=0, VLOOKUP($D71, regions[], COLUMN(Y$1)-COLUMN($A$1), FALSE), VLOOKUP($A71,raw[],COLUMN(Y$1)-COLUMN($A$1),FALSE))</f>
        <v>5.7917372002493046</v>
      </c>
      <c r="Y71" s="70">
        <f>IF(VLOOKUP($A71,raw[],COLUMN(Z$1)-COLUMN($A$1),FALSE)=0, VLOOKUP($D71, regions[], COLUMN(Z$1)-COLUMN($A$1), FALSE), VLOOKUP($A71,raw[],COLUMN(Z$1)-COLUMN($A$1),FALSE))</f>
        <v>6.271737200249305</v>
      </c>
      <c r="Z71" s="70">
        <f>IF(VLOOKUP($A71,raw[],COLUMN(AA$1)-COLUMN($A$1),FALSE)=0, VLOOKUP($D71, regions[], COLUMN(AA$1)-COLUMN($A$1), FALSE), VLOOKUP($A71,raw[],COLUMN(AA$1)-COLUMN($A$1),FALSE))</f>
        <v>6.2673062827592005</v>
      </c>
      <c r="AA71" s="70">
        <f>IF(VLOOKUP($A71,raw[],COLUMN(AB$1)-COLUMN($A$1),FALSE)=0, VLOOKUP($D71, regions[], COLUMN(AB$1)-COLUMN($A$1), FALSE), VLOOKUP($A71,raw[],COLUMN(AB$1)-COLUMN($A$1),FALSE))</f>
        <v>6.4099498813348559</v>
      </c>
      <c r="AB71" s="70">
        <f>IF(VLOOKUP($A71,raw[],COLUMN(AC$1)-COLUMN($A$1),FALSE)=0, VLOOKUP($D71, regions[], COLUMN(AC$1)-COLUMN($A$1), FALSE), VLOOKUP($A71,raw[],COLUMN(AC$1)-COLUMN($A$1),FALSE))</f>
        <v>6.8899498813348554</v>
      </c>
      <c r="AC71" s="72">
        <f>IF(VLOOKUP($A71,raw[],COLUMN(AD$1)-COLUMN($A$1),FALSE)=0, VLOOKUP($D71, regions[], COLUMN(AD$1)-COLUMN($A$1), FALSE), VLOOKUP($A71,raw[],COLUMN(AD$1)-COLUMN($A$1),FALSE))</f>
        <v>1.0531420000000071E-2</v>
      </c>
      <c r="AD71" s="72">
        <f>IF(VLOOKUP($A71,raw[],COLUMN(AE$1)-COLUMN($A$1),FALSE)=0, VLOOKUP($D71, regions[], COLUMN(AE$1)-COLUMN($A$1), FALSE), VLOOKUP($A71,raw[],COLUMN(AE$1)-COLUMN($A$1),FALSE))</f>
        <v>5.4867836227803454E-4</v>
      </c>
      <c r="AE71" s="72">
        <f>IF(VLOOKUP($A71,raw[],COLUMN(AF$1)-COLUMN($A$1),FALSE)=0, VLOOKUP($D71, regions[], COLUMN(AF$1)-COLUMN($A$1), FALSE), VLOOKUP($A71,raw[],COLUMN(AF$1)-COLUMN($A$1),FALSE))</f>
        <v>3.8625662564065156E-4</v>
      </c>
      <c r="AF71" s="72">
        <f>IF(VLOOKUP($A71,raw[],COLUMN(AG$1)-COLUMN($A$1),FALSE)=0, VLOOKUP($D71, regions[], COLUMN(AG$1)-COLUMN($A$1), FALSE), VLOOKUP($A71,raw[],COLUMN(AG$1)-COLUMN($A$1),FALSE))</f>
        <v>3.9330408218071127E-4</v>
      </c>
      <c r="AG71" s="72">
        <f>IF(VLOOKUP($A71,raw[],COLUMN(AH$1)-COLUMN($A$1),FALSE)=0, VLOOKUP($D71, regions[], COLUMN(AH$1)-COLUMN($A$1), FALSE), VLOOKUP($A71,raw[],COLUMN(AH$1)-COLUMN($A$1),FALSE))</f>
        <v>9.9041495082366417E-4</v>
      </c>
      <c r="AH71" s="72">
        <f>IF(VLOOKUP($A71,raw[],COLUMN(AI$1)-COLUMN($A$1),FALSE)=0, VLOOKUP($D71, regions[], COLUMN(AI$1)-COLUMN($A$1), FALSE), VLOOKUP($A71,raw[],COLUMN(AI$1)-COLUMN($A$1),FALSE))</f>
        <v>1.3402306444718099E-3</v>
      </c>
      <c r="AI71" s="72">
        <f>IF(VLOOKUP($A71,raw[],COLUMN(AJ$1)-COLUMN($A$1),FALSE)=0, VLOOKUP($D71, regions[], COLUMN(AJ$1)-COLUMN($A$1), FALSE), VLOOKUP($A71,raw[],COLUMN(AJ$1)-COLUMN($A$1),FALSE))</f>
        <v>1.4241984061556954E-3</v>
      </c>
      <c r="AJ71" s="72">
        <f>IF(VLOOKUP($A71,raw[],COLUMN(AK$1)-COLUMN($A$1),FALSE)=0, VLOOKUP($D71, regions[], COLUMN(AK$1)-COLUMN($A$1), FALSE), VLOOKUP($A71,raw[],COLUMN(AK$1)-COLUMN($A$1),FALSE))</f>
        <v>1.5695632040894076E-3</v>
      </c>
      <c r="AK71" s="72">
        <f>IF(VLOOKUP($A71,raw[],COLUMN(AL$1)-COLUMN($A$1),FALSE)=0, VLOOKUP($D71, regions[], COLUMN(AL$1)-COLUMN($A$1), FALSE), VLOOKUP($A71,raw[],COLUMN(AL$1)-COLUMN($A$1),FALSE))</f>
        <v>1.9703487816216912E-3</v>
      </c>
      <c r="AL71" s="72">
        <f>IF(VLOOKUP($A71,raw[],COLUMN(AM$1)-COLUMN($A$1),FALSE)=0, VLOOKUP($D71, regions[], COLUMN(AM$1)-COLUMN($A$1), FALSE), VLOOKUP($A71,raw[],COLUMN(AM$1)-COLUMN($A$1),FALSE))</f>
        <v>2.7760638742324495E-3</v>
      </c>
      <c r="AM71" s="72">
        <f>IF(VLOOKUP($A71,raw[],COLUMN(AN$1)-COLUMN($A$1),FALSE)=0, VLOOKUP($D71, regions[], COLUMN(AN$1)-COLUMN($A$1), FALSE), VLOOKUP($A71,raw[],COLUMN(AN$1)-COLUMN($A$1),FALSE))</f>
        <v>3.9573649847061505E-3</v>
      </c>
      <c r="AN71" s="72">
        <f>IF(VLOOKUP($A71,raw[],COLUMN(AO$1)-COLUMN($A$1),FALSE)=0, VLOOKUP($D71, regions[], COLUMN(AO$1)-COLUMN($A$1), FALSE), VLOOKUP($A71,raw[],COLUMN(AO$1)-COLUMN($A$1),FALSE))</f>
        <v>6.2185748766793924E-3</v>
      </c>
      <c r="AO71" s="72">
        <f>IF(VLOOKUP($A71,raw[],COLUMN(AP$1)-COLUMN($A$1),FALSE)=0, VLOOKUP($D71, regions[], COLUMN(AP$1)-COLUMN($A$1), FALSE), VLOOKUP($A71,raw[],COLUMN(AP$1)-COLUMN($A$1),FALSE))</f>
        <v>9.9276112384405254E-3</v>
      </c>
      <c r="AP71" s="72">
        <f>IF(VLOOKUP($A71,raw[],COLUMN(AQ$1)-COLUMN($A$1),FALSE)=0, VLOOKUP($D71, regions[], COLUMN(AQ$1)-COLUMN($A$1), FALSE), VLOOKUP($A71,raw[],COLUMN(AQ$1)-COLUMN($A$1),FALSE))</f>
        <v>1.565021934762157E-2</v>
      </c>
      <c r="AQ71" s="72">
        <f>IF(VLOOKUP($A71,raw[],COLUMN(AR$1)-COLUMN($A$1),FALSE)=0, VLOOKUP($D71, regions[], COLUMN(AR$1)-COLUMN($A$1), FALSE), VLOOKUP($A71,raw[],COLUMN(AR$1)-COLUMN($A$1),FALSE))</f>
        <v>2.5204190475132573E-2</v>
      </c>
      <c r="AR71" s="72">
        <f>IF(VLOOKUP($A71,raw[],COLUMN(AS$1)-COLUMN($A$1),FALSE)=0, VLOOKUP($D71, regions[], COLUMN(AS$1)-COLUMN($A$1), FALSE), VLOOKUP($A71,raw[],COLUMN(AS$1)-COLUMN($A$1),FALSE))</f>
        <v>3.8848447158774044E-2</v>
      </c>
      <c r="AS71" s="72">
        <f>IF(VLOOKUP($A71,raw[],COLUMN(AT$1)-COLUMN($A$1),FALSE)=0, VLOOKUP($D71, regions[], COLUMN(AT$1)-COLUMN($A$1), FALSE), VLOOKUP($A71,raw[],COLUMN(AT$1)-COLUMN($A$1),FALSE))</f>
        <v>6.0941664647692489E-2</v>
      </c>
      <c r="AT71" s="72">
        <f>IF(VLOOKUP($A71,raw[],COLUMN(AU$1)-COLUMN($A$1),FALSE)=0, VLOOKUP($D71, regions[], COLUMN(AU$1)-COLUMN($A$1), FALSE), VLOOKUP($A71,raw[],COLUMN(AU$1)-COLUMN($A$1),FALSE))</f>
        <v>9.2200239498518771E-2</v>
      </c>
      <c r="AU71" s="72">
        <f>IF(VLOOKUP($A71,raw[],COLUMN(AV$1)-COLUMN($A$1),FALSE)=0, VLOOKUP($D71, regions[], COLUMN(AV$1)-COLUMN($A$1), FALSE), VLOOKUP($A71,raw[],COLUMN(AV$1)-COLUMN($A$1),FALSE))</f>
        <v>0.12696757676055212</v>
      </c>
      <c r="AV71" s="72">
        <f>IF(VLOOKUP($A71,raw[],COLUMN(AW$1)-COLUMN($A$1),FALSE)=0, VLOOKUP($D71, regions[], COLUMN(AW$1)-COLUMN($A$1), FALSE), VLOOKUP($A71,raw[],COLUMN(AW$1)-COLUMN($A$1),FALSE))</f>
        <v>0.15770097164571453</v>
      </c>
      <c r="AW71" s="72">
        <f>IF(VLOOKUP($A71,raw[],COLUMN(AX$1)-COLUMN($A$1),FALSE)=0, VLOOKUP($D71, regions[], COLUMN(AX$1)-COLUMN($A$1), FALSE), VLOOKUP($A71,raw[],COLUMN(AX$1)-COLUMN($A$1),FALSE))</f>
        <v>0.17638925653713555</v>
      </c>
      <c r="AX71" s="72">
        <f>IF(VLOOKUP($A71,raw[],COLUMN(AY$1)-COLUMN($A$1),FALSE)=0, VLOOKUP($D71, regions[], COLUMN(AY$1)-COLUMN($A$1), FALSE), VLOOKUP($A71,raw[],COLUMN(AY$1)-COLUMN($A$1),FALSE))</f>
        <v>72.700999999999993</v>
      </c>
      <c r="AY71" t="str">
        <f t="shared" si="2"/>
        <v>Yes</v>
      </c>
    </row>
    <row r="72" spans="1:51" x14ac:dyDescent="0.25">
      <c r="A72" s="53" t="s">
        <v>364</v>
      </c>
      <c r="B72" s="54" t="s">
        <v>365</v>
      </c>
      <c r="C72" s="54">
        <v>450</v>
      </c>
      <c r="D72" s="54" t="s">
        <v>207</v>
      </c>
      <c r="E72" s="54" t="s">
        <v>255</v>
      </c>
      <c r="F72" s="54" t="s">
        <v>211</v>
      </c>
      <c r="G72" s="54" t="s">
        <v>198</v>
      </c>
      <c r="H72" s="73">
        <f>VLOOKUP(lmics[[#This Row],[setting]],raw[],8,FALSE)</f>
        <v>27691019</v>
      </c>
      <c r="I72" s="73">
        <f>VLOOKUP(lmics[[#This Row],[setting]],raw[],9,FALSE)</f>
        <v>908708.47950400005</v>
      </c>
      <c r="J72" s="67">
        <f>IF(VLOOKUP($A72,raw[],COLUMN(J$1),FALSE)=0, VLOOKUP($D72, regions[], COLUMN(J$1), FALSE), VLOOKUP($A72,raw[],COLUMN(J$1),FALSE))</f>
        <v>0.38700000000000001</v>
      </c>
      <c r="K72" s="77">
        <f>VLOOKUP($A72, raw[], 11, FALSE)</f>
        <v>0</v>
      </c>
      <c r="L72" s="77">
        <f>VLOOKUP($A72, raw[], 12, FALSE)</f>
        <v>0.7</v>
      </c>
      <c r="M72" s="77">
        <f>IF(VLOOKUP($A72,raw[],COLUMN(M$1),FALSE)=0, VLOOKUP($D72, regions[], COLUMN(M$1), FALSE), VLOOKUP($A72,raw[],COLUMN(M$1),FALSE))</f>
        <v>6.4100000000000004E-2</v>
      </c>
      <c r="N72" s="68">
        <f>IF(VLOOKUP($A72,raw[],COLUMN(N$1),FALSE)=0, VLOOKUP($D72, regions[], COLUMN(N$1), FALSE), VLOOKUP($A72,raw[],COLUMN(N$1),FALSE))</f>
        <v>0.29788552997961965</v>
      </c>
      <c r="O72" s="67">
        <f>IF(VLOOKUP($A72,raw[],COLUMN(O$1),FALSE)=0, VLOOKUP($D72, regions[], COLUMN(O$1), FALSE), VLOOKUP($A72,raw[],COLUMN(O$1),FALSE))</f>
        <v>0.38300000000000001</v>
      </c>
      <c r="P72" s="68">
        <f>IF(VLOOKUP($A72,raw[],COLUMN(P$1),FALSE)=0, VLOOKUP($D72, regions[], COLUMN(P$1), FALSE), VLOOKUP($A72,raw[],COLUMN(P$1),FALSE))</f>
        <v>4.8000000000000001E-2</v>
      </c>
      <c r="Q72" s="70">
        <f>IF(VLOOKUP($A72,raw[],COLUMN(Q$1),FALSE)=0, VLOOKUP($D72, regions[], COLUMN(Q$1), FALSE), VLOOKUP($A72,raw[],COLUMN(Q$1),FALSE))</f>
        <v>2.5732930458970791</v>
      </c>
      <c r="R72" s="70">
        <f>IF(VLOOKUP($A72,raw[],COLUMN(R$1),FALSE)=0, VLOOKUP($D72, regions[], COLUMN(R$1), FALSE), VLOOKUP($A72,raw[],COLUMN(R$1),FALSE))</f>
        <v>24.89867304589708</v>
      </c>
      <c r="S72" s="70">
        <f>IF(VLOOKUP($A72,raw[],COLUMN(S$1),FALSE)=0, VLOOKUP($D72, regions[], COLUMN(S$1), FALSE), VLOOKUP($A72,raw[],COLUMN(S$1),FALSE))</f>
        <v>54.959269283211029</v>
      </c>
      <c r="T72" s="70">
        <f>IF(VLOOKUP($A72,raw[],COLUMN(U$1)-COLUMN($A$1),FALSE)=0, VLOOKUP($D72, regions[], COLUMN(U$1)-COLUMN($A$1), FALSE), VLOOKUP($A72,raw[],COLUMN(U$1)-COLUMN($A$1),FALSE))</f>
        <v>55.39677024492989</v>
      </c>
      <c r="U72" s="70">
        <f>IF(VLOOKUP($A72,raw[],COLUMN(V$1)-COLUMN($A$1),FALSE)=0, VLOOKUP($D72, regions[], COLUMN(V$1)-COLUMN($A$1), FALSE), VLOOKUP($A72,raw[],COLUMN(V$1)-COLUMN($A$1),FALSE))</f>
        <v>55.195879050900821</v>
      </c>
      <c r="V72" s="70">
        <f>IF(VLOOKUP($A72,raw[],COLUMN(W$1)-COLUMN($A$1),FALSE)=0, VLOOKUP($D72, regions[], COLUMN(W$1)-COLUMN($A$1), FALSE), VLOOKUP($A72,raw[],COLUMN(W$1)-COLUMN($A$1),FALSE))</f>
        <v>1.4606699475113902</v>
      </c>
      <c r="W72" s="70">
        <f>IF(VLOOKUP($A72,raw[],COLUMN(X$1)-COLUMN($A$1),FALSE)=0, VLOOKUP($D72, regions[], COLUMN(X$1)-COLUMN($A$1), FALSE), VLOOKUP($A72,raw[],COLUMN(X$1)-COLUMN($A$1),FALSE))</f>
        <v>6.2906699475113905</v>
      </c>
      <c r="X72" s="70">
        <f>IF(VLOOKUP($A72,raw[],COLUMN(Y$1)-COLUMN($A$1),FALSE)=0, VLOOKUP($D72, regions[], COLUMN(Y$1)-COLUMN($A$1), FALSE), VLOOKUP($A72,raw[],COLUMN(Y$1)-COLUMN($A$1),FALSE))</f>
        <v>1.0551796168731404</v>
      </c>
      <c r="Y72" s="70">
        <f>IF(VLOOKUP($A72,raw[],COLUMN(Z$1)-COLUMN($A$1),FALSE)=0, VLOOKUP($D72, regions[], COLUMN(Z$1)-COLUMN($A$1), FALSE), VLOOKUP($A72,raw[],COLUMN(Z$1)-COLUMN($A$1),FALSE))</f>
        <v>5.8851796168731401</v>
      </c>
      <c r="Z72" s="70">
        <f>IF(VLOOKUP($A72,raw[],COLUMN(AA$1)-COLUMN($A$1),FALSE)=0, VLOOKUP($D72, regions[], COLUMN(AA$1)-COLUMN($A$1), FALSE), VLOOKUP($A72,raw[],COLUMN(AA$1)-COLUMN($A$1),FALSE))</f>
        <v>5.8832580402586361</v>
      </c>
      <c r="AA72" s="70">
        <f>IF(VLOOKUP($A72,raw[],COLUMN(AB$1)-COLUMN($A$1),FALSE)=0, VLOOKUP($D72, regions[], COLUMN(AB$1)-COLUMN($A$1), FALSE), VLOOKUP($A72,raw[],COLUMN(AB$1)-COLUMN($A$1),FALSE))</f>
        <v>1.6639959919717027</v>
      </c>
      <c r="AB72" s="70">
        <f>IF(VLOOKUP($A72,raw[],COLUMN(AC$1)-COLUMN($A$1),FALSE)=0, VLOOKUP($D72, regions[], COLUMN(AC$1)-COLUMN($A$1), FALSE), VLOOKUP($A72,raw[],COLUMN(AC$1)-COLUMN($A$1),FALSE))</f>
        <v>6.493995991971703</v>
      </c>
      <c r="AC72" s="72">
        <f>IF(VLOOKUP($A72,raw[],COLUMN(AD$1)-COLUMN($A$1),FALSE)=0, VLOOKUP($D72, regions[], COLUMN(AD$1)-COLUMN($A$1), FALSE), VLOOKUP($A72,raw[],COLUMN(AD$1)-COLUMN($A$1),FALSE))</f>
        <v>2.9042229999999981E-2</v>
      </c>
      <c r="AD72" s="72">
        <f>IF(VLOOKUP($A72,raw[],COLUMN(AE$1)-COLUMN($A$1),FALSE)=0, VLOOKUP($D72, regions[], COLUMN(AE$1)-COLUMN($A$1), FALSE), VLOOKUP($A72,raw[],COLUMN(AE$1)-COLUMN($A$1),FALSE))</f>
        <v>3.6439664106091983E-3</v>
      </c>
      <c r="AE72" s="72">
        <f>IF(VLOOKUP($A72,raw[],COLUMN(AF$1)-COLUMN($A$1),FALSE)=0, VLOOKUP($D72, regions[], COLUMN(AF$1)-COLUMN($A$1), FALSE), VLOOKUP($A72,raw[],COLUMN(AF$1)-COLUMN($A$1),FALSE))</f>
        <v>1.6834523540747452E-3</v>
      </c>
      <c r="AF72" s="72">
        <f>IF(VLOOKUP($A72,raw[],COLUMN(AG$1)-COLUMN($A$1),FALSE)=0, VLOOKUP($D72, regions[], COLUMN(AG$1)-COLUMN($A$1), FALSE), VLOOKUP($A72,raw[],COLUMN(AG$1)-COLUMN($A$1),FALSE))</f>
        <v>1.3235498937898972E-3</v>
      </c>
      <c r="AG72" s="72">
        <f>IF(VLOOKUP($A72,raw[],COLUMN(AH$1)-COLUMN($A$1),FALSE)=0, VLOOKUP($D72, regions[], COLUMN(AH$1)-COLUMN($A$1), FALSE), VLOOKUP($A72,raw[],COLUMN(AH$1)-COLUMN($A$1),FALSE))</f>
        <v>1.8405557617388985E-3</v>
      </c>
      <c r="AH72" s="72">
        <f>IF(VLOOKUP($A72,raw[],COLUMN(AI$1)-COLUMN($A$1),FALSE)=0, VLOOKUP($D72, regions[], COLUMN(AI$1)-COLUMN($A$1), FALSE), VLOOKUP($A72,raw[],COLUMN(AI$1)-COLUMN($A$1),FALSE))</f>
        <v>2.1297075559801354E-3</v>
      </c>
      <c r="AI72" s="72">
        <f>IF(VLOOKUP($A72,raw[],COLUMN(AJ$1)-COLUMN($A$1),FALSE)=0, VLOOKUP($D72, regions[], COLUMN(AJ$1)-COLUMN($A$1), FALSE), VLOOKUP($A72,raw[],COLUMN(AJ$1)-COLUMN($A$1),FALSE))</f>
        <v>2.3597552765719457E-3</v>
      </c>
      <c r="AJ72" s="72">
        <f>IF(VLOOKUP($A72,raw[],COLUMN(AK$1)-COLUMN($A$1),FALSE)=0, VLOOKUP($D72, regions[], COLUMN(AK$1)-COLUMN($A$1), FALSE), VLOOKUP($A72,raw[],COLUMN(AK$1)-COLUMN($A$1),FALSE))</f>
        <v>3.0462817687957611E-3</v>
      </c>
      <c r="AK72" s="72">
        <f>IF(VLOOKUP($A72,raw[],COLUMN(AL$1)-COLUMN($A$1),FALSE)=0, VLOOKUP($D72, regions[], COLUMN(AL$1)-COLUMN($A$1), FALSE), VLOOKUP($A72,raw[],COLUMN(AL$1)-COLUMN($A$1),FALSE))</f>
        <v>3.9158378288193249E-3</v>
      </c>
      <c r="AL72" s="72">
        <f>IF(VLOOKUP($A72,raw[],COLUMN(AM$1)-COLUMN($A$1),FALSE)=0, VLOOKUP($D72, regions[], COLUMN(AM$1)-COLUMN($A$1), FALSE), VLOOKUP($A72,raw[],COLUMN(AM$1)-COLUMN($A$1),FALSE))</f>
        <v>5.0560933686190791E-3</v>
      </c>
      <c r="AM72" s="72">
        <f>IF(VLOOKUP($A72,raw[],COLUMN(AN$1)-COLUMN($A$1),FALSE)=0, VLOOKUP($D72, regions[], COLUMN(AN$1)-COLUMN($A$1), FALSE), VLOOKUP($A72,raw[],COLUMN(AN$1)-COLUMN($A$1),FALSE))</f>
        <v>6.6609453681324626E-3</v>
      </c>
      <c r="AN72" s="72">
        <f>IF(VLOOKUP($A72,raw[],COLUMN(AO$1)-COLUMN($A$1),FALSE)=0, VLOOKUP($D72, regions[], COLUMN(AO$1)-COLUMN($A$1), FALSE), VLOOKUP($A72,raw[],COLUMN(AO$1)-COLUMN($A$1),FALSE))</f>
        <v>8.909147653546251E-3</v>
      </c>
      <c r="AO72" s="72">
        <f>IF(VLOOKUP($A72,raw[],COLUMN(AP$1)-COLUMN($A$1),FALSE)=0, VLOOKUP($D72, regions[], COLUMN(AP$1)-COLUMN($A$1), FALSE), VLOOKUP($A72,raw[],COLUMN(AP$1)-COLUMN($A$1),FALSE))</f>
        <v>1.2539945384315312E-2</v>
      </c>
      <c r="AP72" s="72">
        <f>IF(VLOOKUP($A72,raw[],COLUMN(AQ$1)-COLUMN($A$1),FALSE)=0, VLOOKUP($D72, regions[], COLUMN(AQ$1)-COLUMN($A$1), FALSE), VLOOKUP($A72,raw[],COLUMN(AQ$1)-COLUMN($A$1),FALSE))</f>
        <v>1.9163802476953571E-2</v>
      </c>
      <c r="AQ72" s="72">
        <f>IF(VLOOKUP($A72,raw[],COLUMN(AR$1)-COLUMN($A$1),FALSE)=0, VLOOKUP($D72, regions[], COLUMN(AR$1)-COLUMN($A$1), FALSE), VLOOKUP($A72,raw[],COLUMN(AR$1)-COLUMN($A$1),FALSE))</f>
        <v>3.0868734941865806E-2</v>
      </c>
      <c r="AR72" s="72">
        <f>IF(VLOOKUP($A72,raw[],COLUMN(AS$1)-COLUMN($A$1),FALSE)=0, VLOOKUP($D72, regions[], COLUMN(AS$1)-COLUMN($A$1), FALSE), VLOOKUP($A72,raw[],COLUMN(AS$1)-COLUMN($A$1),FALSE))</f>
        <v>4.7153798553579193E-2</v>
      </c>
      <c r="AS72" s="72">
        <f>IF(VLOOKUP($A72,raw[],COLUMN(AT$1)-COLUMN($A$1),FALSE)=0, VLOOKUP($D72, regions[], COLUMN(AT$1)-COLUMN($A$1), FALSE), VLOOKUP($A72,raw[],COLUMN(AT$1)-COLUMN($A$1),FALSE))</f>
        <v>6.8597014102592987E-2</v>
      </c>
      <c r="AT72" s="72">
        <f>IF(VLOOKUP($A72,raw[],COLUMN(AU$1)-COLUMN($A$1),FALSE)=0, VLOOKUP($D72, regions[], COLUMN(AU$1)-COLUMN($A$1), FALSE), VLOOKUP($A72,raw[],COLUMN(AU$1)-COLUMN($A$1),FALSE))</f>
        <v>9.4966000440041484E-2</v>
      </c>
      <c r="AU72" s="72">
        <f>IF(VLOOKUP($A72,raw[],COLUMN(AV$1)-COLUMN($A$1),FALSE)=0, VLOOKUP($D72, regions[], COLUMN(AV$1)-COLUMN($A$1), FALSE), VLOOKUP($A72,raw[],COLUMN(AV$1)-COLUMN($A$1),FALSE))</f>
        <v>0.1235420902524004</v>
      </c>
      <c r="AV72" s="72">
        <f>IF(VLOOKUP($A72,raw[],COLUMN(AW$1)-COLUMN($A$1),FALSE)=0, VLOOKUP($D72, regions[], COLUMN(AW$1)-COLUMN($A$1), FALSE), VLOOKUP($A72,raw[],COLUMN(AW$1)-COLUMN($A$1),FALSE))</f>
        <v>0.14990314803508961</v>
      </c>
      <c r="AW72" s="72">
        <f>IF(VLOOKUP($A72,raw[],COLUMN(AX$1)-COLUMN($A$1),FALSE)=0, VLOOKUP($D72, regions[], COLUMN(AX$1)-COLUMN($A$1), FALSE), VLOOKUP($A72,raw[],COLUMN(AX$1)-COLUMN($A$1),FALSE))</f>
        <v>0.16978520436301245</v>
      </c>
      <c r="AX72" s="72">
        <f>IF(VLOOKUP($A72,raw[],COLUMN(AY$1)-COLUMN($A$1),FALSE)=0, VLOOKUP($D72, regions[], COLUMN(AY$1)-COLUMN($A$1), FALSE), VLOOKUP($A72,raw[],COLUMN(AY$1)-COLUMN($A$1),FALSE))</f>
        <v>66.486999999999995</v>
      </c>
      <c r="AY72" t="str">
        <f t="shared" si="2"/>
        <v>Yes</v>
      </c>
    </row>
    <row r="73" spans="1:51" x14ac:dyDescent="0.25">
      <c r="A73" s="55" t="s">
        <v>366</v>
      </c>
      <c r="B73" s="56" t="s">
        <v>367</v>
      </c>
      <c r="C73" s="56">
        <v>454</v>
      </c>
      <c r="D73" s="56" t="s">
        <v>207</v>
      </c>
      <c r="E73" s="56" t="s">
        <v>255</v>
      </c>
      <c r="F73" s="56" t="s">
        <v>211</v>
      </c>
      <c r="G73" s="56" t="s">
        <v>198</v>
      </c>
      <c r="H73" s="74">
        <f>VLOOKUP(lmics[[#This Row],[setting]],raw[],8,FALSE)</f>
        <v>19129955</v>
      </c>
      <c r="I73" s="74">
        <f>VLOOKUP(lmics[[#This Row],[setting]],raw[],9,FALSE)</f>
        <v>655296.60852500016</v>
      </c>
      <c r="J73" s="67">
        <f>IF(VLOOKUP($A73,raw[],COLUMN(J$1),FALSE)=0, VLOOKUP($D73, regions[], COLUMN(J$1), FALSE), VLOOKUP($A73,raw[],COLUMN(J$1),FALSE))</f>
        <v>0.91400000000000003</v>
      </c>
      <c r="K73" s="77">
        <f>VLOOKUP($A73, raw[], 11, FALSE)</f>
        <v>0</v>
      </c>
      <c r="L73" s="77">
        <f>VLOOKUP($A73, raw[], 12, FALSE)</f>
        <v>0.9</v>
      </c>
      <c r="M73" s="77">
        <f>IF(VLOOKUP($A73,raw[],COLUMN(M$1),FALSE)=0, VLOOKUP($D73, regions[], COLUMN(M$1), FALSE), VLOOKUP($A73,raw[],COLUMN(M$1),FALSE))</f>
        <v>5.1399999999999994E-2</v>
      </c>
      <c r="N73" s="68">
        <f>IF(VLOOKUP($A73,raw[],COLUMN(N$1),FALSE)=0, VLOOKUP($D73, regions[], COLUMN(N$1), FALSE), VLOOKUP($A73,raw[],COLUMN(N$1),FALSE))</f>
        <v>0.30116230649348613</v>
      </c>
      <c r="O73" s="67">
        <f>IF(VLOOKUP($A73,raw[],COLUMN(O$1),FALSE)=0, VLOOKUP($D73, regions[], COLUMN(O$1), FALSE), VLOOKUP($A73,raw[],COLUMN(O$1),FALSE))</f>
        <v>0.38300000000000001</v>
      </c>
      <c r="P73" s="68">
        <f>IF(VLOOKUP($A73,raw[],COLUMN(P$1),FALSE)=0, VLOOKUP($D73, regions[], COLUMN(P$1), FALSE), VLOOKUP($A73,raw[],COLUMN(P$1),FALSE))</f>
        <v>4.8000000000000001E-2</v>
      </c>
      <c r="Q73" s="70">
        <f>IF(VLOOKUP($A73,raw[],COLUMN(Q$1),FALSE)=0, VLOOKUP($D73, regions[], COLUMN(Q$1), FALSE), VLOOKUP($A73,raw[],COLUMN(Q$1),FALSE))</f>
        <v>2.9153803369065852</v>
      </c>
      <c r="R73" s="70">
        <f>IF(VLOOKUP($A73,raw[],COLUMN(R$1),FALSE)=0, VLOOKUP($D73, regions[], COLUMN(R$1), FALSE), VLOOKUP($A73,raw[],COLUMN(R$1),FALSE))</f>
        <v>25.240760336906586</v>
      </c>
      <c r="S73" s="70">
        <f>IF(VLOOKUP($A73,raw[],COLUMN(S$1),FALSE)=0, VLOOKUP($D73, regions[], COLUMN(S$1), FALSE), VLOOKUP($A73,raw[],COLUMN(S$1),FALSE))</f>
        <v>55.702620018959102</v>
      </c>
      <c r="T73" s="70">
        <f>IF(VLOOKUP($A73,raw[],COLUMN(U$1)-COLUMN($A$1),FALSE)=0, VLOOKUP($D73, regions[], COLUMN(U$1)-COLUMN($A$1), FALSE), VLOOKUP($A73,raw[],COLUMN(U$1)-COLUMN($A$1),FALSE))</f>
        <v>56.348964579046552</v>
      </c>
      <c r="U73" s="70">
        <f>IF(VLOOKUP($A73,raw[],COLUMN(V$1)-COLUMN($A$1),FALSE)=0, VLOOKUP($D73, regions[], COLUMN(V$1)-COLUMN($A$1), FALSE), VLOOKUP($A73,raw[],COLUMN(V$1)-COLUMN($A$1),FALSE))</f>
        <v>56.052176819037925</v>
      </c>
      <c r="V73" s="70">
        <f>IF(VLOOKUP($A73,raw[],COLUMN(W$1)-COLUMN($A$1),FALSE)=0, VLOOKUP($D73, regions[], COLUMN(W$1)-COLUMN($A$1), FALSE), VLOOKUP($A73,raw[],COLUMN(W$1)-COLUMN($A$1),FALSE))</f>
        <v>2.3385836458086837</v>
      </c>
      <c r="W73" s="70">
        <f>IF(VLOOKUP($A73,raw[],COLUMN(X$1)-COLUMN($A$1),FALSE)=0, VLOOKUP($D73, regions[], COLUMN(X$1)-COLUMN($A$1), FALSE), VLOOKUP($A73,raw[],COLUMN(X$1)-COLUMN($A$1),FALSE))</f>
        <v>7.1685836458086838</v>
      </c>
      <c r="X73" s="70">
        <f>IF(VLOOKUP($A73,raw[],COLUMN(Y$1)-COLUMN($A$1),FALSE)=0, VLOOKUP($D73, regions[], COLUMN(Y$1)-COLUMN($A$1), FALSE), VLOOKUP($A73,raw[],COLUMN(Y$1)-COLUMN($A$1),FALSE))</f>
        <v>1.932081333795139</v>
      </c>
      <c r="Y73" s="70">
        <f>IF(VLOOKUP($A73,raw[],COLUMN(Z$1)-COLUMN($A$1),FALSE)=0, VLOOKUP($D73, regions[], COLUMN(Z$1)-COLUMN($A$1), FALSE), VLOOKUP($A73,raw[],COLUMN(Z$1)-COLUMN($A$1),FALSE))</f>
        <v>6.7620813337951393</v>
      </c>
      <c r="Z73" s="70">
        <f>IF(VLOOKUP($A73,raw[],COLUMN(AA$1)-COLUMN($A$1),FALSE)=0, VLOOKUP($D73, regions[], COLUMN(AA$1)-COLUMN($A$1), FALSE), VLOOKUP($A73,raw[],COLUMN(AA$1)-COLUMN($A$1),FALSE))</f>
        <v>6.7599854866505815</v>
      </c>
      <c r="AA73" s="70">
        <f>IF(VLOOKUP($A73,raw[],COLUMN(AB$1)-COLUMN($A$1),FALSE)=0, VLOOKUP($D73, regions[], COLUMN(AB$1)-COLUMN($A$1), FALSE), VLOOKUP($A73,raw[],COLUMN(AB$1)-COLUMN($A$1),FALSE))</f>
        <v>2.5422704836288839</v>
      </c>
      <c r="AB73" s="70">
        <f>IF(VLOOKUP($A73,raw[],COLUMN(AC$1)-COLUMN($A$1),FALSE)=0, VLOOKUP($D73, regions[], COLUMN(AC$1)-COLUMN($A$1), FALSE), VLOOKUP($A73,raw[],COLUMN(AC$1)-COLUMN($A$1),FALSE))</f>
        <v>7.3722704836288839</v>
      </c>
      <c r="AC73" s="72">
        <f>IF(VLOOKUP($A73,raw[],COLUMN(AD$1)-COLUMN($A$1),FALSE)=0, VLOOKUP($D73, regions[], COLUMN(AD$1)-COLUMN($A$1), FALSE), VLOOKUP($A73,raw[],COLUMN(AD$1)-COLUMN($A$1),FALSE))</f>
        <v>4.1335470000000062E-2</v>
      </c>
      <c r="AD73" s="72">
        <f>IF(VLOOKUP($A73,raw[],COLUMN(AE$1)-COLUMN($A$1),FALSE)=0, VLOOKUP($D73, regions[], COLUMN(AE$1)-COLUMN($A$1), FALSE), VLOOKUP($A73,raw[],COLUMN(AE$1)-COLUMN($A$1),FALSE))</f>
        <v>3.6814390118303196E-3</v>
      </c>
      <c r="AE73" s="72">
        <f>IF(VLOOKUP($A73,raw[],COLUMN(AF$1)-COLUMN($A$1),FALSE)=0, VLOOKUP($D73, regions[], COLUMN(AF$1)-COLUMN($A$1), FALSE), VLOOKUP($A73,raw[],COLUMN(AF$1)-COLUMN($A$1),FALSE))</f>
        <v>1.2469653854453703E-3</v>
      </c>
      <c r="AF73" s="72">
        <f>IF(VLOOKUP($A73,raw[],COLUMN(AG$1)-COLUMN($A$1),FALSE)=0, VLOOKUP($D73, regions[], COLUMN(AG$1)-COLUMN($A$1), FALSE), VLOOKUP($A73,raw[],COLUMN(AG$1)-COLUMN($A$1),FALSE))</f>
        <v>9.7263713769861254E-4</v>
      </c>
      <c r="AG73" s="72">
        <f>IF(VLOOKUP($A73,raw[],COLUMN(AH$1)-COLUMN($A$1),FALSE)=0, VLOOKUP($D73, regions[], COLUMN(AH$1)-COLUMN($A$1), FALSE), VLOOKUP($A73,raw[],COLUMN(AH$1)-COLUMN($A$1),FALSE))</f>
        <v>1.5993880527014931E-3</v>
      </c>
      <c r="AH73" s="72">
        <f>IF(VLOOKUP($A73,raw[],COLUMN(AI$1)-COLUMN($A$1),FALSE)=0, VLOOKUP($D73, regions[], COLUMN(AI$1)-COLUMN($A$1), FALSE), VLOOKUP($A73,raw[],COLUMN(AI$1)-COLUMN($A$1),FALSE))</f>
        <v>2.5275224475715141E-3</v>
      </c>
      <c r="AI73" s="72">
        <f>IF(VLOOKUP($A73,raw[],COLUMN(AJ$1)-COLUMN($A$1),FALSE)=0, VLOOKUP($D73, regions[], COLUMN(AJ$1)-COLUMN($A$1), FALSE), VLOOKUP($A73,raw[],COLUMN(AJ$1)-COLUMN($A$1),FALSE))</f>
        <v>3.4714392776732262E-3</v>
      </c>
      <c r="AJ73" s="72">
        <f>IF(VLOOKUP($A73,raw[],COLUMN(AK$1)-COLUMN($A$1),FALSE)=0, VLOOKUP($D73, regions[], COLUMN(AK$1)-COLUMN($A$1), FALSE), VLOOKUP($A73,raw[],COLUMN(AK$1)-COLUMN($A$1),FALSE))</f>
        <v>4.5261698853361057E-3</v>
      </c>
      <c r="AK73" s="72">
        <f>IF(VLOOKUP($A73,raw[],COLUMN(AL$1)-COLUMN($A$1),FALSE)=0, VLOOKUP($D73, regions[], COLUMN(AL$1)-COLUMN($A$1), FALSE), VLOOKUP($A73,raw[],COLUMN(AL$1)-COLUMN($A$1),FALSE))</f>
        <v>6.0382154238977888E-3</v>
      </c>
      <c r="AL73" s="72">
        <f>IF(VLOOKUP($A73,raw[],COLUMN(AM$1)-COLUMN($A$1),FALSE)=0, VLOOKUP($D73, regions[], COLUMN(AM$1)-COLUMN($A$1), FALSE), VLOOKUP($A73,raw[],COLUMN(AM$1)-COLUMN($A$1),FALSE))</f>
        <v>7.4980385986603525E-3</v>
      </c>
      <c r="AM73" s="72">
        <f>IF(VLOOKUP($A73,raw[],COLUMN(AN$1)-COLUMN($A$1),FALSE)=0, VLOOKUP($D73, regions[], COLUMN(AN$1)-COLUMN($A$1), FALSE), VLOOKUP($A73,raw[],COLUMN(AN$1)-COLUMN($A$1),FALSE))</f>
        <v>9.2345457449363785E-3</v>
      </c>
      <c r="AN73" s="72">
        <f>IF(VLOOKUP($A73,raw[],COLUMN(AO$1)-COLUMN($A$1),FALSE)=0, VLOOKUP($D73, regions[], COLUMN(AO$1)-COLUMN($A$1), FALSE), VLOOKUP($A73,raw[],COLUMN(AO$1)-COLUMN($A$1),FALSE))</f>
        <v>1.2100708896732088E-2</v>
      </c>
      <c r="AO73" s="72">
        <f>IF(VLOOKUP($A73,raw[],COLUMN(AP$1)-COLUMN($A$1),FALSE)=0, VLOOKUP($D73, regions[], COLUMN(AP$1)-COLUMN($A$1), FALSE), VLOOKUP($A73,raw[],COLUMN(AP$1)-COLUMN($A$1),FALSE))</f>
        <v>1.5460726609726467E-2</v>
      </c>
      <c r="AP73" s="72">
        <f>IF(VLOOKUP($A73,raw[],COLUMN(AQ$1)-COLUMN($A$1),FALSE)=0, VLOOKUP($D73, regions[], COLUMN(AQ$1)-COLUMN($A$1), FALSE), VLOOKUP($A73,raw[],COLUMN(AQ$1)-COLUMN($A$1),FALSE))</f>
        <v>2.1799763345410259E-2</v>
      </c>
      <c r="AQ73" s="72">
        <f>IF(VLOOKUP($A73,raw[],COLUMN(AR$1)-COLUMN($A$1),FALSE)=0, VLOOKUP($D73, regions[], COLUMN(AR$1)-COLUMN($A$1), FALSE), VLOOKUP($A73,raw[],COLUMN(AR$1)-COLUMN($A$1),FALSE))</f>
        <v>3.2008626279088702E-2</v>
      </c>
      <c r="AR73" s="72">
        <f>IF(VLOOKUP($A73,raw[],COLUMN(AS$1)-COLUMN($A$1),FALSE)=0, VLOOKUP($D73, regions[], COLUMN(AS$1)-COLUMN($A$1), FALSE), VLOOKUP($A73,raw[],COLUMN(AS$1)-COLUMN($A$1),FALSE))</f>
        <v>4.7779408597282184E-2</v>
      </c>
      <c r="AS73" s="72">
        <f>IF(VLOOKUP($A73,raw[],COLUMN(AT$1)-COLUMN($A$1),FALSE)=0, VLOOKUP($D73, regions[], COLUMN(AT$1)-COLUMN($A$1), FALSE), VLOOKUP($A73,raw[],COLUMN(AT$1)-COLUMN($A$1),FALSE))</f>
        <v>7.1035709828626961E-2</v>
      </c>
      <c r="AT73" s="72">
        <f>IF(VLOOKUP($A73,raw[],COLUMN(AU$1)-COLUMN($A$1),FALSE)=0, VLOOKUP($D73, regions[], COLUMN(AU$1)-COLUMN($A$1), FALSE), VLOOKUP($A73,raw[],COLUMN(AU$1)-COLUMN($A$1),FALSE))</f>
        <v>0.10510650114198765</v>
      </c>
      <c r="AU73" s="72">
        <f>IF(VLOOKUP($A73,raw[],COLUMN(AV$1)-COLUMN($A$1),FALSE)=0, VLOOKUP($D73, regions[], COLUMN(AV$1)-COLUMN($A$1), FALSE), VLOOKUP($A73,raw[],COLUMN(AV$1)-COLUMN($A$1),FALSE))</f>
        <v>0.1447171061326458</v>
      </c>
      <c r="AV73" s="72">
        <f>IF(VLOOKUP($A73,raw[],COLUMN(AW$1)-COLUMN($A$1),FALSE)=0, VLOOKUP($D73, regions[], COLUMN(AW$1)-COLUMN($A$1), FALSE), VLOOKUP($A73,raw[],COLUMN(AW$1)-COLUMN($A$1),FALSE))</f>
        <v>0.17720147949830714</v>
      </c>
      <c r="AW73" s="72">
        <f>IF(VLOOKUP($A73,raw[],COLUMN(AX$1)-COLUMN($A$1),FALSE)=0, VLOOKUP($D73, regions[], COLUMN(AX$1)-COLUMN($A$1), FALSE), VLOOKUP($A73,raw[],COLUMN(AX$1)-COLUMN($A$1),FALSE))</f>
        <v>0.18855382590770395</v>
      </c>
      <c r="AX73" s="72">
        <f>IF(VLOOKUP($A73,raw[],COLUMN(AY$1)-COLUMN($A$1),FALSE)=0, VLOOKUP($D73, regions[], COLUMN(AY$1)-COLUMN($A$1), FALSE), VLOOKUP($A73,raw[],COLUMN(AY$1)-COLUMN($A$1),FALSE))</f>
        <v>63.432000000000002</v>
      </c>
      <c r="AY73" t="str">
        <f t="shared" si="2"/>
        <v>Yes</v>
      </c>
    </row>
    <row r="74" spans="1:51" x14ac:dyDescent="0.25">
      <c r="A74" s="53" t="s">
        <v>368</v>
      </c>
      <c r="B74" s="54" t="s">
        <v>369</v>
      </c>
      <c r="C74" s="54">
        <v>458</v>
      </c>
      <c r="D74" s="54" t="s">
        <v>260</v>
      </c>
      <c r="E74" s="54" t="s">
        <v>261</v>
      </c>
      <c r="F74" s="54" t="s">
        <v>262</v>
      </c>
      <c r="G74" s="54" t="s">
        <v>204</v>
      </c>
      <c r="H74" s="73">
        <f>VLOOKUP(lmics[[#This Row],[setting]],raw[],8,FALSE)</f>
        <v>32365998</v>
      </c>
      <c r="I74" s="73">
        <f>VLOOKUP(lmics[[#This Row],[setting]],raw[],9,FALSE)</f>
        <v>544913.94232799998</v>
      </c>
      <c r="J74" s="67">
        <f>IF(VLOOKUP($A74,raw[],COLUMN(J$1),FALSE)=0, VLOOKUP($D74, regions[], COLUMN(J$1), FALSE), VLOOKUP($A74,raw[],COLUMN(J$1),FALSE))</f>
        <v>0.9890000000000001</v>
      </c>
      <c r="K74" s="77">
        <f>VLOOKUP($A74, raw[], 11, FALSE)</f>
        <v>0.99</v>
      </c>
      <c r="L74" s="77">
        <f>VLOOKUP($A74, raw[], 12, FALSE)</f>
        <v>0.99</v>
      </c>
      <c r="M74" s="77">
        <f>IF(VLOOKUP($A74,raw[],COLUMN(M$1),FALSE)=0, VLOOKUP($D74, regions[], COLUMN(M$1), FALSE), VLOOKUP($A74,raw[],COLUMN(M$1),FALSE))</f>
        <v>1.21E-2</v>
      </c>
      <c r="N74" s="68">
        <f>IF(VLOOKUP($A74,raw[],COLUMN(N$1),FALSE)=0, VLOOKUP($D74, regions[], COLUMN(N$1), FALSE), VLOOKUP($A74,raw[],COLUMN(N$1),FALSE))</f>
        <v>0.30970485984598067</v>
      </c>
      <c r="O74" s="67">
        <f>IF(VLOOKUP($A74,raw[],COLUMN(O$1),FALSE)=0, VLOOKUP($D74, regions[], COLUMN(O$1), FALSE), VLOOKUP($A74,raw[],COLUMN(O$1),FALSE))</f>
        <v>0.8</v>
      </c>
      <c r="P74" s="68">
        <f>IF(VLOOKUP($A74,raw[],COLUMN(P$1),FALSE)=0, VLOOKUP($D74, regions[], COLUMN(P$1), FALSE), VLOOKUP($A74,raw[],COLUMN(P$1),FALSE))</f>
        <v>0.17499999999999999</v>
      </c>
      <c r="Q74" s="70">
        <f>IF(VLOOKUP($A74,raw[],COLUMN(Q$1),FALSE)=0, VLOOKUP($D74, regions[], COLUMN(Q$1), FALSE), VLOOKUP($A74,raw[],COLUMN(Q$1),FALSE))</f>
        <v>12.391468428203099</v>
      </c>
      <c r="R74" s="70">
        <f>IF(VLOOKUP($A74,raw[],COLUMN(R$1),FALSE)=0, VLOOKUP($D74, regions[], COLUMN(R$1), FALSE), VLOOKUP($A74,raw[],COLUMN(R$1),FALSE))</f>
        <v>34.7168484282031</v>
      </c>
      <c r="S74" s="70">
        <f>IF(VLOOKUP($A74,raw[],COLUMN(S$1),FALSE)=0, VLOOKUP($D74, regions[], COLUMN(S$1), FALSE), VLOOKUP($A74,raw[],COLUMN(S$1),FALSE))</f>
        <v>104.73713095595252</v>
      </c>
      <c r="T74" s="70">
        <f>IF(VLOOKUP($A74,raw[],COLUMN(U$1)-COLUMN($A$1),FALSE)=0, VLOOKUP($D74, regions[], COLUMN(U$1)-COLUMN($A$1), FALSE), VLOOKUP($A74,raw[],COLUMN(U$1)-COLUMN($A$1),FALSE))</f>
        <v>125.97225199495466</v>
      </c>
      <c r="U74" s="70">
        <f>IF(VLOOKUP($A74,raw[],COLUMN(V$1)-COLUMN($A$1),FALSE)=0, VLOOKUP($D74, regions[], COLUMN(V$1)-COLUMN($A$1), FALSE), VLOOKUP($A74,raw[],COLUMN(V$1)-COLUMN($A$1),FALSE))</f>
        <v>116.22153326712187</v>
      </c>
      <c r="V74" s="70">
        <f>IF(VLOOKUP($A74,raw[],COLUMN(W$1)-COLUMN($A$1),FALSE)=0, VLOOKUP($D74, regions[], COLUMN(W$1)-COLUMN($A$1), FALSE), VLOOKUP($A74,raw[],COLUMN(W$1)-COLUMN($A$1),FALSE))</f>
        <v>5.5328972146113644</v>
      </c>
      <c r="W74" s="70">
        <f>IF(VLOOKUP($A74,raw[],COLUMN(X$1)-COLUMN($A$1),FALSE)=0, VLOOKUP($D74, regions[], COLUMN(X$1)-COLUMN($A$1), FALSE), VLOOKUP($A74,raw[],COLUMN(X$1)-COLUMN($A$1),FALSE))</f>
        <v>6.1628972146113643</v>
      </c>
      <c r="X74" s="70">
        <f>IF(VLOOKUP($A74,raw[],COLUMN(Y$1)-COLUMN($A$1),FALSE)=0, VLOOKUP($D74, regions[], COLUMN(Y$1)-COLUMN($A$1), FALSE), VLOOKUP($A74,raw[],COLUMN(Y$1)-COLUMN($A$1),FALSE))</f>
        <v>5.0992926973020962</v>
      </c>
      <c r="Y74" s="70">
        <f>IF(VLOOKUP($A74,raw[],COLUMN(Z$1)-COLUMN($A$1),FALSE)=0, VLOOKUP($D74, regions[], COLUMN(Z$1)-COLUMN($A$1), FALSE), VLOOKUP($A74,raw[],COLUMN(Z$1)-COLUMN($A$1),FALSE))</f>
        <v>5.7292926973020961</v>
      </c>
      <c r="Z74" s="70">
        <f>IF(VLOOKUP($A74,raw[],COLUMN(AA$1)-COLUMN($A$1),FALSE)=0, VLOOKUP($D74, regions[], COLUMN(AA$1)-COLUMN($A$1), FALSE), VLOOKUP($A74,raw[],COLUMN(AA$1)-COLUMN($A$1),FALSE))</f>
        <v>5.7164276185117853</v>
      </c>
      <c r="AA74" s="70">
        <f>IF(VLOOKUP($A74,raw[],COLUMN(AB$1)-COLUMN($A$1),FALSE)=0, VLOOKUP($D74, regions[], COLUMN(AB$1)-COLUMN($A$1), FALSE), VLOOKUP($A74,raw[],COLUMN(AB$1)-COLUMN($A$1),FALSE))</f>
        <v>5.7462465777978657</v>
      </c>
      <c r="AB74" s="70">
        <f>IF(VLOOKUP($A74,raw[],COLUMN(AC$1)-COLUMN($A$1),FALSE)=0, VLOOKUP($D74, regions[], COLUMN(AC$1)-COLUMN($A$1), FALSE), VLOOKUP($A74,raw[],COLUMN(AC$1)-COLUMN($A$1),FALSE))</f>
        <v>6.3762465777978656</v>
      </c>
      <c r="AC74" s="72">
        <f>IF(VLOOKUP($A74,raw[],COLUMN(AD$1)-COLUMN($A$1),FALSE)=0, VLOOKUP($D74, regions[], COLUMN(AD$1)-COLUMN($A$1), FALSE), VLOOKUP($A74,raw[],COLUMN(AD$1)-COLUMN($A$1),FALSE))</f>
        <v>5.8979700000000596E-3</v>
      </c>
      <c r="AD74" s="72">
        <f>IF(VLOOKUP($A74,raw[],COLUMN(AE$1)-COLUMN($A$1),FALSE)=0, VLOOKUP($D74, regions[], COLUMN(AE$1)-COLUMN($A$1), FALSE), VLOOKUP($A74,raw[],COLUMN(AE$1)-COLUMN($A$1),FALSE))</f>
        <v>2.6909712678084167E-4</v>
      </c>
      <c r="AE74" s="72">
        <f>IF(VLOOKUP($A74,raw[],COLUMN(AF$1)-COLUMN($A$1),FALSE)=0, VLOOKUP($D74, regions[], COLUMN(AF$1)-COLUMN($A$1), FALSE), VLOOKUP($A74,raw[],COLUMN(AF$1)-COLUMN($A$1),FALSE))</f>
        <v>1.7400849291871552E-4</v>
      </c>
      <c r="AF74" s="72">
        <f>IF(VLOOKUP($A74,raw[],COLUMN(AG$1)-COLUMN($A$1),FALSE)=0, VLOOKUP($D74, regions[], COLUMN(AG$1)-COLUMN($A$1), FALSE), VLOOKUP($A74,raw[],COLUMN(AG$1)-COLUMN($A$1),FALSE))</f>
        <v>2.4153772101562508E-4</v>
      </c>
      <c r="AG74" s="72">
        <f>IF(VLOOKUP($A74,raw[],COLUMN(AH$1)-COLUMN($A$1),FALSE)=0, VLOOKUP($D74, regions[], COLUMN(AH$1)-COLUMN($A$1), FALSE), VLOOKUP($A74,raw[],COLUMN(AH$1)-COLUMN($A$1),FALSE))</f>
        <v>5.646226668990904E-4</v>
      </c>
      <c r="AH74" s="72">
        <f>IF(VLOOKUP($A74,raw[],COLUMN(AI$1)-COLUMN($A$1),FALSE)=0, VLOOKUP($D74, regions[], COLUMN(AI$1)-COLUMN($A$1), FALSE), VLOOKUP($A74,raw[],COLUMN(AI$1)-COLUMN($A$1),FALSE))</f>
        <v>5.9202841739643076E-4</v>
      </c>
      <c r="AI74" s="72">
        <f>IF(VLOOKUP($A74,raw[],COLUMN(AJ$1)-COLUMN($A$1),FALSE)=0, VLOOKUP($D74, regions[], COLUMN(AJ$1)-COLUMN($A$1), FALSE), VLOOKUP($A74,raw[],COLUMN(AJ$1)-COLUMN($A$1),FALSE))</f>
        <v>6.2242664157026385E-4</v>
      </c>
      <c r="AJ74" s="72">
        <f>IF(VLOOKUP($A74,raw[],COLUMN(AK$1)-COLUMN($A$1),FALSE)=0, VLOOKUP($D74, regions[], COLUMN(AK$1)-COLUMN($A$1), FALSE), VLOOKUP($A74,raw[],COLUMN(AK$1)-COLUMN($A$1),FALSE))</f>
        <v>1.0762478651970475E-3</v>
      </c>
      <c r="AK74" s="72">
        <f>IF(VLOOKUP($A74,raw[],COLUMN(AL$1)-COLUMN($A$1),FALSE)=0, VLOOKUP($D74, regions[], COLUMN(AL$1)-COLUMN($A$1), FALSE), VLOOKUP($A74,raw[],COLUMN(AL$1)-COLUMN($A$1),FALSE))</f>
        <v>1.6023413600468642E-3</v>
      </c>
      <c r="AL74" s="72">
        <f>IF(VLOOKUP($A74,raw[],COLUMN(AM$1)-COLUMN($A$1),FALSE)=0, VLOOKUP($D74, regions[], COLUMN(AM$1)-COLUMN($A$1), FALSE), VLOOKUP($A74,raw[],COLUMN(AM$1)-COLUMN($A$1),FALSE))</f>
        <v>2.3803138200106798E-3</v>
      </c>
      <c r="AM74" s="72">
        <f>IF(VLOOKUP($A74,raw[],COLUMN(AN$1)-COLUMN($A$1),FALSE)=0, VLOOKUP($D74, regions[], COLUMN(AN$1)-COLUMN($A$1), FALSE), VLOOKUP($A74,raw[],COLUMN(AN$1)-COLUMN($A$1),FALSE))</f>
        <v>4.156809154903132E-3</v>
      </c>
      <c r="AN74" s="72">
        <f>IF(VLOOKUP($A74,raw[],COLUMN(AO$1)-COLUMN($A$1),FALSE)=0, VLOOKUP($D74, regions[], COLUMN(AO$1)-COLUMN($A$1), FALSE), VLOOKUP($A74,raw[],COLUMN(AO$1)-COLUMN($A$1),FALSE))</f>
        <v>6.3012350789853847E-3</v>
      </c>
      <c r="AO74" s="72">
        <f>IF(VLOOKUP($A74,raw[],COLUMN(AP$1)-COLUMN($A$1),FALSE)=0, VLOOKUP($D74, regions[], COLUMN(AP$1)-COLUMN($A$1), FALSE), VLOOKUP($A74,raw[],COLUMN(AP$1)-COLUMN($A$1),FALSE))</f>
        <v>9.1705967903937639E-3</v>
      </c>
      <c r="AP74" s="72">
        <f>IF(VLOOKUP($A74,raw[],COLUMN(AQ$1)-COLUMN($A$1),FALSE)=0, VLOOKUP($D74, regions[], COLUMN(AQ$1)-COLUMN($A$1), FALSE), VLOOKUP($A74,raw[],COLUMN(AQ$1)-COLUMN($A$1),FALSE))</f>
        <v>1.2626792371675308E-2</v>
      </c>
      <c r="AQ74" s="72">
        <f>IF(VLOOKUP($A74,raw[],COLUMN(AR$1)-COLUMN($A$1),FALSE)=0, VLOOKUP($D74, regions[], COLUMN(AR$1)-COLUMN($A$1), FALSE), VLOOKUP($A74,raw[],COLUMN(AR$1)-COLUMN($A$1),FALSE))</f>
        <v>2.027641545913441E-2</v>
      </c>
      <c r="AR74" s="72">
        <f>IF(VLOOKUP($A74,raw[],COLUMN(AS$1)-COLUMN($A$1),FALSE)=0, VLOOKUP($D74, regions[], COLUMN(AS$1)-COLUMN($A$1), FALSE), VLOOKUP($A74,raw[],COLUMN(AS$1)-COLUMN($A$1),FALSE))</f>
        <v>3.4072207188760729E-2</v>
      </c>
      <c r="AS74" s="72">
        <f>IF(VLOOKUP($A74,raw[],COLUMN(AT$1)-COLUMN($A$1),FALSE)=0, VLOOKUP($D74, regions[], COLUMN(AT$1)-COLUMN($A$1), FALSE), VLOOKUP($A74,raw[],COLUMN(AT$1)-COLUMN($A$1),FALSE))</f>
        <v>4.8375820325353806E-2</v>
      </c>
      <c r="AT74" s="72">
        <f>IF(VLOOKUP($A74,raw[],COLUMN(AU$1)-COLUMN($A$1),FALSE)=0, VLOOKUP($D74, regions[], COLUMN(AU$1)-COLUMN($A$1), FALSE), VLOOKUP($A74,raw[],COLUMN(AU$1)-COLUMN($A$1),FALSE))</f>
        <v>7.0341666492662908E-2</v>
      </c>
      <c r="AU74" s="72">
        <f>IF(VLOOKUP($A74,raw[],COLUMN(AV$1)-COLUMN($A$1),FALSE)=0, VLOOKUP($D74, regions[], COLUMN(AV$1)-COLUMN($A$1), FALSE), VLOOKUP($A74,raw[],COLUMN(AV$1)-COLUMN($A$1),FALSE))</f>
        <v>9.6056109352087651E-2</v>
      </c>
      <c r="AV74" s="72">
        <f>IF(VLOOKUP($A74,raw[],COLUMN(AW$1)-COLUMN($A$1),FALSE)=0, VLOOKUP($D74, regions[], COLUMN(AW$1)-COLUMN($A$1), FALSE), VLOOKUP($A74,raw[],COLUMN(AW$1)-COLUMN($A$1),FALSE))</f>
        <v>0.1214232580964457</v>
      </c>
      <c r="AW74" s="72">
        <f>IF(VLOOKUP($A74,raw[],COLUMN(AX$1)-COLUMN($A$1),FALSE)=0, VLOOKUP($D74, regions[], COLUMN(AX$1)-COLUMN($A$1), FALSE), VLOOKUP($A74,raw[],COLUMN(AX$1)-COLUMN($A$1),FALSE))</f>
        <v>0.14118617022765484</v>
      </c>
      <c r="AX74" s="72">
        <f>IF(VLOOKUP($A74,raw[],COLUMN(AY$1)-COLUMN($A$1),FALSE)=0, VLOOKUP($D74, regions[], COLUMN(AY$1)-COLUMN($A$1), FALSE), VLOOKUP($A74,raw[],COLUMN(AY$1)-COLUMN($A$1),FALSE))</f>
        <v>75.927000000000007</v>
      </c>
      <c r="AY74" t="str">
        <f t="shared" si="2"/>
        <v>No</v>
      </c>
    </row>
    <row r="75" spans="1:51" x14ac:dyDescent="0.25">
      <c r="A75" s="55" t="s">
        <v>370</v>
      </c>
      <c r="B75" s="56" t="s">
        <v>371</v>
      </c>
      <c r="C75" s="56">
        <v>462</v>
      </c>
      <c r="D75" s="56" t="s">
        <v>225</v>
      </c>
      <c r="E75" s="56" t="s">
        <v>261</v>
      </c>
      <c r="F75" s="56" t="s">
        <v>262</v>
      </c>
      <c r="G75" s="56" t="s">
        <v>204</v>
      </c>
      <c r="H75" s="74">
        <f>VLOOKUP(lmics[[#This Row],[setting]],raw[],8,FALSE)</f>
        <v>540542</v>
      </c>
      <c r="I75" s="74">
        <f>VLOOKUP(lmics[[#This Row],[setting]],raw[],9,FALSE)</f>
        <v>7784.3453420000005</v>
      </c>
      <c r="J75" s="67">
        <f>IF(VLOOKUP($A75,raw[],COLUMN(J$1),FALSE)=0, VLOOKUP($D75, regions[], COLUMN(J$1), FALSE), VLOOKUP($A75,raw[],COLUMN(J$1),FALSE))</f>
        <v>0.94499999999999995</v>
      </c>
      <c r="K75" s="77">
        <f>VLOOKUP($A75, raw[], 11, FALSE)</f>
        <v>0.99</v>
      </c>
      <c r="L75" s="77">
        <f>VLOOKUP($A75, raw[], 12, FALSE)</f>
        <v>0.99</v>
      </c>
      <c r="M75" s="77">
        <f>IF(VLOOKUP($A75,raw[],COLUMN(M$1),FALSE)=0, VLOOKUP($D75, regions[], COLUMN(M$1), FALSE), VLOOKUP($A75,raw[],COLUMN(M$1),FALSE))</f>
        <v>2.2499999999999999E-2</v>
      </c>
      <c r="N75" s="68">
        <f>IF(VLOOKUP($A75,raw[],COLUMN(N$1),FALSE)=0, VLOOKUP($D75, regions[], COLUMN(N$1), FALSE), VLOOKUP($A75,raw[],COLUMN(N$1),FALSE))</f>
        <v>0.31966093082954322</v>
      </c>
      <c r="O75" s="67">
        <f>IF(VLOOKUP($A75,raw[],COLUMN(O$1),FALSE)=0, VLOOKUP($D75, regions[], COLUMN(O$1), FALSE), VLOOKUP($A75,raw[],COLUMN(O$1),FALSE))</f>
        <v>0.8</v>
      </c>
      <c r="P75" s="68">
        <f>IF(VLOOKUP($A75,raw[],COLUMN(P$1),FALSE)=0, VLOOKUP($D75, regions[], COLUMN(P$1), FALSE), VLOOKUP($A75,raw[],COLUMN(P$1),FALSE))</f>
        <v>0.17499999999999999</v>
      </c>
      <c r="Q75" s="70">
        <f>IF(VLOOKUP($A75,raw[],COLUMN(Q$1),FALSE)=0, VLOOKUP($D75, regions[], COLUMN(Q$1), FALSE), VLOOKUP($A75,raw[],COLUMN(Q$1),FALSE))</f>
        <v>4.1911279395996512</v>
      </c>
      <c r="R75" s="70">
        <f>IF(VLOOKUP($A75,raw[],COLUMN(R$1),FALSE)=0, VLOOKUP($D75, regions[], COLUMN(R$1), FALSE), VLOOKUP($A75,raw[],COLUMN(R$1),FALSE))</f>
        <v>26.516507939599656</v>
      </c>
      <c r="S75" s="70">
        <f>IF(VLOOKUP($A75,raw[],COLUMN(S$1),FALSE)=0, VLOOKUP($D75, regions[], COLUMN(S$1), FALSE), VLOOKUP($A75,raw[],COLUMN(S$1),FALSE))</f>
        <v>60.98336822040153</v>
      </c>
      <c r="T75" s="70">
        <f>IF(VLOOKUP($A75,raw[],COLUMN(U$1)-COLUMN($A$1),FALSE)=0, VLOOKUP($D75, regions[], COLUMN(U$1)-COLUMN($A$1), FALSE), VLOOKUP($A75,raw[],COLUMN(U$1)-COLUMN($A$1),FALSE))</f>
        <v>63.714175612771484</v>
      </c>
      <c r="U75" s="70">
        <f>IF(VLOOKUP($A75,raw[],COLUMN(V$1)-COLUMN($A$1),FALSE)=0, VLOOKUP($D75, regions[], COLUMN(V$1)-COLUMN($A$1), FALSE), VLOOKUP($A75,raw[],COLUMN(V$1)-COLUMN($A$1),FALSE))</f>
        <v>62.460246580109981</v>
      </c>
      <c r="V75" s="70">
        <f>IF(VLOOKUP($A75,raw[],COLUMN(W$1)-COLUMN($A$1),FALSE)=0, VLOOKUP($D75, regions[], COLUMN(W$1)-COLUMN($A$1), FALSE), VLOOKUP($A75,raw[],COLUMN(W$1)-COLUMN($A$1),FALSE))</f>
        <v>12.459523749809936</v>
      </c>
      <c r="W75" s="70">
        <f>IF(VLOOKUP($A75,raw[],COLUMN(X$1)-COLUMN($A$1),FALSE)=0, VLOOKUP($D75, regions[], COLUMN(X$1)-COLUMN($A$1), FALSE), VLOOKUP($A75,raw[],COLUMN(X$1)-COLUMN($A$1),FALSE))</f>
        <v>13.089523749809937</v>
      </c>
      <c r="X75" s="70">
        <f>IF(VLOOKUP($A75,raw[],COLUMN(Y$1)-COLUMN($A$1),FALSE)=0, VLOOKUP($D75, regions[], COLUMN(Y$1)-COLUMN($A$1), FALSE), VLOOKUP($A75,raw[],COLUMN(Y$1)-COLUMN($A$1),FALSE))</f>
        <v>12.03634762288047</v>
      </c>
      <c r="Y75" s="70">
        <f>IF(VLOOKUP($A75,raw[],COLUMN(Z$1)-COLUMN($A$1),FALSE)=0, VLOOKUP($D75, regions[], COLUMN(Z$1)-COLUMN($A$1), FALSE), VLOOKUP($A75,raw[],COLUMN(Z$1)-COLUMN($A$1),FALSE))</f>
        <v>12.666347622880471</v>
      </c>
      <c r="Z75" s="70">
        <f>IF(VLOOKUP($A75,raw[],COLUMN(AA$1)-COLUMN($A$1),FALSE)=0, VLOOKUP($D75, regions[], COLUMN(AA$1)-COLUMN($A$1), FALSE), VLOOKUP($A75,raw[],COLUMN(AA$1)-COLUMN($A$1),FALSE))</f>
        <v>12.657353124190927</v>
      </c>
      <c r="AA75" s="70">
        <f>IF(VLOOKUP($A75,raw[],COLUMN(AB$1)-COLUMN($A$1),FALSE)=0, VLOOKUP($D75, regions[], COLUMN(AB$1)-COLUMN($A$1), FALSE), VLOOKUP($A75,raw[],COLUMN(AB$1)-COLUMN($A$1),FALSE))</f>
        <v>12.669155165121898</v>
      </c>
      <c r="AB75" s="70">
        <f>IF(VLOOKUP($A75,raw[],COLUMN(AC$1)-COLUMN($A$1),FALSE)=0, VLOOKUP($D75, regions[], COLUMN(AC$1)-COLUMN($A$1), FALSE), VLOOKUP($A75,raw[],COLUMN(AC$1)-COLUMN($A$1),FALSE))</f>
        <v>13.299155165121899</v>
      </c>
      <c r="AC75" s="72">
        <f>IF(VLOOKUP($A75,raw[],COLUMN(AD$1)-COLUMN($A$1),FALSE)=0, VLOOKUP($D75, regions[], COLUMN(AD$1)-COLUMN($A$1), FALSE), VLOOKUP($A75,raw[],COLUMN(AD$1)-COLUMN($A$1),FALSE))</f>
        <v>6.7649199999999833E-3</v>
      </c>
      <c r="AD75" s="72">
        <f>IF(VLOOKUP($A75,raw[],COLUMN(AE$1)-COLUMN($A$1),FALSE)=0, VLOOKUP($D75, regions[], COLUMN(AE$1)-COLUMN($A$1), FALSE), VLOOKUP($A75,raw[],COLUMN(AE$1)-COLUMN($A$1),FALSE))</f>
        <v>2.9123014865724918E-4</v>
      </c>
      <c r="AE75" s="72">
        <f>IF(VLOOKUP($A75,raw[],COLUMN(AF$1)-COLUMN($A$1),FALSE)=0, VLOOKUP($D75, regions[], COLUMN(AF$1)-COLUMN($A$1), FALSE), VLOOKUP($A75,raw[],COLUMN(AF$1)-COLUMN($A$1),FALSE))</f>
        <v>2.5260512771759484E-4</v>
      </c>
      <c r="AF75" s="72">
        <f>IF(VLOOKUP($A75,raw[],COLUMN(AG$1)-COLUMN($A$1),FALSE)=0, VLOOKUP($D75, regions[], COLUMN(AG$1)-COLUMN($A$1), FALSE), VLOOKUP($A75,raw[],COLUMN(AG$1)-COLUMN($A$1),FALSE))</f>
        <v>3.3917391387631318E-4</v>
      </c>
      <c r="AG75" s="72">
        <f>IF(VLOOKUP($A75,raw[],COLUMN(AH$1)-COLUMN($A$1),FALSE)=0, VLOOKUP($D75, regions[], COLUMN(AH$1)-COLUMN($A$1), FALSE), VLOOKUP($A75,raw[],COLUMN(AH$1)-COLUMN($A$1),FALSE))</f>
        <v>3.4635377062271487E-4</v>
      </c>
      <c r="AH75" s="72">
        <f>IF(VLOOKUP($A75,raw[],COLUMN(AI$1)-COLUMN($A$1),FALSE)=0, VLOOKUP($D75, regions[], COLUMN(AI$1)-COLUMN($A$1), FALSE), VLOOKUP($A75,raw[],COLUMN(AI$1)-COLUMN($A$1),FALSE))</f>
        <v>5.0681376719770885E-4</v>
      </c>
      <c r="AI75" s="72">
        <f>IF(VLOOKUP($A75,raw[],COLUMN(AJ$1)-COLUMN($A$1),FALSE)=0, VLOOKUP($D75, regions[], COLUMN(AJ$1)-COLUMN($A$1), FALSE), VLOOKUP($A75,raw[],COLUMN(AJ$1)-COLUMN($A$1),FALSE))</f>
        <v>4.7059813985474115E-4</v>
      </c>
      <c r="AJ75" s="72">
        <f>IF(VLOOKUP($A75,raw[],COLUMN(AK$1)-COLUMN($A$1),FALSE)=0, VLOOKUP($D75, regions[], COLUMN(AK$1)-COLUMN($A$1), FALSE), VLOOKUP($A75,raw[],COLUMN(AK$1)-COLUMN($A$1),FALSE))</f>
        <v>5.2614053691732215E-4</v>
      </c>
      <c r="AK75" s="72">
        <f>IF(VLOOKUP($A75,raw[],COLUMN(AL$1)-COLUMN($A$1),FALSE)=0, VLOOKUP($D75, regions[], COLUMN(AL$1)-COLUMN($A$1), FALSE), VLOOKUP($A75,raw[],COLUMN(AL$1)-COLUMN($A$1),FALSE))</f>
        <v>5.8598587836906652E-4</v>
      </c>
      <c r="AL75" s="72">
        <f>IF(VLOOKUP($A75,raw[],COLUMN(AM$1)-COLUMN($A$1),FALSE)=0, VLOOKUP($D75, regions[], COLUMN(AM$1)-COLUMN($A$1), FALSE), VLOOKUP($A75,raw[],COLUMN(AM$1)-COLUMN($A$1),FALSE))</f>
        <v>9.3398019856857613E-4</v>
      </c>
      <c r="AM75" s="72">
        <f>IF(VLOOKUP($A75,raw[],COLUMN(AN$1)-COLUMN($A$1),FALSE)=0, VLOOKUP($D75, regions[], COLUMN(AN$1)-COLUMN($A$1), FALSE), VLOOKUP($A75,raw[],COLUMN(AN$1)-COLUMN($A$1),FALSE))</f>
        <v>1.6451496022383042E-3</v>
      </c>
      <c r="AN75" s="72">
        <f>IF(VLOOKUP($A75,raw[],COLUMN(AO$1)-COLUMN($A$1),FALSE)=0, VLOOKUP($D75, regions[], COLUMN(AO$1)-COLUMN($A$1), FALSE), VLOOKUP($A75,raw[],COLUMN(AO$1)-COLUMN($A$1),FALSE))</f>
        <v>2.391987245178574E-3</v>
      </c>
      <c r="AO75" s="72">
        <f>IF(VLOOKUP($A75,raw[],COLUMN(AP$1)-COLUMN($A$1),FALSE)=0, VLOOKUP($D75, regions[], COLUMN(AP$1)-COLUMN($A$1), FALSE), VLOOKUP($A75,raw[],COLUMN(AP$1)-COLUMN($A$1),FALSE))</f>
        <v>4.6062935003459019E-3</v>
      </c>
      <c r="AP75" s="72">
        <f>IF(VLOOKUP($A75,raw[],COLUMN(AQ$1)-COLUMN($A$1),FALSE)=0, VLOOKUP($D75, regions[], COLUMN(AQ$1)-COLUMN($A$1), FALSE), VLOOKUP($A75,raw[],COLUMN(AQ$1)-COLUMN($A$1),FALSE))</f>
        <v>8.6002253429168663E-3</v>
      </c>
      <c r="AQ75" s="72">
        <f>IF(VLOOKUP($A75,raw[],COLUMN(AR$1)-COLUMN($A$1),FALSE)=0, VLOOKUP($D75, regions[], COLUMN(AR$1)-COLUMN($A$1), FALSE), VLOOKUP($A75,raw[],COLUMN(AR$1)-COLUMN($A$1),FALSE))</f>
        <v>1.6108011387115002E-2</v>
      </c>
      <c r="AR75" s="72">
        <f>IF(VLOOKUP($A75,raw[],COLUMN(AS$1)-COLUMN($A$1),FALSE)=0, VLOOKUP($D75, regions[], COLUMN(AS$1)-COLUMN($A$1), FALSE), VLOOKUP($A75,raw[],COLUMN(AS$1)-COLUMN($A$1),FALSE))</f>
        <v>2.9711186944390157E-2</v>
      </c>
      <c r="AS75" s="72">
        <f>IF(VLOOKUP($A75,raw[],COLUMN(AT$1)-COLUMN($A$1),FALSE)=0, VLOOKUP($D75, regions[], COLUMN(AT$1)-COLUMN($A$1), FALSE), VLOOKUP($A75,raw[],COLUMN(AT$1)-COLUMN($A$1),FALSE))</f>
        <v>5.3190452689782043E-2</v>
      </c>
      <c r="AT75" s="72">
        <f>IF(VLOOKUP($A75,raw[],COLUMN(AU$1)-COLUMN($A$1),FALSE)=0, VLOOKUP($D75, regions[], COLUMN(AU$1)-COLUMN($A$1), FALSE), VLOOKUP($A75,raw[],COLUMN(AU$1)-COLUMN($A$1),FALSE))</f>
        <v>7.2476092400483749E-2</v>
      </c>
      <c r="AU75" s="72">
        <f>IF(VLOOKUP($A75,raw[],COLUMN(AV$1)-COLUMN($A$1),FALSE)=0, VLOOKUP($D75, regions[], COLUMN(AV$1)-COLUMN($A$1), FALSE), VLOOKUP($A75,raw[],COLUMN(AV$1)-COLUMN($A$1),FALSE))</f>
        <v>9.8242350837951881E-2</v>
      </c>
      <c r="AV75" s="72">
        <f>IF(VLOOKUP($A75,raw[],COLUMN(AW$1)-COLUMN($A$1),FALSE)=0, VLOOKUP($D75, regions[], COLUMN(AW$1)-COLUMN($A$1), FALSE), VLOOKUP($A75,raw[],COLUMN(AW$1)-COLUMN($A$1),FALSE))</f>
        <v>0.12436013823733552</v>
      </c>
      <c r="AW75" s="72">
        <f>IF(VLOOKUP($A75,raw[],COLUMN(AX$1)-COLUMN($A$1),FALSE)=0, VLOOKUP($D75, regions[], COLUMN(AX$1)-COLUMN($A$1), FALSE), VLOOKUP($A75,raw[],COLUMN(AX$1)-COLUMN($A$1),FALSE))</f>
        <v>0.14743768263290524</v>
      </c>
      <c r="AX75" s="72">
        <f>IF(VLOOKUP($A75,raw[],COLUMN(AY$1)-COLUMN($A$1),FALSE)=0, VLOOKUP($D75, regions[], COLUMN(AY$1)-COLUMN($A$1), FALSE), VLOOKUP($A75,raw[],COLUMN(AY$1)-COLUMN($A$1),FALSE))</f>
        <v>78.465999999999994</v>
      </c>
      <c r="AY75" t="str">
        <f t="shared" si="2"/>
        <v>No</v>
      </c>
    </row>
    <row r="76" spans="1:51" x14ac:dyDescent="0.25">
      <c r="A76" s="53" t="s">
        <v>372</v>
      </c>
      <c r="B76" s="54" t="s">
        <v>373</v>
      </c>
      <c r="C76" s="54">
        <v>466</v>
      </c>
      <c r="D76" s="54" t="s">
        <v>207</v>
      </c>
      <c r="E76" s="54" t="s">
        <v>235</v>
      </c>
      <c r="F76" s="54" t="s">
        <v>211</v>
      </c>
      <c r="G76" s="54" t="s">
        <v>198</v>
      </c>
      <c r="H76" s="73">
        <f>VLOOKUP(lmics[[#This Row],[setting]],raw[],8,FALSE)</f>
        <v>20250834</v>
      </c>
      <c r="I76" s="73">
        <f>VLOOKUP(lmics[[#This Row],[setting]],raw[],9,FALSE)</f>
        <v>846241.85119199986</v>
      </c>
      <c r="J76" s="67">
        <f>IF(VLOOKUP($A76,raw[],COLUMN(J$1),FALSE)=0, VLOOKUP($D76, regions[], COLUMN(J$1), FALSE), VLOOKUP($A76,raw[],COLUMN(J$1),FALSE))</f>
        <v>0.66799999999999993</v>
      </c>
      <c r="K76" s="77">
        <f>VLOOKUP($A76, raw[], 11, FALSE)</f>
        <v>0</v>
      </c>
      <c r="L76" s="77">
        <f>VLOOKUP($A76, raw[], 12, FALSE)</f>
        <v>0.7</v>
      </c>
      <c r="M76" s="77">
        <f>IF(VLOOKUP($A76,raw[],COLUMN(M$1),FALSE)=0, VLOOKUP($D76, regions[], COLUMN(M$1), FALSE), VLOOKUP($A76,raw[],COLUMN(M$1),FALSE))</f>
        <v>0.10800000000000001</v>
      </c>
      <c r="N76" s="68">
        <f>IF(VLOOKUP($A76,raw[],COLUMN(N$1),FALSE)=0, VLOOKUP($D76, regions[], COLUMN(N$1), FALSE), VLOOKUP($A76,raw[],COLUMN(N$1),FALSE))</f>
        <v>0.3018127770078266</v>
      </c>
      <c r="O76" s="67">
        <f>IF(VLOOKUP($A76,raw[],COLUMN(O$1),FALSE)=0, VLOOKUP($D76, regions[], COLUMN(O$1), FALSE), VLOOKUP($A76,raw[],COLUMN(O$1),FALSE))</f>
        <v>0.38300000000000001</v>
      </c>
      <c r="P76" s="68">
        <f>IF(VLOOKUP($A76,raw[],COLUMN(P$1),FALSE)=0, VLOOKUP($D76, regions[], COLUMN(P$1), FALSE), VLOOKUP($A76,raw[],COLUMN(P$1),FALSE))</f>
        <v>4.8000000000000001E-2</v>
      </c>
      <c r="Q76" s="70">
        <f>IF(VLOOKUP($A76,raw[],COLUMN(Q$1),FALSE)=0, VLOOKUP($D76, regions[], COLUMN(Q$1), FALSE), VLOOKUP($A76,raw[],COLUMN(Q$1),FALSE))</f>
        <v>3.03270814589666</v>
      </c>
      <c r="R76" s="70">
        <f>IF(VLOOKUP($A76,raw[],COLUMN(R$1),FALSE)=0, VLOOKUP($D76, regions[], COLUMN(R$1), FALSE), VLOOKUP($A76,raw[],COLUMN(R$1),FALSE))</f>
        <v>25.358088145896662</v>
      </c>
      <c r="S76" s="70">
        <f>IF(VLOOKUP($A76,raw[],COLUMN(S$1),FALSE)=0, VLOOKUP($D76, regions[], COLUMN(S$1), FALSE), VLOOKUP($A76,raw[],COLUMN(S$1),FALSE))</f>
        <v>56.195289366291988</v>
      </c>
      <c r="T76" s="70">
        <f>IF(VLOOKUP($A76,raw[],COLUMN(U$1)-COLUMN($A$1),FALSE)=0, VLOOKUP($D76, regions[], COLUMN(U$1)-COLUMN($A$1), FALSE), VLOOKUP($A76,raw[],COLUMN(U$1)-COLUMN($A$1),FALSE))</f>
        <v>57.036986078469411</v>
      </c>
      <c r="U76" s="70">
        <f>IF(VLOOKUP($A76,raw[],COLUMN(V$1)-COLUMN($A$1),FALSE)=0, VLOOKUP($D76, regions[], COLUMN(V$1)-COLUMN($A$1), FALSE), VLOOKUP($A76,raw[],COLUMN(V$1)-COLUMN($A$1),FALSE))</f>
        <v>56.650496739439518</v>
      </c>
      <c r="V76" s="70">
        <f>IF(VLOOKUP($A76,raw[],COLUMN(W$1)-COLUMN($A$1),FALSE)=0, VLOOKUP($D76, regions[], COLUMN(W$1)-COLUMN($A$1), FALSE), VLOOKUP($A76,raw[],COLUMN(W$1)-COLUMN($A$1),FALSE))</f>
        <v>1.5801853281510161</v>
      </c>
      <c r="W76" s="70">
        <f>IF(VLOOKUP($A76,raw[],COLUMN(X$1)-COLUMN($A$1),FALSE)=0, VLOOKUP($D76, regions[], COLUMN(X$1)-COLUMN($A$1), FALSE), VLOOKUP($A76,raw[],COLUMN(X$1)-COLUMN($A$1),FALSE))</f>
        <v>6.4101853281510159</v>
      </c>
      <c r="X76" s="70">
        <f>IF(VLOOKUP($A76,raw[],COLUMN(Y$1)-COLUMN($A$1),FALSE)=0, VLOOKUP($D76, regions[], COLUMN(Y$1)-COLUMN($A$1), FALSE), VLOOKUP($A76,raw[],COLUMN(Y$1)-COLUMN($A$1),FALSE))</f>
        <v>1.1714260663561082</v>
      </c>
      <c r="Y76" s="70">
        <f>IF(VLOOKUP($A76,raw[],COLUMN(Z$1)-COLUMN($A$1),FALSE)=0, VLOOKUP($D76, regions[], COLUMN(Z$1)-COLUMN($A$1), FALSE), VLOOKUP($A76,raw[],COLUMN(Z$1)-COLUMN($A$1),FALSE))</f>
        <v>6.0014260663561085</v>
      </c>
      <c r="Z76" s="70">
        <f>IF(VLOOKUP($A76,raw[],COLUMN(AA$1)-COLUMN($A$1),FALSE)=0, VLOOKUP($D76, regions[], COLUMN(AA$1)-COLUMN($A$1), FALSE), VLOOKUP($A76,raw[],COLUMN(AA$1)-COLUMN($A$1),FALSE))</f>
        <v>5.9983206201987374</v>
      </c>
      <c r="AA76" s="70">
        <f>IF(VLOOKUP($A76,raw[],COLUMN(AB$1)-COLUMN($A$1),FALSE)=0, VLOOKUP($D76, regions[], COLUMN(AB$1)-COLUMN($A$1), FALSE), VLOOKUP($A76,raw[],COLUMN(AB$1)-COLUMN($A$1),FALSE))</f>
        <v>1.7846768176323979</v>
      </c>
      <c r="AB76" s="70">
        <f>IF(VLOOKUP($A76,raw[],COLUMN(AC$1)-COLUMN($A$1),FALSE)=0, VLOOKUP($D76, regions[], COLUMN(AC$1)-COLUMN($A$1), FALSE), VLOOKUP($A76,raw[],COLUMN(AC$1)-COLUMN($A$1),FALSE))</f>
        <v>6.6146768176323985</v>
      </c>
      <c r="AC76" s="72">
        <f>IF(VLOOKUP($A76,raw[],COLUMN(AD$1)-COLUMN($A$1),FALSE)=0, VLOOKUP($D76, regions[], COLUMN(AD$1)-COLUMN($A$1), FALSE), VLOOKUP($A76,raw[],COLUMN(AD$1)-COLUMN($A$1),FALSE))</f>
        <v>6.5820209999999935E-2</v>
      </c>
      <c r="AD76" s="72">
        <f>IF(VLOOKUP($A76,raw[],COLUMN(AE$1)-COLUMN($A$1),FALSE)=0, VLOOKUP($D76, regions[], COLUMN(AE$1)-COLUMN($A$1), FALSE), VLOOKUP($A76,raw[],COLUMN(AE$1)-COLUMN($A$1),FALSE))</f>
        <v>1.0607112363242202E-2</v>
      </c>
      <c r="AE76" s="72">
        <f>IF(VLOOKUP($A76,raw[],COLUMN(AF$1)-COLUMN($A$1),FALSE)=0, VLOOKUP($D76, regions[], COLUMN(AF$1)-COLUMN($A$1), FALSE), VLOOKUP($A76,raw[],COLUMN(AF$1)-COLUMN($A$1),FALSE))</f>
        <v>3.4703022262773438E-3</v>
      </c>
      <c r="AF76" s="72">
        <f>IF(VLOOKUP($A76,raw[],COLUMN(AG$1)-COLUMN($A$1),FALSE)=0, VLOOKUP($D76, regions[], COLUMN(AG$1)-COLUMN($A$1), FALSE), VLOOKUP($A76,raw[],COLUMN(AG$1)-COLUMN($A$1),FALSE))</f>
        <v>1.9653858610867866E-3</v>
      </c>
      <c r="AG76" s="72">
        <f>IF(VLOOKUP($A76,raw[],COLUMN(AH$1)-COLUMN($A$1),FALSE)=0, VLOOKUP($D76, regions[], COLUMN(AH$1)-COLUMN($A$1), FALSE), VLOOKUP($A76,raw[],COLUMN(AH$1)-COLUMN($A$1),FALSE))</f>
        <v>2.9691163629910031E-3</v>
      </c>
      <c r="AH76" s="72">
        <f>IF(VLOOKUP($A76,raw[],COLUMN(AI$1)-COLUMN($A$1),FALSE)=0, VLOOKUP($D76, regions[], COLUMN(AI$1)-COLUMN($A$1), FALSE), VLOOKUP($A76,raw[],COLUMN(AI$1)-COLUMN($A$1),FALSE))</f>
        <v>3.8241260248184535E-3</v>
      </c>
      <c r="AI76" s="72">
        <f>IF(VLOOKUP($A76,raw[],COLUMN(AJ$1)-COLUMN($A$1),FALSE)=0, VLOOKUP($D76, regions[], COLUMN(AJ$1)-COLUMN($A$1), FALSE), VLOOKUP($A76,raw[],COLUMN(AJ$1)-COLUMN($A$1),FALSE))</f>
        <v>4.2938973206458871E-3</v>
      </c>
      <c r="AJ76" s="72">
        <f>IF(VLOOKUP($A76,raw[],COLUMN(AK$1)-COLUMN($A$1),FALSE)=0, VLOOKUP($D76, regions[], COLUMN(AK$1)-COLUMN($A$1), FALSE), VLOOKUP($A76,raw[],COLUMN(AK$1)-COLUMN($A$1),FALSE))</f>
        <v>4.5580472847770673E-3</v>
      </c>
      <c r="AK76" s="72">
        <f>IF(VLOOKUP($A76,raw[],COLUMN(AL$1)-COLUMN($A$1),FALSE)=0, VLOOKUP($D76, regions[], COLUMN(AL$1)-COLUMN($A$1), FALSE), VLOOKUP($A76,raw[],COLUMN(AL$1)-COLUMN($A$1),FALSE))</f>
        <v>5.1152115887606936E-3</v>
      </c>
      <c r="AL76" s="72">
        <f>IF(VLOOKUP($A76,raw[],COLUMN(AM$1)-COLUMN($A$1),FALSE)=0, VLOOKUP($D76, regions[], COLUMN(AM$1)-COLUMN($A$1), FALSE), VLOOKUP($A76,raw[],COLUMN(AM$1)-COLUMN($A$1),FALSE))</f>
        <v>6.0793858913226109E-3</v>
      </c>
      <c r="AM76" s="72">
        <f>IF(VLOOKUP($A76,raw[],COLUMN(AN$1)-COLUMN($A$1),FALSE)=0, VLOOKUP($D76, regions[], COLUMN(AN$1)-COLUMN($A$1), FALSE), VLOOKUP($A76,raw[],COLUMN(AN$1)-COLUMN($A$1),FALSE))</f>
        <v>7.1063830627251783E-3</v>
      </c>
      <c r="AN76" s="72">
        <f>IF(VLOOKUP($A76,raw[],COLUMN(AO$1)-COLUMN($A$1),FALSE)=0, VLOOKUP($D76, regions[], COLUMN(AO$1)-COLUMN($A$1), FALSE), VLOOKUP($A76,raw[],COLUMN(AO$1)-COLUMN($A$1),FALSE))</f>
        <v>1.0012216060043849E-2</v>
      </c>
      <c r="AO76" s="72">
        <f>IF(VLOOKUP($A76,raw[],COLUMN(AP$1)-COLUMN($A$1),FALSE)=0, VLOOKUP($D76, regions[], COLUMN(AP$1)-COLUMN($A$1), FALSE), VLOOKUP($A76,raw[],COLUMN(AP$1)-COLUMN($A$1),FALSE))</f>
        <v>1.4303370555237076E-2</v>
      </c>
      <c r="AP76" s="72">
        <f>IF(VLOOKUP($A76,raw[],COLUMN(AQ$1)-COLUMN($A$1),FALSE)=0, VLOOKUP($D76, regions[], COLUMN(AQ$1)-COLUMN($A$1), FALSE), VLOOKUP($A76,raw[],COLUMN(AQ$1)-COLUMN($A$1),FALSE))</f>
        <v>2.2385161086559677E-2</v>
      </c>
      <c r="AQ76" s="72">
        <f>IF(VLOOKUP($A76,raw[],COLUMN(AR$1)-COLUMN($A$1),FALSE)=0, VLOOKUP($D76, regions[], COLUMN(AR$1)-COLUMN($A$1), FALSE), VLOOKUP($A76,raw[],COLUMN(AR$1)-COLUMN($A$1),FALSE))</f>
        <v>3.4614265354564314E-2</v>
      </c>
      <c r="AR76" s="72">
        <f>IF(VLOOKUP($A76,raw[],COLUMN(AS$1)-COLUMN($A$1),FALSE)=0, VLOOKUP($D76, regions[], COLUMN(AS$1)-COLUMN($A$1), FALSE), VLOOKUP($A76,raw[],COLUMN(AS$1)-COLUMN($A$1),FALSE))</f>
        <v>5.5505357625352705E-2</v>
      </c>
      <c r="AS76" s="72">
        <f>IF(VLOOKUP($A76,raw[],COLUMN(AT$1)-COLUMN($A$1),FALSE)=0, VLOOKUP($D76, regions[], COLUMN(AT$1)-COLUMN($A$1), FALSE), VLOOKUP($A76,raw[],COLUMN(AT$1)-COLUMN($A$1),FALSE))</f>
        <v>8.530363770997372E-2</v>
      </c>
      <c r="AT76" s="72">
        <f>IF(VLOOKUP($A76,raw[],COLUMN(AU$1)-COLUMN($A$1),FALSE)=0, VLOOKUP($D76, regions[], COLUMN(AU$1)-COLUMN($A$1), FALSE), VLOOKUP($A76,raw[],COLUMN(AU$1)-COLUMN($A$1),FALSE))</f>
        <v>0.12167185659091227</v>
      </c>
      <c r="AU76" s="72">
        <f>IF(VLOOKUP($A76,raw[],COLUMN(AV$1)-COLUMN($A$1),FALSE)=0, VLOOKUP($D76, regions[], COLUMN(AV$1)-COLUMN($A$1), FALSE), VLOOKUP($A76,raw[],COLUMN(AV$1)-COLUMN($A$1),FALSE))</f>
        <v>0.15478682778459321</v>
      </c>
      <c r="AV76" s="72">
        <f>IF(VLOOKUP($A76,raw[],COLUMN(AW$1)-COLUMN($A$1),FALSE)=0, VLOOKUP($D76, regions[], COLUMN(AW$1)-COLUMN($A$1), FALSE), VLOOKUP($A76,raw[],COLUMN(AW$1)-COLUMN($A$1),FALSE))</f>
        <v>0.17749594498829036</v>
      </c>
      <c r="AW76" s="72">
        <f>IF(VLOOKUP($A76,raw[],COLUMN(AX$1)-COLUMN($A$1),FALSE)=0, VLOOKUP($D76, regions[], COLUMN(AX$1)-COLUMN($A$1), FALSE), VLOOKUP($A76,raw[],COLUMN(AX$1)-COLUMN($A$1),FALSE))</f>
        <v>0.1879903301036718</v>
      </c>
      <c r="AX76" s="72">
        <f>IF(VLOOKUP($A76,raw[],COLUMN(AY$1)-COLUMN($A$1),FALSE)=0, VLOOKUP($D76, regions[], COLUMN(AY$1)-COLUMN($A$1), FALSE), VLOOKUP($A76,raw[],COLUMN(AY$1)-COLUMN($A$1),FALSE))</f>
        <v>58.71</v>
      </c>
      <c r="AY76" t="str">
        <f t="shared" si="2"/>
        <v>Yes</v>
      </c>
    </row>
    <row r="77" spans="1:51" x14ac:dyDescent="0.25">
      <c r="A77" s="55" t="s">
        <v>374</v>
      </c>
      <c r="B77" s="56" t="s">
        <v>375</v>
      </c>
      <c r="C77" s="56">
        <v>584</v>
      </c>
      <c r="D77" s="56" t="s">
        <v>260</v>
      </c>
      <c r="E77" s="56" t="s">
        <v>309</v>
      </c>
      <c r="F77" s="56" t="s">
        <v>262</v>
      </c>
      <c r="G77" s="56" t="s">
        <v>204</v>
      </c>
      <c r="H77" s="74">
        <f>VLOOKUP(lmics[[#This Row],[setting]],raw[],8,FALSE)</f>
        <v>59194</v>
      </c>
      <c r="I77" s="74">
        <f>VLOOKUP(lmics[[#This Row],[setting]],raw[],9,FALSE)</f>
        <v>1718.40182</v>
      </c>
      <c r="J77" s="67">
        <f>IF(VLOOKUP($A77,raw[],COLUMN(J$1),FALSE)=0, VLOOKUP($D77, regions[], COLUMN(J$1), FALSE), VLOOKUP($A77,raw[],COLUMN(J$1),FALSE))</f>
        <v>0.85099999999999998</v>
      </c>
      <c r="K77" s="77">
        <f>VLOOKUP($A77, raw[], 11, FALSE)</f>
        <v>0.98</v>
      </c>
      <c r="L77" s="77">
        <f>VLOOKUP($A77, raw[], 12, FALSE)</f>
        <v>0.82</v>
      </c>
      <c r="M77" s="77">
        <f>IF(VLOOKUP($A77,raw[],COLUMN(M$1),FALSE)=0, VLOOKUP($D77, regions[], COLUMN(M$1), FALSE), VLOOKUP($A77,raw[],COLUMN(M$1),FALSE))</f>
        <v>6.3099999999999989E-2</v>
      </c>
      <c r="N77" s="68">
        <f>IF(VLOOKUP($A77,raw[],COLUMN(N$1),FALSE)=0, VLOOKUP($D77, regions[], COLUMN(N$1), FALSE), VLOOKUP($A77,raw[],COLUMN(N$1),FALSE))</f>
        <v>0.33308913563627279</v>
      </c>
      <c r="O77" s="67">
        <f>IF(VLOOKUP($A77,raw[],COLUMN(O$1),FALSE)=0, VLOOKUP($D77, regions[], COLUMN(O$1), FALSE), VLOOKUP($A77,raw[],COLUMN(O$1),FALSE))</f>
        <v>0.8</v>
      </c>
      <c r="P77" s="68">
        <f>IF(VLOOKUP($A77,raw[],COLUMN(P$1),FALSE)=0, VLOOKUP($D77, regions[], COLUMN(P$1), FALSE), VLOOKUP($A77,raw[],COLUMN(P$1),FALSE))</f>
        <v>0.17499999999999999</v>
      </c>
      <c r="Q77" s="70">
        <f>IF(VLOOKUP($A77,raw[],COLUMN(Q$1),FALSE)=0, VLOOKUP($D77, regions[], COLUMN(Q$1), FALSE), VLOOKUP($A77,raw[],COLUMN(Q$1),FALSE))</f>
        <v>6.4583185870996003</v>
      </c>
      <c r="R77" s="70">
        <f>IF(VLOOKUP($A77,raw[],COLUMN(R$1),FALSE)=0, VLOOKUP($D77, regions[], COLUMN(R$1), FALSE), VLOOKUP($A77,raw[],COLUMN(R$1),FALSE))</f>
        <v>28.783698587099604</v>
      </c>
      <c r="S77" s="70">
        <f>IF(VLOOKUP($A77,raw[],COLUMN(S$1),FALSE)=0, VLOOKUP($D77, regions[], COLUMN(S$1), FALSE), VLOOKUP($A77,raw[],COLUMN(S$1),FALSE))</f>
        <v>66.83517475459945</v>
      </c>
      <c r="T77" s="70">
        <f>IF(VLOOKUP($A77,raw[],COLUMN(U$1)-COLUMN($A$1),FALSE)=0, VLOOKUP($D77, regions[], COLUMN(U$1)-COLUMN($A$1), FALSE), VLOOKUP($A77,raw[],COLUMN(U$1)-COLUMN($A$1),FALSE))</f>
        <v>71.431649429557211</v>
      </c>
      <c r="U77" s="70">
        <f>IF(VLOOKUP($A77,raw[],COLUMN(V$1)-COLUMN($A$1),FALSE)=0, VLOOKUP($D77, regions[], COLUMN(V$1)-COLUMN($A$1), FALSE), VLOOKUP($A77,raw[],COLUMN(V$1)-COLUMN($A$1),FALSE))</f>
        <v>69.321045415913886</v>
      </c>
      <c r="V77" s="70">
        <f>IF(VLOOKUP($A77,raw[],COLUMN(W$1)-COLUMN($A$1),FALSE)=0, VLOOKUP($D77, regions[], COLUMN(W$1)-COLUMN($A$1), FALSE), VLOOKUP($A77,raw[],COLUMN(W$1)-COLUMN($A$1),FALSE))</f>
        <v>9.0504401880854122</v>
      </c>
      <c r="W77" s="70">
        <f>IF(VLOOKUP($A77,raw[],COLUMN(X$1)-COLUMN($A$1),FALSE)=0, VLOOKUP($D77, regions[], COLUMN(X$1)-COLUMN($A$1), FALSE), VLOOKUP($A77,raw[],COLUMN(X$1)-COLUMN($A$1),FALSE))</f>
        <v>9.680440188085413</v>
      </c>
      <c r="X77" s="70">
        <f>IF(VLOOKUP($A77,raw[],COLUMN(Y$1)-COLUMN($A$1),FALSE)=0, VLOOKUP($D77, regions[], COLUMN(Y$1)-COLUMN($A$1), FALSE), VLOOKUP($A77,raw[],COLUMN(Y$1)-COLUMN($A$1),FALSE))</f>
        <v>8.6370503458939449</v>
      </c>
      <c r="Y77" s="70">
        <f>IF(VLOOKUP($A77,raw[],COLUMN(Z$1)-COLUMN($A$1),FALSE)=0, VLOOKUP($D77, regions[], COLUMN(Z$1)-COLUMN($A$1), FALSE), VLOOKUP($A77,raw[],COLUMN(Z$1)-COLUMN($A$1),FALSE))</f>
        <v>9.2670503458939457</v>
      </c>
      <c r="Z77" s="70">
        <f>IF(VLOOKUP($A77,raw[],COLUMN(AA$1)-COLUMN($A$1),FALSE)=0, VLOOKUP($D77, regions[], COLUMN(AA$1)-COLUMN($A$1), FALSE), VLOOKUP($A77,raw[],COLUMN(AA$1)-COLUMN($A$1),FALSE))</f>
        <v>9.2624187481272084</v>
      </c>
      <c r="AA77" s="70">
        <f>IF(VLOOKUP($A77,raw[],COLUMN(AB$1)-COLUMN($A$1),FALSE)=0, VLOOKUP($D77, regions[], COLUMN(AB$1)-COLUMN($A$1), FALSE), VLOOKUP($A77,raw[],COLUMN(AB$1)-COLUMN($A$1),FALSE))</f>
        <v>9.2565825801429593</v>
      </c>
      <c r="AB77" s="70">
        <f>IF(VLOOKUP($A77,raw[],COLUMN(AC$1)-COLUMN($A$1),FALSE)=0, VLOOKUP($D77, regions[], COLUMN(AC$1)-COLUMN($A$1), FALSE), VLOOKUP($A77,raw[],COLUMN(AC$1)-COLUMN($A$1),FALSE))</f>
        <v>9.8865825801429601</v>
      </c>
      <c r="AC77" s="72">
        <f>IF(VLOOKUP($A77,raw[],COLUMN(AD$1)-COLUMN($A$1),FALSE)=0, VLOOKUP($D77, regions[], COLUMN(AD$1)-COLUMN($A$1), FALSE), VLOOKUP($A77,raw[],COLUMN(AD$1)-COLUMN($A$1),FALSE))</f>
        <v>1.2130255501425892E-2</v>
      </c>
      <c r="AD77" s="72">
        <f>IF(VLOOKUP($A77,raw[],COLUMN(AE$1)-COLUMN($A$1),FALSE)=0, VLOOKUP($D77, regions[], COLUMN(AE$1)-COLUMN($A$1), FALSE), VLOOKUP($A77,raw[],COLUMN(AE$1)-COLUMN($A$1),FALSE))</f>
        <v>6.7807185454028058E-4</v>
      </c>
      <c r="AE77" s="72">
        <f>IF(VLOOKUP($A77,raw[],COLUMN(AF$1)-COLUMN($A$1),FALSE)=0, VLOOKUP($D77, regions[], COLUMN(AF$1)-COLUMN($A$1), FALSE), VLOOKUP($A77,raw[],COLUMN(AF$1)-COLUMN($A$1),FALSE))</f>
        <v>3.9141931303174815E-4</v>
      </c>
      <c r="AF77" s="72">
        <f>IF(VLOOKUP($A77,raw[],COLUMN(AG$1)-COLUMN($A$1),FALSE)=0, VLOOKUP($D77, regions[], COLUMN(AG$1)-COLUMN($A$1), FALSE), VLOOKUP($A77,raw[],COLUMN(AG$1)-COLUMN($A$1),FALSE))</f>
        <v>3.0837306874500548E-4</v>
      </c>
      <c r="AG77" s="72">
        <f>IF(VLOOKUP($A77,raw[],COLUMN(AH$1)-COLUMN($A$1),FALSE)=0, VLOOKUP($D77, regions[], COLUMN(AH$1)-COLUMN($A$1), FALSE), VLOOKUP($A77,raw[],COLUMN(AH$1)-COLUMN($A$1),FALSE))</f>
        <v>4.9055543455316954E-4</v>
      </c>
      <c r="AH77" s="72">
        <f>IF(VLOOKUP($A77,raw[],COLUMN(AI$1)-COLUMN($A$1),FALSE)=0, VLOOKUP($D77, regions[], COLUMN(AI$1)-COLUMN($A$1), FALSE), VLOOKUP($A77,raw[],COLUMN(AI$1)-COLUMN($A$1),FALSE))</f>
        <v>6.8245854740275457E-4</v>
      </c>
      <c r="AI77" s="72">
        <f>IF(VLOOKUP($A77,raw[],COLUMN(AJ$1)-COLUMN($A$1),FALSE)=0, VLOOKUP($D77, regions[], COLUMN(AJ$1)-COLUMN($A$1), FALSE), VLOOKUP($A77,raw[],COLUMN(AJ$1)-COLUMN($A$1),FALSE))</f>
        <v>8.5177674123833097E-4</v>
      </c>
      <c r="AJ77" s="72">
        <f>IF(VLOOKUP($A77,raw[],COLUMN(AK$1)-COLUMN($A$1),FALSE)=0, VLOOKUP($D77, regions[], COLUMN(AK$1)-COLUMN($A$1), FALSE), VLOOKUP($A77,raw[],COLUMN(AK$1)-COLUMN($A$1),FALSE))</f>
        <v>1.0602536345014524E-3</v>
      </c>
      <c r="AK77" s="72">
        <f>IF(VLOOKUP($A77,raw[],COLUMN(AL$1)-COLUMN($A$1),FALSE)=0, VLOOKUP($D77, regions[], COLUMN(AL$1)-COLUMN($A$1), FALSE), VLOOKUP($A77,raw[],COLUMN(AL$1)-COLUMN($A$1),FALSE))</f>
        <v>1.3620252124251645E-3</v>
      </c>
      <c r="AL77" s="72">
        <f>IF(VLOOKUP($A77,raw[],COLUMN(AM$1)-COLUMN($A$1),FALSE)=0, VLOOKUP($D77, regions[], COLUMN(AM$1)-COLUMN($A$1), FALSE), VLOOKUP($A77,raw[],COLUMN(AM$1)-COLUMN($A$1),FALSE))</f>
        <v>1.9171179541553115E-3</v>
      </c>
      <c r="AM77" s="72">
        <f>IF(VLOOKUP($A77,raw[],COLUMN(AN$1)-COLUMN($A$1),FALSE)=0, VLOOKUP($D77, regions[], COLUMN(AN$1)-COLUMN($A$1), FALSE), VLOOKUP($A77,raw[],COLUMN(AN$1)-COLUMN($A$1),FALSE))</f>
        <v>2.8099348310387283E-3</v>
      </c>
      <c r="AN77" s="72">
        <f>IF(VLOOKUP($A77,raw[],COLUMN(AO$1)-COLUMN($A$1),FALSE)=0, VLOOKUP($D77, regions[], COLUMN(AO$1)-COLUMN($A$1), FALSE), VLOOKUP($A77,raw[],COLUMN(AO$1)-COLUMN($A$1),FALSE))</f>
        <v>4.4741208648817199E-3</v>
      </c>
      <c r="AO77" s="72">
        <f>IF(VLOOKUP($A77,raw[],COLUMN(AP$1)-COLUMN($A$1),FALSE)=0, VLOOKUP($D77, regions[], COLUMN(AP$1)-COLUMN($A$1), FALSE), VLOOKUP($A77,raw[],COLUMN(AP$1)-COLUMN($A$1),FALSE))</f>
        <v>7.1586511232246443E-3</v>
      </c>
      <c r="AP77" s="72">
        <f>IF(VLOOKUP($A77,raw[],COLUMN(AQ$1)-COLUMN($A$1),FALSE)=0, VLOOKUP($D77, regions[], COLUMN(AQ$1)-COLUMN($A$1), FALSE), VLOOKUP($A77,raw[],COLUMN(AQ$1)-COLUMN($A$1),FALSE))</f>
        <v>1.2132304912738557E-2</v>
      </c>
      <c r="AQ77" s="72">
        <f>IF(VLOOKUP($A77,raw[],COLUMN(AR$1)-COLUMN($A$1),FALSE)=0, VLOOKUP($D77, regions[], COLUMN(AR$1)-COLUMN($A$1), FALSE), VLOOKUP($A77,raw[],COLUMN(AR$1)-COLUMN($A$1),FALSE))</f>
        <v>2.0392200150415828E-2</v>
      </c>
      <c r="AR77" s="72">
        <f>IF(VLOOKUP($A77,raw[],COLUMN(AS$1)-COLUMN($A$1),FALSE)=0, VLOOKUP($D77, regions[], COLUMN(AS$1)-COLUMN($A$1), FALSE), VLOOKUP($A77,raw[],COLUMN(AS$1)-COLUMN($A$1),FALSE))</f>
        <v>3.44244204858224E-2</v>
      </c>
      <c r="AS77" s="72">
        <f>IF(VLOOKUP($A77,raw[],COLUMN(AT$1)-COLUMN($A$1),FALSE)=0, VLOOKUP($D77, regions[], COLUMN(AT$1)-COLUMN($A$1), FALSE), VLOOKUP($A77,raw[],COLUMN(AT$1)-COLUMN($A$1),FALSE))</f>
        <v>5.3867591667339003E-2</v>
      </c>
      <c r="AT77" s="72">
        <f>IF(VLOOKUP($A77,raw[],COLUMN(AU$1)-COLUMN($A$1),FALSE)=0, VLOOKUP($D77, regions[], COLUMN(AU$1)-COLUMN($A$1), FALSE), VLOOKUP($A77,raw[],COLUMN(AU$1)-COLUMN($A$1),FALSE))</f>
        <v>7.6826546279148339E-2</v>
      </c>
      <c r="AU77" s="72">
        <f>IF(VLOOKUP($A77,raw[],COLUMN(AV$1)-COLUMN($A$1),FALSE)=0, VLOOKUP($D77, regions[], COLUMN(AV$1)-COLUMN($A$1), FALSE), VLOOKUP($A77,raw[],COLUMN(AV$1)-COLUMN($A$1),FALSE))</f>
        <v>0.10590692805681631</v>
      </c>
      <c r="AV77" s="72">
        <f>IF(VLOOKUP($A77,raw[],COLUMN(AW$1)-COLUMN($A$1),FALSE)=0, VLOOKUP($D77, regions[], COLUMN(AW$1)-COLUMN($A$1), FALSE), VLOOKUP($A77,raw[],COLUMN(AW$1)-COLUMN($A$1),FALSE))</f>
        <v>0.13211311453937141</v>
      </c>
      <c r="AW77" s="72">
        <f>IF(VLOOKUP($A77,raw[],COLUMN(AX$1)-COLUMN($A$1),FALSE)=0, VLOOKUP($D77, regions[], COLUMN(AX$1)-COLUMN($A$1), FALSE), VLOOKUP($A77,raw[],COLUMN(AX$1)-COLUMN($A$1),FALSE))</f>
        <v>0.15413448359295936</v>
      </c>
      <c r="AX77" s="72">
        <f>IF(VLOOKUP($A77,raw[],COLUMN(AY$1)-COLUMN($A$1),FALSE)=0, VLOOKUP($D77, regions[], COLUMN(AY$1)-COLUMN($A$1), FALSE), VLOOKUP($A77,raw[],COLUMN(AY$1)-COLUMN($A$1),FALSE))</f>
        <v>75.579570681381213</v>
      </c>
      <c r="AY77" t="str">
        <f t="shared" si="2"/>
        <v>No</v>
      </c>
    </row>
    <row r="78" spans="1:51" x14ac:dyDescent="0.25">
      <c r="A78" s="53" t="s">
        <v>376</v>
      </c>
      <c r="B78" s="54" t="s">
        <v>377</v>
      </c>
      <c r="C78" s="54">
        <v>478</v>
      </c>
      <c r="D78" s="54" t="s">
        <v>207</v>
      </c>
      <c r="E78" s="54" t="s">
        <v>235</v>
      </c>
      <c r="F78" s="54" t="s">
        <v>211</v>
      </c>
      <c r="G78" s="54" t="s">
        <v>212</v>
      </c>
      <c r="H78" s="73">
        <f>VLOOKUP(lmics[[#This Row],[setting]],raw[],8,FALSE)</f>
        <v>4649660</v>
      </c>
      <c r="I78" s="73">
        <f>VLOOKUP(lmics[[#This Row],[setting]],raw[],9,FALSE)</f>
        <v>157493.28352</v>
      </c>
      <c r="J78" s="67">
        <f>IF(VLOOKUP($A78,raw[],COLUMN(J$1),FALSE)=0, VLOOKUP($D78, regions[], COLUMN(J$1), FALSE), VLOOKUP($A78,raw[],COLUMN(J$1),FALSE))</f>
        <v>0.69299999999999995</v>
      </c>
      <c r="K78" s="77">
        <f>VLOOKUP($A78, raw[], 11, FALSE)</f>
        <v>0</v>
      </c>
      <c r="L78" s="77">
        <f>VLOOKUP($A78, raw[], 12, FALSE)</f>
        <v>0.71</v>
      </c>
      <c r="M78" s="77">
        <f>IF(VLOOKUP($A78,raw[],COLUMN(M$1),FALSE)=0, VLOOKUP($D78, regions[], COLUMN(M$1), FALSE), VLOOKUP($A78,raw[],COLUMN(M$1),FALSE))</f>
        <v>0.11019999999999999</v>
      </c>
      <c r="N78" s="68">
        <f>IF(VLOOKUP($A78,raw[],COLUMN(N$1),FALSE)=0, VLOOKUP($D78, regions[], COLUMN(N$1), FALSE), VLOOKUP($A78,raw[],COLUMN(N$1),FALSE))</f>
        <v>0.27954724098923228</v>
      </c>
      <c r="O78" s="67">
        <f>IF(VLOOKUP($A78,raw[],COLUMN(O$1),FALSE)=0, VLOOKUP($D78, regions[], COLUMN(O$1), FALSE), VLOOKUP($A78,raw[],COLUMN(O$1),FALSE))</f>
        <v>0.38300000000000001</v>
      </c>
      <c r="P78" s="68">
        <f>IF(VLOOKUP($A78,raw[],COLUMN(P$1),FALSE)=0, VLOOKUP($D78, regions[], COLUMN(P$1), FALSE), VLOOKUP($A78,raw[],COLUMN(P$1),FALSE))</f>
        <v>4.8000000000000001E-2</v>
      </c>
      <c r="Q78" s="70">
        <f>IF(VLOOKUP($A78,raw[],COLUMN(Q$1),FALSE)=0, VLOOKUP($D78, regions[], COLUMN(Q$1), FALSE), VLOOKUP($A78,raw[],COLUMN(Q$1),FALSE))</f>
        <v>3.6143933792425003</v>
      </c>
      <c r="R78" s="70">
        <f>IF(VLOOKUP($A78,raw[],COLUMN(R$1),FALSE)=0, VLOOKUP($D78, regions[], COLUMN(R$1), FALSE), VLOOKUP($A78,raw[],COLUMN(R$1),FALSE))</f>
        <v>25.939773379242503</v>
      </c>
      <c r="S78" s="70">
        <f>IF(VLOOKUP($A78,raw[],COLUMN(S$1),FALSE)=0, VLOOKUP($D78, regions[], COLUMN(S$1), FALSE), VLOOKUP($A78,raw[],COLUMN(S$1),FALSE))</f>
        <v>58.322108917083256</v>
      </c>
      <c r="T78" s="70">
        <f>IF(VLOOKUP($A78,raw[],COLUMN(U$1)-COLUMN($A$1),FALSE)=0, VLOOKUP($D78, regions[], COLUMN(U$1)-COLUMN($A$1), FALSE), VLOOKUP($A78,raw[],COLUMN(U$1)-COLUMN($A$1),FALSE))</f>
        <v>59.967994037273641</v>
      </c>
      <c r="U78" s="70">
        <f>IF(VLOOKUP($A78,raw[],COLUMN(V$1)-COLUMN($A$1),FALSE)=0, VLOOKUP($D78, regions[], COLUMN(V$1)-COLUMN($A$1), FALSE), VLOOKUP($A78,raw[],COLUMN(V$1)-COLUMN($A$1),FALSE))</f>
        <v>59.212238379661628</v>
      </c>
      <c r="V78" s="70">
        <f>IF(VLOOKUP($A78,raw[],COLUMN(W$1)-COLUMN($A$1),FALSE)=0, VLOOKUP($D78, regions[], COLUMN(W$1)-COLUMN($A$1), FALSE), VLOOKUP($A78,raw[],COLUMN(W$1)-COLUMN($A$1),FALSE))</f>
        <v>2.7899110734352721</v>
      </c>
      <c r="W78" s="70">
        <f>IF(VLOOKUP($A78,raw[],COLUMN(X$1)-COLUMN($A$1),FALSE)=0, VLOOKUP($D78, regions[], COLUMN(X$1)-COLUMN($A$1), FALSE), VLOOKUP($A78,raw[],COLUMN(X$1)-COLUMN($A$1),FALSE))</f>
        <v>7.6199110734352722</v>
      </c>
      <c r="X78" s="70">
        <f>IF(VLOOKUP($A78,raw[],COLUMN(Y$1)-COLUMN($A$1),FALSE)=0, VLOOKUP($D78, regions[], COLUMN(Y$1)-COLUMN($A$1), FALSE), VLOOKUP($A78,raw[],COLUMN(Y$1)-COLUMN($A$1),FALSE))</f>
        <v>2.3790659994322465</v>
      </c>
      <c r="Y78" s="70">
        <f>IF(VLOOKUP($A78,raw[],COLUMN(Z$1)-COLUMN($A$1),FALSE)=0, VLOOKUP($D78, regions[], COLUMN(Z$1)-COLUMN($A$1), FALSE), VLOOKUP($A78,raw[],COLUMN(Z$1)-COLUMN($A$1),FALSE))</f>
        <v>7.2090659994322461</v>
      </c>
      <c r="Z78" s="70">
        <f>IF(VLOOKUP($A78,raw[],COLUMN(AA$1)-COLUMN($A$1),FALSE)=0, VLOOKUP($D78, regions[], COLUMN(AA$1)-COLUMN($A$1), FALSE), VLOOKUP($A78,raw[],COLUMN(AA$1)-COLUMN($A$1),FALSE))</f>
        <v>7.2051707899404338</v>
      </c>
      <c r="AA78" s="70">
        <f>IF(VLOOKUP($A78,raw[],COLUMN(AB$1)-COLUMN($A$1),FALSE)=0, VLOOKUP($D78, regions[], COLUMN(AB$1)-COLUMN($A$1), FALSE), VLOOKUP($A78,raw[],COLUMN(AB$1)-COLUMN($A$1),FALSE))</f>
        <v>2.9951462003125915</v>
      </c>
      <c r="AB78" s="70">
        <f>IF(VLOOKUP($A78,raw[],COLUMN(AC$1)-COLUMN($A$1),FALSE)=0, VLOOKUP($D78, regions[], COLUMN(AC$1)-COLUMN($A$1), FALSE), VLOOKUP($A78,raw[],COLUMN(AC$1)-COLUMN($A$1),FALSE))</f>
        <v>7.8251462003125916</v>
      </c>
      <c r="AC78" s="72">
        <f>IF(VLOOKUP($A78,raw[],COLUMN(AD$1)-COLUMN($A$1),FALSE)=0, VLOOKUP($D78, regions[], COLUMN(AD$1)-COLUMN($A$1), FALSE), VLOOKUP($A78,raw[],COLUMN(AD$1)-COLUMN($A$1),FALSE))</f>
        <v>5.3461619999999967E-2</v>
      </c>
      <c r="AD78" s="72">
        <f>IF(VLOOKUP($A78,raw[],COLUMN(AE$1)-COLUMN($A$1),FALSE)=0, VLOOKUP($D78, regions[], COLUMN(AE$1)-COLUMN($A$1), FALSE), VLOOKUP($A78,raw[],COLUMN(AE$1)-COLUMN($A$1),FALSE))</f>
        <v>6.7054280461400981E-3</v>
      </c>
      <c r="AE78" s="72">
        <f>IF(VLOOKUP($A78,raw[],COLUMN(AF$1)-COLUMN($A$1),FALSE)=0, VLOOKUP($D78, regions[], COLUMN(AF$1)-COLUMN($A$1), FALSE), VLOOKUP($A78,raw[],COLUMN(AF$1)-COLUMN($A$1),FALSE))</f>
        <v>1.0852579371928835E-3</v>
      </c>
      <c r="AF78" s="72">
        <f>IF(VLOOKUP($A78,raw[],COLUMN(AG$1)-COLUMN($A$1),FALSE)=0, VLOOKUP($D78, regions[], COLUMN(AG$1)-COLUMN($A$1), FALSE), VLOOKUP($A78,raw[],COLUMN(AG$1)-COLUMN($A$1),FALSE))</f>
        <v>8.5631189412564181E-4</v>
      </c>
      <c r="AG78" s="72">
        <f>IF(VLOOKUP($A78,raw[],COLUMN(AH$1)-COLUMN($A$1),FALSE)=0, VLOOKUP($D78, regions[], COLUMN(AH$1)-COLUMN($A$1), FALSE), VLOOKUP($A78,raw[],COLUMN(AH$1)-COLUMN($A$1),FALSE))</f>
        <v>1.4103050217806428E-3</v>
      </c>
      <c r="AH78" s="72">
        <f>IF(VLOOKUP($A78,raw[],COLUMN(AI$1)-COLUMN($A$1),FALSE)=0, VLOOKUP($D78, regions[], COLUMN(AI$1)-COLUMN($A$1), FALSE), VLOOKUP($A78,raw[],COLUMN(AI$1)-COLUMN($A$1),FALSE))</f>
        <v>1.9744181091348187E-3</v>
      </c>
      <c r="AI78" s="72">
        <f>IF(VLOOKUP($A78,raw[],COLUMN(AJ$1)-COLUMN($A$1),FALSE)=0, VLOOKUP($D78, regions[], COLUMN(AJ$1)-COLUMN($A$1), FALSE), VLOOKUP($A78,raw[],COLUMN(AJ$1)-COLUMN($A$1),FALSE))</f>
        <v>2.1424246234527287E-3</v>
      </c>
      <c r="AJ78" s="72">
        <f>IF(VLOOKUP($A78,raw[],COLUMN(AK$1)-COLUMN($A$1),FALSE)=0, VLOOKUP($D78, regions[], COLUMN(AK$1)-COLUMN($A$1), FALSE), VLOOKUP($A78,raw[],COLUMN(AK$1)-COLUMN($A$1),FALSE))</f>
        <v>2.4583011866348469E-3</v>
      </c>
      <c r="AK78" s="72">
        <f>IF(VLOOKUP($A78,raw[],COLUMN(AL$1)-COLUMN($A$1),FALSE)=0, VLOOKUP($D78, regions[], COLUMN(AL$1)-COLUMN($A$1), FALSE), VLOOKUP($A78,raw[],COLUMN(AL$1)-COLUMN($A$1),FALSE))</f>
        <v>3.0904941387841366E-3</v>
      </c>
      <c r="AL78" s="72">
        <f>IF(VLOOKUP($A78,raw[],COLUMN(AM$1)-COLUMN($A$1),FALSE)=0, VLOOKUP($D78, regions[], COLUMN(AM$1)-COLUMN($A$1), FALSE), VLOOKUP($A78,raw[],COLUMN(AM$1)-COLUMN($A$1),FALSE))</f>
        <v>4.1692771101024245E-3</v>
      </c>
      <c r="AM78" s="72">
        <f>IF(VLOOKUP($A78,raw[],COLUMN(AN$1)-COLUMN($A$1),FALSE)=0, VLOOKUP($D78, regions[], COLUMN(AN$1)-COLUMN($A$1), FALSE), VLOOKUP($A78,raw[],COLUMN(AN$1)-COLUMN($A$1),FALSE))</f>
        <v>6.0061991860126812E-3</v>
      </c>
      <c r="AN78" s="72">
        <f>IF(VLOOKUP($A78,raw[],COLUMN(AO$1)-COLUMN($A$1),FALSE)=0, VLOOKUP($D78, regions[], COLUMN(AO$1)-COLUMN($A$1), FALSE), VLOOKUP($A78,raw[],COLUMN(AO$1)-COLUMN($A$1),FALSE))</f>
        <v>8.8874458499904312E-3</v>
      </c>
      <c r="AO78" s="72">
        <f>IF(VLOOKUP($A78,raw[],COLUMN(AP$1)-COLUMN($A$1),FALSE)=0, VLOOKUP($D78, regions[], COLUMN(AP$1)-COLUMN($A$1), FALSE), VLOOKUP($A78,raw[],COLUMN(AP$1)-COLUMN($A$1),FALSE))</f>
        <v>1.3311420499959795E-2</v>
      </c>
      <c r="AP78" s="72">
        <f>IF(VLOOKUP($A78,raw[],COLUMN(AQ$1)-COLUMN($A$1),FALSE)=0, VLOOKUP($D78, regions[], COLUMN(AQ$1)-COLUMN($A$1), FALSE), VLOOKUP($A78,raw[],COLUMN(AQ$1)-COLUMN($A$1),FALSE))</f>
        <v>2.026088885971385E-2</v>
      </c>
      <c r="AQ78" s="72">
        <f>IF(VLOOKUP($A78,raw[],COLUMN(AR$1)-COLUMN($A$1),FALSE)=0, VLOOKUP($D78, regions[], COLUMN(AR$1)-COLUMN($A$1), FALSE), VLOOKUP($A78,raw[],COLUMN(AR$1)-COLUMN($A$1),FALSE))</f>
        <v>3.0943043035614036E-2</v>
      </c>
      <c r="AR78" s="72">
        <f>IF(VLOOKUP($A78,raw[],COLUMN(AS$1)-COLUMN($A$1),FALSE)=0, VLOOKUP($D78, regions[], COLUMN(AS$1)-COLUMN($A$1), FALSE), VLOOKUP($A78,raw[],COLUMN(AS$1)-COLUMN($A$1),FALSE))</f>
        <v>4.758385707572544E-2</v>
      </c>
      <c r="AS78" s="72">
        <f>IF(VLOOKUP($A78,raw[],COLUMN(AT$1)-COLUMN($A$1),FALSE)=0, VLOOKUP($D78, regions[], COLUMN(AT$1)-COLUMN($A$1), FALSE), VLOOKUP($A78,raw[],COLUMN(AT$1)-COLUMN($A$1),FALSE))</f>
        <v>7.1525134862436793E-2</v>
      </c>
      <c r="AT78" s="72">
        <f>IF(VLOOKUP($A78,raw[],COLUMN(AU$1)-COLUMN($A$1),FALSE)=0, VLOOKUP($D78, regions[], COLUMN(AU$1)-COLUMN($A$1), FALSE), VLOOKUP($A78,raw[],COLUMN(AU$1)-COLUMN($A$1),FALSE))</f>
        <v>0.10295590327127407</v>
      </c>
      <c r="AU78" s="72">
        <f>IF(VLOOKUP($A78,raw[],COLUMN(AV$1)-COLUMN($A$1),FALSE)=0, VLOOKUP($D78, regions[], COLUMN(AV$1)-COLUMN($A$1), FALSE), VLOOKUP($A78,raw[],COLUMN(AV$1)-COLUMN($A$1),FALSE))</f>
        <v>0.13599244093972368</v>
      </c>
      <c r="AV78" s="72">
        <f>IF(VLOOKUP($A78,raw[],COLUMN(AW$1)-COLUMN($A$1),FALSE)=0, VLOOKUP($D78, regions[], COLUMN(AW$1)-COLUMN($A$1), FALSE), VLOOKUP($A78,raw[],COLUMN(AW$1)-COLUMN($A$1),FALSE))</f>
        <v>0.16264165996755808</v>
      </c>
      <c r="AW78" s="72">
        <f>IF(VLOOKUP($A78,raw[],COLUMN(AX$1)-COLUMN($A$1),FALSE)=0, VLOOKUP($D78, regions[], COLUMN(AX$1)-COLUMN($A$1), FALSE), VLOOKUP($A78,raw[],COLUMN(AX$1)-COLUMN($A$1),FALSE))</f>
        <v>0.17975411502979896</v>
      </c>
      <c r="AX78" s="72">
        <f>IF(VLOOKUP($A78,raw[],COLUMN(AY$1)-COLUMN($A$1),FALSE)=0, VLOOKUP($D78, regions[], COLUMN(AY$1)-COLUMN($A$1), FALSE), VLOOKUP($A78,raw[],COLUMN(AY$1)-COLUMN($A$1),FALSE))</f>
        <v>64.606999999999999</v>
      </c>
      <c r="AY78" t="str">
        <f t="shared" si="2"/>
        <v>Yes</v>
      </c>
    </row>
    <row r="79" spans="1:51" x14ac:dyDescent="0.25">
      <c r="A79" s="55" t="s">
        <v>378</v>
      </c>
      <c r="B79" s="56" t="s">
        <v>379</v>
      </c>
      <c r="C79" s="56">
        <v>480</v>
      </c>
      <c r="D79" s="56" t="s">
        <v>207</v>
      </c>
      <c r="E79" s="56" t="s">
        <v>261</v>
      </c>
      <c r="F79" s="56" t="s">
        <v>262</v>
      </c>
      <c r="G79" s="56" t="s">
        <v>204</v>
      </c>
      <c r="H79" s="74">
        <f>VLOOKUP(lmics[[#This Row],[setting]],raw[],8,FALSE)</f>
        <v>1271767</v>
      </c>
      <c r="I79" s="74">
        <f>VLOOKUP(lmics[[#This Row],[setting]],raw[],9,FALSE)</f>
        <v>13027.981148000001</v>
      </c>
      <c r="J79" s="67">
        <f>IF(VLOOKUP($A79,raw[],COLUMN(J$1),FALSE)=0, VLOOKUP($D79, regions[], COLUMN(J$1), FALSE), VLOOKUP($A79,raw[],COLUMN(J$1),FALSE))</f>
        <v>0.9840000000000001</v>
      </c>
      <c r="K79" s="77">
        <f>VLOOKUP($A79, raw[], 11, FALSE)</f>
        <v>0</v>
      </c>
      <c r="L79" s="77">
        <f>VLOOKUP($A79, raw[], 12, FALSE)</f>
        <v>0.93</v>
      </c>
      <c r="M79" s="77">
        <f>IF(VLOOKUP($A79,raw[],COLUMN(M$1),FALSE)=0, VLOOKUP($D79, regions[], COLUMN(M$1), FALSE), VLOOKUP($A79,raw[],COLUMN(M$1),FALSE))</f>
        <v>2.0400000000000001E-2</v>
      </c>
      <c r="N79" s="68">
        <f>IF(VLOOKUP($A79,raw[],COLUMN(N$1),FALSE)=0, VLOOKUP($D79, regions[], COLUMN(N$1), FALSE), VLOOKUP($A79,raw[],COLUMN(N$1),FALSE))</f>
        <v>0.33273537315274737</v>
      </c>
      <c r="O79" s="67">
        <f>IF(VLOOKUP($A79,raw[],COLUMN(O$1),FALSE)=0, VLOOKUP($D79, regions[], COLUMN(O$1), FALSE), VLOOKUP($A79,raw[],COLUMN(O$1),FALSE))</f>
        <v>0.8</v>
      </c>
      <c r="P79" s="68">
        <f>IF(VLOOKUP($A79,raw[],COLUMN(P$1),FALSE)=0, VLOOKUP($D79, regions[], COLUMN(P$1), FALSE), VLOOKUP($A79,raw[],COLUMN(P$1),FALSE))</f>
        <v>0.17499999999999999</v>
      </c>
      <c r="Q79" s="70">
        <f>IF(VLOOKUP($A79,raw[],COLUMN(Q$1),FALSE)=0, VLOOKUP($D79, regions[], COLUMN(Q$1), FALSE), VLOOKUP($A79,raw[],COLUMN(Q$1),FALSE))</f>
        <v>4.604183740861723</v>
      </c>
      <c r="R79" s="70">
        <f>IF(VLOOKUP($A79,raw[],COLUMN(R$1),FALSE)=0, VLOOKUP($D79, regions[], COLUMN(R$1), FALSE), VLOOKUP($A79,raw[],COLUMN(R$1),FALSE))</f>
        <v>26.929563740861724</v>
      </c>
      <c r="S79" s="70">
        <f>IF(VLOOKUP($A79,raw[],COLUMN(S$1),FALSE)=0, VLOOKUP($D79, regions[], COLUMN(S$1), FALSE), VLOOKUP($A79,raw[],COLUMN(S$1),FALSE))</f>
        <v>62.781228115348881</v>
      </c>
      <c r="T79" s="70">
        <f>IF(VLOOKUP($A79,raw[],COLUMN(U$1)-COLUMN($A$1),FALSE)=0, VLOOKUP($D79, regions[], COLUMN(U$1)-COLUMN($A$1), FALSE), VLOOKUP($A79,raw[],COLUMN(U$1)-COLUMN($A$1),FALSE))</f>
        <v>66.23277763798994</v>
      </c>
      <c r="U79" s="70">
        <f>IF(VLOOKUP($A79,raw[],COLUMN(V$1)-COLUMN($A$1),FALSE)=0, VLOOKUP($D79, regions[], COLUMN(V$1)-COLUMN($A$1), FALSE), VLOOKUP($A79,raw[],COLUMN(V$1)-COLUMN($A$1),FALSE))</f>
        <v>64.647899053655777</v>
      </c>
      <c r="V79" s="70">
        <f>IF(VLOOKUP($A79,raw[],COLUMN(W$1)-COLUMN($A$1),FALSE)=0, VLOOKUP($D79, regions[], COLUMN(W$1)-COLUMN($A$1), FALSE), VLOOKUP($A79,raw[],COLUMN(W$1)-COLUMN($A$1),FALSE))</f>
        <v>9.7902737954371677</v>
      </c>
      <c r="W79" s="70">
        <f>IF(VLOOKUP($A79,raw[],COLUMN(X$1)-COLUMN($A$1),FALSE)=0, VLOOKUP($D79, regions[], COLUMN(X$1)-COLUMN($A$1), FALSE), VLOOKUP($A79,raw[],COLUMN(X$1)-COLUMN($A$1),FALSE))</f>
        <v>10.420273795437168</v>
      </c>
      <c r="X79" s="70">
        <f>IF(VLOOKUP($A79,raw[],COLUMN(Y$1)-COLUMN($A$1),FALSE)=0, VLOOKUP($D79, regions[], COLUMN(Y$1)-COLUMN($A$1), FALSE), VLOOKUP($A79,raw[],COLUMN(Y$1)-COLUMN($A$1),FALSE))</f>
        <v>9.3616169816950769</v>
      </c>
      <c r="Y79" s="70">
        <f>IF(VLOOKUP($A79,raw[],COLUMN(Z$1)-COLUMN($A$1),FALSE)=0, VLOOKUP($D79, regions[], COLUMN(Z$1)-COLUMN($A$1), FALSE), VLOOKUP($A79,raw[],COLUMN(Z$1)-COLUMN($A$1),FALSE))</f>
        <v>9.9916169816950777</v>
      </c>
      <c r="Z79" s="70">
        <f>IF(VLOOKUP($A79,raw[],COLUMN(AA$1)-COLUMN($A$1),FALSE)=0, VLOOKUP($D79, regions[], COLUMN(AA$1)-COLUMN($A$1), FALSE), VLOOKUP($A79,raw[],COLUMN(AA$1)-COLUMN($A$1),FALSE))</f>
        <v>9.9803907979000552</v>
      </c>
      <c r="AA79" s="70">
        <f>IF(VLOOKUP($A79,raw[],COLUMN(AB$1)-COLUMN($A$1),FALSE)=0, VLOOKUP($D79, regions[], COLUMN(AB$1)-COLUMN($A$1), FALSE), VLOOKUP($A79,raw[],COLUMN(AB$1)-COLUMN($A$1),FALSE))</f>
        <v>10.001859194743197</v>
      </c>
      <c r="AB79" s="70">
        <f>IF(VLOOKUP($A79,raw[],COLUMN(AC$1)-COLUMN($A$1),FALSE)=0, VLOOKUP($D79, regions[], COLUMN(AC$1)-COLUMN($A$1), FALSE), VLOOKUP($A79,raw[],COLUMN(AC$1)-COLUMN($A$1),FALSE))</f>
        <v>10.631859194743198</v>
      </c>
      <c r="AC79" s="72">
        <f>IF(VLOOKUP($A79,raw[],COLUMN(AD$1)-COLUMN($A$1),FALSE)=0, VLOOKUP($D79, regions[], COLUMN(AD$1)-COLUMN($A$1), FALSE), VLOOKUP($A79,raw[],COLUMN(AD$1)-COLUMN($A$1),FALSE))</f>
        <v>1.1219750000000058E-2</v>
      </c>
      <c r="AD79" s="72">
        <f>IF(VLOOKUP($A79,raw[],COLUMN(AE$1)-COLUMN($A$1),FALSE)=0, VLOOKUP($D79, regions[], COLUMN(AE$1)-COLUMN($A$1), FALSE), VLOOKUP($A79,raw[],COLUMN(AE$1)-COLUMN($A$1),FALSE))</f>
        <v>4.9551202099758717E-4</v>
      </c>
      <c r="AE79" s="72">
        <f>IF(VLOOKUP($A79,raw[],COLUMN(AF$1)-COLUMN($A$1),FALSE)=0, VLOOKUP($D79, regions[], COLUMN(AF$1)-COLUMN($A$1), FALSE), VLOOKUP($A79,raw[],COLUMN(AF$1)-COLUMN($A$1),FALSE))</f>
        <v>1.4383974454358547E-4</v>
      </c>
      <c r="AF79" s="72">
        <f>IF(VLOOKUP($A79,raw[],COLUMN(AG$1)-COLUMN($A$1),FALSE)=0, VLOOKUP($D79, regions[], COLUMN(AG$1)-COLUMN($A$1), FALSE), VLOOKUP($A79,raw[],COLUMN(AG$1)-COLUMN($A$1),FALSE))</f>
        <v>1.9375106276098254E-4</v>
      </c>
      <c r="AG79" s="72">
        <f>IF(VLOOKUP($A79,raw[],COLUMN(AH$1)-COLUMN($A$1),FALSE)=0, VLOOKUP($D79, regions[], COLUMN(AH$1)-COLUMN($A$1), FALSE), VLOOKUP($A79,raw[],COLUMN(AH$1)-COLUMN($A$1),FALSE))</f>
        <v>5.5103995672075288E-4</v>
      </c>
      <c r="AH79" s="72">
        <f>IF(VLOOKUP($A79,raw[],COLUMN(AI$1)-COLUMN($A$1),FALSE)=0, VLOOKUP($D79, regions[], COLUMN(AI$1)-COLUMN($A$1), FALSE), VLOOKUP($A79,raw[],COLUMN(AI$1)-COLUMN($A$1),FALSE))</f>
        <v>8.8368451027373129E-4</v>
      </c>
      <c r="AI79" s="72">
        <f>IF(VLOOKUP($A79,raw[],COLUMN(AJ$1)-COLUMN($A$1),FALSE)=0, VLOOKUP($D79, regions[], COLUMN(AJ$1)-COLUMN($A$1), FALSE), VLOOKUP($A79,raw[],COLUMN(AJ$1)-COLUMN($A$1),FALSE))</f>
        <v>1.2165092111005393E-3</v>
      </c>
      <c r="AJ79" s="72">
        <f>IF(VLOOKUP($A79,raw[],COLUMN(AK$1)-COLUMN($A$1),FALSE)=0, VLOOKUP($D79, regions[], COLUMN(AK$1)-COLUMN($A$1), FALSE), VLOOKUP($A79,raw[],COLUMN(AK$1)-COLUMN($A$1),FALSE))</f>
        <v>1.5102263852154534E-3</v>
      </c>
      <c r="AK79" s="72">
        <f>IF(VLOOKUP($A79,raw[],COLUMN(AL$1)-COLUMN($A$1),FALSE)=0, VLOOKUP($D79, regions[], COLUMN(AL$1)-COLUMN($A$1), FALSE), VLOOKUP($A79,raw[],COLUMN(AL$1)-COLUMN($A$1),FALSE))</f>
        <v>2.2255136010703083E-3</v>
      </c>
      <c r="AL79" s="72">
        <f>IF(VLOOKUP($A79,raw[],COLUMN(AM$1)-COLUMN($A$1),FALSE)=0, VLOOKUP($D79, regions[], COLUMN(AM$1)-COLUMN($A$1), FALSE), VLOOKUP($A79,raw[],COLUMN(AM$1)-COLUMN($A$1),FALSE))</f>
        <v>3.1821406410451622E-3</v>
      </c>
      <c r="AM79" s="72">
        <f>IF(VLOOKUP($A79,raw[],COLUMN(AN$1)-COLUMN($A$1),FALSE)=0, VLOOKUP($D79, regions[], COLUMN(AN$1)-COLUMN($A$1), FALSE), VLOOKUP($A79,raw[],COLUMN(AN$1)-COLUMN($A$1),FALSE))</f>
        <v>4.6283429701317168E-3</v>
      </c>
      <c r="AN79" s="72">
        <f>IF(VLOOKUP($A79,raw[],COLUMN(AO$1)-COLUMN($A$1),FALSE)=0, VLOOKUP($D79, regions[], COLUMN(AO$1)-COLUMN($A$1), FALSE), VLOOKUP($A79,raw[],COLUMN(AO$1)-COLUMN($A$1),FALSE))</f>
        <v>6.8349836152977669E-3</v>
      </c>
      <c r="AO79" s="72">
        <f>IF(VLOOKUP($A79,raw[],COLUMN(AP$1)-COLUMN($A$1),FALSE)=0, VLOOKUP($D79, regions[], COLUMN(AP$1)-COLUMN($A$1), FALSE), VLOOKUP($A79,raw[],COLUMN(AP$1)-COLUMN($A$1),FALSE))</f>
        <v>9.5098542381649477E-3</v>
      </c>
      <c r="AP79" s="72">
        <f>IF(VLOOKUP($A79,raw[],COLUMN(AQ$1)-COLUMN($A$1),FALSE)=0, VLOOKUP($D79, regions[], COLUMN(AQ$1)-COLUMN($A$1), FALSE), VLOOKUP($A79,raw[],COLUMN(AQ$1)-COLUMN($A$1),FALSE))</f>
        <v>1.4750863515586436E-2</v>
      </c>
      <c r="AQ79" s="72">
        <f>IF(VLOOKUP($A79,raw[],COLUMN(AR$1)-COLUMN($A$1),FALSE)=0, VLOOKUP($D79, regions[], COLUMN(AR$1)-COLUMN($A$1), FALSE), VLOOKUP($A79,raw[],COLUMN(AR$1)-COLUMN($A$1),FALSE))</f>
        <v>2.1124357164764424E-2</v>
      </c>
      <c r="AR79" s="72">
        <f>IF(VLOOKUP($A79,raw[],COLUMN(AS$1)-COLUMN($A$1),FALSE)=0, VLOOKUP($D79, regions[], COLUMN(AS$1)-COLUMN($A$1), FALSE), VLOOKUP($A79,raw[],COLUMN(AS$1)-COLUMN($A$1),FALSE))</f>
        <v>3.1919984282365248E-2</v>
      </c>
      <c r="AS79" s="72">
        <f>IF(VLOOKUP($A79,raw[],COLUMN(AT$1)-COLUMN($A$1),FALSE)=0, VLOOKUP($D79, regions[], COLUMN(AT$1)-COLUMN($A$1), FALSE), VLOOKUP($A79,raw[],COLUMN(AT$1)-COLUMN($A$1),FALSE))</f>
        <v>4.5199317054123091E-2</v>
      </c>
      <c r="AT79" s="72">
        <f>IF(VLOOKUP($A79,raw[],COLUMN(AU$1)-COLUMN($A$1),FALSE)=0, VLOOKUP($D79, regions[], COLUMN(AU$1)-COLUMN($A$1), FALSE), VLOOKUP($A79,raw[],COLUMN(AU$1)-COLUMN($A$1),FALSE))</f>
        <v>6.7566756051371968E-2</v>
      </c>
      <c r="AU79" s="72">
        <f>IF(VLOOKUP($A79,raw[],COLUMN(AV$1)-COLUMN($A$1),FALSE)=0, VLOOKUP($D79, regions[], COLUMN(AV$1)-COLUMN($A$1), FALSE), VLOOKUP($A79,raw[],COLUMN(AV$1)-COLUMN($A$1),FALSE))</f>
        <v>9.4718066154717978E-2</v>
      </c>
      <c r="AV79" s="72">
        <f>IF(VLOOKUP($A79,raw[],COLUMN(AW$1)-COLUMN($A$1),FALSE)=0, VLOOKUP($D79, regions[], COLUMN(AW$1)-COLUMN($A$1), FALSE), VLOOKUP($A79,raw[],COLUMN(AW$1)-COLUMN($A$1),FALSE))</f>
        <v>0.12235017582128284</v>
      </c>
      <c r="AW79" s="72">
        <f>IF(VLOOKUP($A79,raw[],COLUMN(AX$1)-COLUMN($A$1),FALSE)=0, VLOOKUP($D79, regions[], COLUMN(AX$1)-COLUMN($A$1), FALSE), VLOOKUP($A79,raw[],COLUMN(AX$1)-COLUMN($A$1),FALSE))</f>
        <v>0.14773933517431959</v>
      </c>
      <c r="AX79" s="72">
        <f>IF(VLOOKUP($A79,raw[],COLUMN(AY$1)-COLUMN($A$1),FALSE)=0, VLOOKUP($D79, regions[], COLUMN(AY$1)-COLUMN($A$1), FALSE), VLOOKUP($A79,raw[],COLUMN(AY$1)-COLUMN($A$1),FALSE))</f>
        <v>74.763000000000005</v>
      </c>
      <c r="AY79" t="str">
        <f t="shared" si="2"/>
        <v>Yes</v>
      </c>
    </row>
    <row r="80" spans="1:51" x14ac:dyDescent="0.25">
      <c r="A80" s="53" t="s">
        <v>380</v>
      </c>
      <c r="B80" s="54" t="s">
        <v>381</v>
      </c>
      <c r="C80" s="54">
        <v>484</v>
      </c>
      <c r="D80" s="54" t="s">
        <v>215</v>
      </c>
      <c r="E80" s="54" t="s">
        <v>274</v>
      </c>
      <c r="F80" s="54" t="s">
        <v>217</v>
      </c>
      <c r="G80" s="54" t="s">
        <v>204</v>
      </c>
      <c r="H80" s="73">
        <f>VLOOKUP(lmics[[#This Row],[setting]],raw[],8,FALSE)</f>
        <v>128932753</v>
      </c>
      <c r="I80" s="73">
        <f>VLOOKUP(lmics[[#This Row],[setting]],raw[],9,FALSE)</f>
        <v>2286751.3072080002</v>
      </c>
      <c r="J80" s="67">
        <f>IF(VLOOKUP($A80,raw[],COLUMN(J$1),FALSE)=0, VLOOKUP($D80, regions[], COLUMN(J$1), FALSE), VLOOKUP($A80,raw[],COLUMN(J$1),FALSE))</f>
        <v>0.96900000000000008</v>
      </c>
      <c r="K80" s="77">
        <f>VLOOKUP($A80, raw[], 11, FALSE)</f>
        <v>0.52</v>
      </c>
      <c r="L80" s="77">
        <f>VLOOKUP($A80, raw[], 12, FALSE)</f>
        <v>0.79</v>
      </c>
      <c r="M80" s="77">
        <f>IF(VLOOKUP($A80,raw[],COLUMN(M$1),FALSE)=0, VLOOKUP($D80, regions[], COLUMN(M$1), FALSE), VLOOKUP($A80,raw[],COLUMN(M$1),FALSE))</f>
        <v>7.3000000000000001E-3</v>
      </c>
      <c r="N80" s="68">
        <f>IF(VLOOKUP($A80,raw[],COLUMN(N$1),FALSE)=0, VLOOKUP($D80, regions[], COLUMN(N$1), FALSE), VLOOKUP($A80,raw[],COLUMN(N$1),FALSE))</f>
        <v>0.31318377193893543</v>
      </c>
      <c r="O80" s="67">
        <f>IF(VLOOKUP($A80,raw[],COLUMN(O$1),FALSE)=0, VLOOKUP($D80, regions[], COLUMN(O$1), FALSE), VLOOKUP($A80,raw[],COLUMN(O$1),FALSE))</f>
        <v>0.8</v>
      </c>
      <c r="P80" s="68">
        <f>IF(VLOOKUP($A80,raw[],COLUMN(P$1),FALSE)=0, VLOOKUP($D80, regions[], COLUMN(P$1), FALSE), VLOOKUP($A80,raw[],COLUMN(P$1),FALSE))</f>
        <v>0.17499999999999999</v>
      </c>
      <c r="Q80" s="70">
        <f>IF(VLOOKUP($A80,raw[],COLUMN(Q$1),FALSE)=0, VLOOKUP($D80, regions[], COLUMN(Q$1), FALSE), VLOOKUP($A80,raw[],COLUMN(Q$1),FALSE))</f>
        <v>16.768056863955902</v>
      </c>
      <c r="R80" s="70">
        <f>IF(VLOOKUP($A80,raw[],COLUMN(R$1),FALSE)=0, VLOOKUP($D80, regions[], COLUMN(R$1), FALSE), VLOOKUP($A80,raw[],COLUMN(R$1),FALSE))</f>
        <v>39.093436863955901</v>
      </c>
      <c r="S80" s="70">
        <f>IF(VLOOKUP($A80,raw[],COLUMN(S$1),FALSE)=0, VLOOKUP($D80, regions[], COLUMN(S$1), FALSE), VLOOKUP($A80,raw[],COLUMN(S$1),FALSE))</f>
        <v>126.93414496684579</v>
      </c>
      <c r="T80" s="70">
        <f>IF(VLOOKUP($A80,raw[],COLUMN(U$1)-COLUMN($A$1),FALSE)=0, VLOOKUP($D80, regions[], COLUMN(U$1)-COLUMN($A$1), FALSE), VLOOKUP($A80,raw[],COLUMN(U$1)-COLUMN($A$1),FALSE))</f>
        <v>157.4441746733863</v>
      </c>
      <c r="U80" s="70">
        <f>IF(VLOOKUP($A80,raw[],COLUMN(V$1)-COLUMN($A$1),FALSE)=0, VLOOKUP($D80, regions[], COLUMN(V$1)-COLUMN($A$1), FALSE), VLOOKUP($A80,raw[],COLUMN(V$1)-COLUMN($A$1),FALSE))</f>
        <v>143.43461393201372</v>
      </c>
      <c r="V80" s="70">
        <f>IF(VLOOKUP($A80,raw[],COLUMN(W$1)-COLUMN($A$1),FALSE)=0, VLOOKUP($D80, regions[], COLUMN(W$1)-COLUMN($A$1), FALSE), VLOOKUP($A80,raw[],COLUMN(W$1)-COLUMN($A$1),FALSE))</f>
        <v>3.0491809411066262</v>
      </c>
      <c r="W80" s="70">
        <f>IF(VLOOKUP($A80,raw[],COLUMN(X$1)-COLUMN($A$1),FALSE)=0, VLOOKUP($D80, regions[], COLUMN(X$1)-COLUMN($A$1), FALSE), VLOOKUP($A80,raw[],COLUMN(X$1)-COLUMN($A$1),FALSE))</f>
        <v>3.0691809411066262</v>
      </c>
      <c r="X80" s="70">
        <f>IF(VLOOKUP($A80,raw[],COLUMN(Y$1)-COLUMN($A$1),FALSE)=0, VLOOKUP($D80, regions[], COLUMN(Y$1)-COLUMN($A$1), FALSE), VLOOKUP($A80,raw[],COLUMN(Y$1)-COLUMN($A$1),FALSE))</f>
        <v>2.6210391577867793</v>
      </c>
      <c r="Y80" s="70">
        <f>IF(VLOOKUP($A80,raw[],COLUMN(Z$1)-COLUMN($A$1),FALSE)=0, VLOOKUP($D80, regions[], COLUMN(Z$1)-COLUMN($A$1), FALSE), VLOOKUP($A80,raw[],COLUMN(Z$1)-COLUMN($A$1),FALSE))</f>
        <v>2.6410391577867793</v>
      </c>
      <c r="Z80" s="70">
        <f>IF(VLOOKUP($A80,raw[],COLUMN(AA$1)-COLUMN($A$1),FALSE)=0, VLOOKUP($D80, regions[], COLUMN(AA$1)-COLUMN($A$1), FALSE), VLOOKUP($A80,raw[],COLUMN(AA$1)-COLUMN($A$1),FALSE))</f>
        <v>2.6298115679890244</v>
      </c>
      <c r="AA80" s="70">
        <f>IF(VLOOKUP($A80,raw[],COLUMN(AB$1)-COLUMN($A$1),FALSE)=0, VLOOKUP($D80, regions[], COLUMN(AB$1)-COLUMN($A$1), FALSE), VLOOKUP($A80,raw[],COLUMN(AB$1)-COLUMN($A$1),FALSE))</f>
        <v>3.2605827208708122</v>
      </c>
      <c r="AB80" s="70">
        <f>IF(VLOOKUP($A80,raw[],COLUMN(AC$1)-COLUMN($A$1),FALSE)=0, VLOOKUP($D80, regions[], COLUMN(AC$1)-COLUMN($A$1), FALSE), VLOOKUP($A80,raw[],COLUMN(AC$1)-COLUMN($A$1),FALSE))</f>
        <v>3.2805827208708123</v>
      </c>
      <c r="AC80" s="72">
        <f>IF(VLOOKUP($A80,raw[],COLUMN(AD$1)-COLUMN($A$1),FALSE)=0, VLOOKUP($D80, regions[], COLUMN(AD$1)-COLUMN($A$1), FALSE), VLOOKUP($A80,raw[],COLUMN(AD$1)-COLUMN($A$1),FALSE))</f>
        <v>1.3512949999999982E-2</v>
      </c>
      <c r="AD80" s="72">
        <f>IF(VLOOKUP($A80,raw[],COLUMN(AE$1)-COLUMN($A$1),FALSE)=0, VLOOKUP($D80, regions[], COLUMN(AE$1)-COLUMN($A$1), FALSE), VLOOKUP($A80,raw[],COLUMN(AE$1)-COLUMN($A$1),FALSE))</f>
        <v>5.2048326432669505E-4</v>
      </c>
      <c r="AE80" s="72">
        <f>IF(VLOOKUP($A80,raw[],COLUMN(AF$1)-COLUMN($A$1),FALSE)=0, VLOOKUP($D80, regions[], COLUMN(AF$1)-COLUMN($A$1), FALSE), VLOOKUP($A80,raw[],COLUMN(AF$1)-COLUMN($A$1),FALSE))</f>
        <v>2.5512141122823124E-4</v>
      </c>
      <c r="AF80" s="72">
        <f>IF(VLOOKUP($A80,raw[],COLUMN(AG$1)-COLUMN($A$1),FALSE)=0, VLOOKUP($D80, regions[], COLUMN(AG$1)-COLUMN($A$1), FALSE), VLOOKUP($A80,raw[],COLUMN(AG$1)-COLUMN($A$1),FALSE))</f>
        <v>3.6238420834488225E-4</v>
      </c>
      <c r="AG80" s="72">
        <f>IF(VLOOKUP($A80,raw[],COLUMN(AH$1)-COLUMN($A$1),FALSE)=0, VLOOKUP($D80, regions[], COLUMN(AH$1)-COLUMN($A$1), FALSE), VLOOKUP($A80,raw[],COLUMN(AH$1)-COLUMN($A$1),FALSE))</f>
        <v>7.665508663240487E-4</v>
      </c>
      <c r="AH80" s="72">
        <f>IF(VLOOKUP($A80,raw[],COLUMN(AI$1)-COLUMN($A$1),FALSE)=0, VLOOKUP($D80, regions[], COLUMN(AI$1)-COLUMN($A$1), FALSE), VLOOKUP($A80,raw[],COLUMN(AI$1)-COLUMN($A$1),FALSE))</f>
        <v>1.2482475431183713E-3</v>
      </c>
      <c r="AI80" s="72">
        <f>IF(VLOOKUP($A80,raw[],COLUMN(AJ$1)-COLUMN($A$1),FALSE)=0, VLOOKUP($D80, regions[], COLUMN(AJ$1)-COLUMN($A$1), FALSE), VLOOKUP($A80,raw[],COLUMN(AJ$1)-COLUMN($A$1),FALSE))</f>
        <v>1.5675062635033927E-3</v>
      </c>
      <c r="AJ80" s="72">
        <f>IF(VLOOKUP($A80,raw[],COLUMN(AK$1)-COLUMN($A$1),FALSE)=0, VLOOKUP($D80, regions[], COLUMN(AK$1)-COLUMN($A$1), FALSE), VLOOKUP($A80,raw[],COLUMN(AK$1)-COLUMN($A$1),FALSE))</f>
        <v>1.805884966171544E-3</v>
      </c>
      <c r="AK80" s="72">
        <f>IF(VLOOKUP($A80,raw[],COLUMN(AL$1)-COLUMN($A$1),FALSE)=0, VLOOKUP($D80, regions[], COLUMN(AL$1)-COLUMN($A$1), FALSE), VLOOKUP($A80,raw[],COLUMN(AL$1)-COLUMN($A$1),FALSE))</f>
        <v>2.1867916613655036E-3</v>
      </c>
      <c r="AL80" s="72">
        <f>IF(VLOOKUP($A80,raw[],COLUMN(AM$1)-COLUMN($A$1),FALSE)=0, VLOOKUP($D80, regions[], COLUMN(AM$1)-COLUMN($A$1), FALSE), VLOOKUP($A80,raw[],COLUMN(AM$1)-COLUMN($A$1),FALSE))</f>
        <v>2.9009136323384387E-3</v>
      </c>
      <c r="AM80" s="72">
        <f>IF(VLOOKUP($A80,raw[],COLUMN(AN$1)-COLUMN($A$1),FALSE)=0, VLOOKUP($D80, regions[], COLUMN(AN$1)-COLUMN($A$1), FALSE), VLOOKUP($A80,raw[],COLUMN(AN$1)-COLUMN($A$1),FALSE))</f>
        <v>4.1225920614060153E-3</v>
      </c>
      <c r="AN80" s="72">
        <f>IF(VLOOKUP($A80,raw[],COLUMN(AO$1)-COLUMN($A$1),FALSE)=0, VLOOKUP($D80, regions[], COLUMN(AO$1)-COLUMN($A$1), FALSE), VLOOKUP($A80,raw[],COLUMN(AO$1)-COLUMN($A$1),FALSE))</f>
        <v>6.0784860347484725E-3</v>
      </c>
      <c r="AO80" s="72">
        <f>IF(VLOOKUP($A80,raw[],COLUMN(AP$1)-COLUMN($A$1),FALSE)=0, VLOOKUP($D80, regions[], COLUMN(AP$1)-COLUMN($A$1), FALSE), VLOOKUP($A80,raw[],COLUMN(AP$1)-COLUMN($A$1),FALSE))</f>
        <v>9.0887769205922671E-3</v>
      </c>
      <c r="AP80" s="72">
        <f>IF(VLOOKUP($A80,raw[],COLUMN(AQ$1)-COLUMN($A$1),FALSE)=0, VLOOKUP($D80, regions[], COLUMN(AQ$1)-COLUMN($A$1), FALSE), VLOOKUP($A80,raw[],COLUMN(AQ$1)-COLUMN($A$1),FALSE))</f>
        <v>1.3602529193538508E-2</v>
      </c>
      <c r="AQ80" s="72">
        <f>IF(VLOOKUP($A80,raw[],COLUMN(AR$1)-COLUMN($A$1),FALSE)=0, VLOOKUP($D80, regions[], COLUMN(AR$1)-COLUMN($A$1), FALSE), VLOOKUP($A80,raw[],COLUMN(AR$1)-COLUMN($A$1),FALSE))</f>
        <v>2.0289766374395436E-2</v>
      </c>
      <c r="AR80" s="72">
        <f>IF(VLOOKUP($A80,raw[],COLUMN(AS$1)-COLUMN($A$1),FALSE)=0, VLOOKUP($D80, regions[], COLUMN(AS$1)-COLUMN($A$1), FALSE), VLOOKUP($A80,raw[],COLUMN(AS$1)-COLUMN($A$1),FALSE))</f>
        <v>2.999065893376187E-2</v>
      </c>
      <c r="AS80" s="72">
        <f>IF(VLOOKUP($A80,raw[],COLUMN(AT$1)-COLUMN($A$1),FALSE)=0, VLOOKUP($D80, regions[], COLUMN(AT$1)-COLUMN($A$1), FALSE), VLOOKUP($A80,raw[],COLUMN(AT$1)-COLUMN($A$1),FALSE))</f>
        <v>4.3632283426271401E-2</v>
      </c>
      <c r="AT80" s="72">
        <f>IF(VLOOKUP($A80,raw[],COLUMN(AU$1)-COLUMN($A$1),FALSE)=0, VLOOKUP($D80, regions[], COLUMN(AU$1)-COLUMN($A$1), FALSE), VLOOKUP($A80,raw[],COLUMN(AU$1)-COLUMN($A$1),FALSE))</f>
        <v>6.2085984793593195E-2</v>
      </c>
      <c r="AU80" s="72">
        <f>IF(VLOOKUP($A80,raw[],COLUMN(AV$1)-COLUMN($A$1),FALSE)=0, VLOOKUP($D80, regions[], COLUMN(AV$1)-COLUMN($A$1), FALSE), VLOOKUP($A80,raw[],COLUMN(AV$1)-COLUMN($A$1),FALSE))</f>
        <v>8.625858645970115E-2</v>
      </c>
      <c r="AV80" s="72">
        <f>IF(VLOOKUP($A80,raw[],COLUMN(AW$1)-COLUMN($A$1),FALSE)=0, VLOOKUP($D80, regions[], COLUMN(AW$1)-COLUMN($A$1), FALSE), VLOOKUP($A80,raw[],COLUMN(AW$1)-COLUMN($A$1),FALSE))</f>
        <v>0.11671433425367923</v>
      </c>
      <c r="AW80" s="72">
        <f>IF(VLOOKUP($A80,raw[],COLUMN(AX$1)-COLUMN($A$1),FALSE)=0, VLOOKUP($D80, regions[], COLUMN(AX$1)-COLUMN($A$1), FALSE), VLOOKUP($A80,raw[],COLUMN(AX$1)-COLUMN($A$1),FALSE))</f>
        <v>0.15014208419615915</v>
      </c>
      <c r="AX80" s="72">
        <f>IF(VLOOKUP($A80,raw[],COLUMN(AY$1)-COLUMN($A$1),FALSE)=0, VLOOKUP($D80, regions[], COLUMN(AY$1)-COLUMN($A$1), FALSE), VLOOKUP($A80,raw[],COLUMN(AY$1)-COLUMN($A$1),FALSE))</f>
        <v>74.977000000000004</v>
      </c>
      <c r="AY80" t="str">
        <f t="shared" si="2"/>
        <v>No</v>
      </c>
    </row>
    <row r="81" spans="1:51" x14ac:dyDescent="0.25">
      <c r="A81" s="55" t="s">
        <v>382</v>
      </c>
      <c r="B81" s="56" t="s">
        <v>383</v>
      </c>
      <c r="C81" s="56">
        <v>583</v>
      </c>
      <c r="D81" s="56" t="s">
        <v>260</v>
      </c>
      <c r="E81" s="56" t="s">
        <v>309</v>
      </c>
      <c r="F81" s="56" t="s">
        <v>262</v>
      </c>
      <c r="G81" s="56" t="s">
        <v>212</v>
      </c>
      <c r="H81" s="74">
        <f>VLOOKUP(lmics[[#This Row],[setting]],raw[],8,FALSE)</f>
        <v>115021</v>
      </c>
      <c r="I81" s="74">
        <f>VLOOKUP(lmics[[#This Row],[setting]],raw[],9,FALSE)</f>
        <v>2629.0349969999997</v>
      </c>
      <c r="J81" s="67">
        <f>IF(VLOOKUP($A81,raw[],COLUMN(J$1),FALSE)=0, VLOOKUP($D81, regions[], COLUMN(J$1), FALSE), VLOOKUP($A81,raw[],COLUMN(J$1),FALSE))</f>
        <v>0.87</v>
      </c>
      <c r="K81" s="77">
        <f>VLOOKUP($A81, raw[], 11, FALSE)</f>
        <v>0.64</v>
      </c>
      <c r="L81" s="77">
        <f>VLOOKUP($A81, raw[], 12, FALSE)</f>
        <v>0.88</v>
      </c>
      <c r="M81" s="77">
        <f>IF(VLOOKUP($A81,raw[],COLUMN(M$1),FALSE)=0, VLOOKUP($D81, regions[], COLUMN(M$1), FALSE), VLOOKUP($A81,raw[],COLUMN(M$1),FALSE))</f>
        <v>3.9900000000000005E-2</v>
      </c>
      <c r="N81" s="68">
        <f>IF(VLOOKUP($A81,raw[],COLUMN(N$1),FALSE)=0, VLOOKUP($D81, regions[], COLUMN(N$1), FALSE), VLOOKUP($A81,raw[],COLUMN(N$1),FALSE))</f>
        <v>0.3179561234857366</v>
      </c>
      <c r="O81" s="67">
        <f>IF(VLOOKUP($A81,raw[],COLUMN(O$1),FALSE)=0, VLOOKUP($D81, regions[], COLUMN(O$1), FALSE), VLOOKUP($A81,raw[],COLUMN(O$1),FALSE))</f>
        <v>0.8</v>
      </c>
      <c r="P81" s="68">
        <f>IF(VLOOKUP($A81,raw[],COLUMN(P$1),FALSE)=0, VLOOKUP($D81, regions[], COLUMN(P$1), FALSE), VLOOKUP($A81,raw[],COLUMN(P$1),FALSE))</f>
        <v>0.17499999999999999</v>
      </c>
      <c r="Q81" s="70">
        <f>IF(VLOOKUP($A81,raw[],COLUMN(Q$1),FALSE)=0, VLOOKUP($D81, regions[], COLUMN(Q$1), FALSE), VLOOKUP($A81,raw[],COLUMN(Q$1),FALSE))</f>
        <v>7.7608125348506398</v>
      </c>
      <c r="R81" s="70">
        <f>IF(VLOOKUP($A81,raw[],COLUMN(R$1),FALSE)=0, VLOOKUP($D81, regions[], COLUMN(R$1), FALSE), VLOOKUP($A81,raw[],COLUMN(R$1),FALSE))</f>
        <v>30.086192534850642</v>
      </c>
      <c r="S81" s="70">
        <f>IF(VLOOKUP($A81,raw[],COLUMN(S$1),FALSE)=0, VLOOKUP($D81, regions[], COLUMN(S$1), FALSE), VLOOKUP($A81,raw[],COLUMN(S$1),FALSE))</f>
        <v>72.430705345926398</v>
      </c>
      <c r="T81" s="70">
        <f>IF(VLOOKUP($A81,raw[],COLUMN(U$1)-COLUMN($A$1),FALSE)=0, VLOOKUP($D81, regions[], COLUMN(U$1)-COLUMN($A$1), FALSE), VLOOKUP($A81,raw[],COLUMN(U$1)-COLUMN($A$1),FALSE))</f>
        <v>79.261555547308603</v>
      </c>
      <c r="U81" s="70">
        <f>IF(VLOOKUP($A81,raw[],COLUMN(V$1)-COLUMN($A$1),FALSE)=0, VLOOKUP($D81, regions[], COLUMN(V$1)-COLUMN($A$1), FALSE), VLOOKUP($A81,raw[],COLUMN(V$1)-COLUMN($A$1),FALSE))</f>
        <v>76.124973520613096</v>
      </c>
      <c r="V81" s="70">
        <f>IF(VLOOKUP($A81,raw[],COLUMN(W$1)-COLUMN($A$1),FALSE)=0, VLOOKUP($D81, regions[], COLUMN(W$1)-COLUMN($A$1), FALSE), VLOOKUP($A81,raw[],COLUMN(W$1)-COLUMN($A$1),FALSE))</f>
        <v>6.2723737180988435</v>
      </c>
      <c r="W81" s="70">
        <f>IF(VLOOKUP($A81,raw[],COLUMN(X$1)-COLUMN($A$1),FALSE)=0, VLOOKUP($D81, regions[], COLUMN(X$1)-COLUMN($A$1), FALSE), VLOOKUP($A81,raw[],COLUMN(X$1)-COLUMN($A$1),FALSE))</f>
        <v>6.9023737180988434</v>
      </c>
      <c r="X81" s="70">
        <f>IF(VLOOKUP($A81,raw[],COLUMN(Y$1)-COLUMN($A$1),FALSE)=0, VLOOKUP($D81, regions[], COLUMN(Y$1)-COLUMN($A$1), FALSE), VLOOKUP($A81,raw[],COLUMN(Y$1)-COLUMN($A$1),FALSE))</f>
        <v>5.8510847420789736</v>
      </c>
      <c r="Y81" s="70">
        <f>IF(VLOOKUP($A81,raw[],COLUMN(Z$1)-COLUMN($A$1),FALSE)=0, VLOOKUP($D81, regions[], COLUMN(Z$1)-COLUMN($A$1), FALSE), VLOOKUP($A81,raw[],COLUMN(Z$1)-COLUMN($A$1),FALSE))</f>
        <v>6.4810847420789734</v>
      </c>
      <c r="Z81" s="70">
        <f>IF(VLOOKUP($A81,raw[],COLUMN(AA$1)-COLUMN($A$1),FALSE)=0, VLOOKUP($D81, regions[], COLUMN(AA$1)-COLUMN($A$1), FALSE), VLOOKUP($A81,raw[],COLUMN(AA$1)-COLUMN($A$1),FALSE))</f>
        <v>6.4732316403838652</v>
      </c>
      <c r="AA81" s="70">
        <f>IF(VLOOKUP($A81,raw[],COLUMN(AB$1)-COLUMN($A$1),FALSE)=0, VLOOKUP($D81, regions[], COLUMN(AB$1)-COLUMN($A$1), FALSE), VLOOKUP($A81,raw[],COLUMN(AB$1)-COLUMN($A$1),FALSE))</f>
        <v>6.4813323230865159</v>
      </c>
      <c r="AB81" s="70">
        <f>IF(VLOOKUP($A81,raw[],COLUMN(AC$1)-COLUMN($A$1),FALSE)=0, VLOOKUP($D81, regions[], COLUMN(AC$1)-COLUMN($A$1), FALSE), VLOOKUP($A81,raw[],COLUMN(AC$1)-COLUMN($A$1),FALSE))</f>
        <v>7.1113323230865157</v>
      </c>
      <c r="AC81" s="72">
        <f>IF(VLOOKUP($A81,raw[],COLUMN(AD$1)-COLUMN($A$1),FALSE)=0, VLOOKUP($D81, regions[], COLUMN(AD$1)-COLUMN($A$1), FALSE), VLOOKUP($A81,raw[],COLUMN(AD$1)-COLUMN($A$1),FALSE))</f>
        <v>2.3440869999999996E-2</v>
      </c>
      <c r="AD81" s="72">
        <f>IF(VLOOKUP($A81,raw[],COLUMN(AE$1)-COLUMN($A$1),FALSE)=0, VLOOKUP($D81, regions[], COLUMN(AE$1)-COLUMN($A$1), FALSE), VLOOKUP($A81,raw[],COLUMN(AE$1)-COLUMN($A$1),FALSE))</f>
        <v>2.1648868307646732E-3</v>
      </c>
      <c r="AE81" s="72">
        <f>IF(VLOOKUP($A81,raw[],COLUMN(AF$1)-COLUMN($A$1),FALSE)=0, VLOOKUP($D81, regions[], COLUMN(AF$1)-COLUMN($A$1), FALSE), VLOOKUP($A81,raw[],COLUMN(AF$1)-COLUMN($A$1),FALSE))</f>
        <v>6.4018629761514146E-4</v>
      </c>
      <c r="AF81" s="72">
        <f>IF(VLOOKUP($A81,raw[],COLUMN(AG$1)-COLUMN($A$1),FALSE)=0, VLOOKUP($D81, regions[], COLUMN(AG$1)-COLUMN($A$1), FALSE), VLOOKUP($A81,raw[],COLUMN(AG$1)-COLUMN($A$1),FALSE))</f>
        <v>5.4743414776815629E-4</v>
      </c>
      <c r="AG81" s="72">
        <f>IF(VLOOKUP($A81,raw[],COLUMN(AH$1)-COLUMN($A$1),FALSE)=0, VLOOKUP($D81, regions[], COLUMN(AH$1)-COLUMN($A$1), FALSE), VLOOKUP($A81,raw[],COLUMN(AH$1)-COLUMN($A$1),FALSE))</f>
        <v>1.0747219997257551E-3</v>
      </c>
      <c r="AH81" s="72">
        <f>IF(VLOOKUP($A81,raw[],COLUMN(AI$1)-COLUMN($A$1),FALSE)=0, VLOOKUP($D81, regions[], COLUMN(AI$1)-COLUMN($A$1), FALSE), VLOOKUP($A81,raw[],COLUMN(AI$1)-COLUMN($A$1),FALSE))</f>
        <v>1.3907297498618539E-3</v>
      </c>
      <c r="AI81" s="72">
        <f>IF(VLOOKUP($A81,raw[],COLUMN(AJ$1)-COLUMN($A$1),FALSE)=0, VLOOKUP($D81, regions[], COLUMN(AJ$1)-COLUMN($A$1), FALSE), VLOOKUP($A81,raw[],COLUMN(AJ$1)-COLUMN($A$1),FALSE))</f>
        <v>1.4766862405901995E-3</v>
      </c>
      <c r="AJ81" s="72">
        <f>IF(VLOOKUP($A81,raw[],COLUMN(AK$1)-COLUMN($A$1),FALSE)=0, VLOOKUP($D81, regions[], COLUMN(AK$1)-COLUMN($A$1), FALSE), VLOOKUP($A81,raw[],COLUMN(AK$1)-COLUMN($A$1),FALSE))</f>
        <v>1.7383537476311204E-3</v>
      </c>
      <c r="AK81" s="72">
        <f>IF(VLOOKUP($A81,raw[],COLUMN(AL$1)-COLUMN($A$1),FALSE)=0, VLOOKUP($D81, regions[], COLUMN(AL$1)-COLUMN($A$1), FALSE), VLOOKUP($A81,raw[],COLUMN(AL$1)-COLUMN($A$1),FALSE))</f>
        <v>2.3014617765703032E-3</v>
      </c>
      <c r="AL81" s="72">
        <f>IF(VLOOKUP($A81,raw[],COLUMN(AM$1)-COLUMN($A$1),FALSE)=0, VLOOKUP($D81, regions[], COLUMN(AM$1)-COLUMN($A$1), FALSE), VLOOKUP($A81,raw[],COLUMN(AM$1)-COLUMN($A$1),FALSE))</f>
        <v>3.2324636179329146E-3</v>
      </c>
      <c r="AM81" s="72">
        <f>IF(VLOOKUP($A81,raw[],COLUMN(AN$1)-COLUMN($A$1),FALSE)=0, VLOOKUP($D81, regions[], COLUMN(AN$1)-COLUMN($A$1), FALSE), VLOOKUP($A81,raw[],COLUMN(AN$1)-COLUMN($A$1),FALSE))</f>
        <v>4.8579253902303852E-3</v>
      </c>
      <c r="AN81" s="72">
        <f>IF(VLOOKUP($A81,raw[],COLUMN(AO$1)-COLUMN($A$1),FALSE)=0, VLOOKUP($D81, regions[], COLUMN(AO$1)-COLUMN($A$1), FALSE), VLOOKUP($A81,raw[],COLUMN(AO$1)-COLUMN($A$1),FALSE))</f>
        <v>7.4483614104042797E-3</v>
      </c>
      <c r="AO81" s="72">
        <f>IF(VLOOKUP($A81,raw[],COLUMN(AP$1)-COLUMN($A$1),FALSE)=0, VLOOKUP($D81, regions[], COLUMN(AP$1)-COLUMN($A$1), FALSE), VLOOKUP($A81,raw[],COLUMN(AP$1)-COLUMN($A$1),FALSE))</f>
        <v>1.1546852725601551E-2</v>
      </c>
      <c r="AP81" s="72">
        <f>IF(VLOOKUP($A81,raw[],COLUMN(AQ$1)-COLUMN($A$1),FALSE)=0, VLOOKUP($D81, regions[], COLUMN(AQ$1)-COLUMN($A$1), FALSE), VLOOKUP($A81,raw[],COLUMN(AQ$1)-COLUMN($A$1),FALSE))</f>
        <v>2.1899808913202371E-2</v>
      </c>
      <c r="AQ81" s="72">
        <f>IF(VLOOKUP($A81,raw[],COLUMN(AR$1)-COLUMN($A$1),FALSE)=0, VLOOKUP($D81, regions[], COLUMN(AR$1)-COLUMN($A$1), FALSE), VLOOKUP($A81,raw[],COLUMN(AR$1)-COLUMN($A$1),FALSE))</f>
        <v>4.0487706625867939E-2</v>
      </c>
      <c r="AR81" s="72">
        <f>IF(VLOOKUP($A81,raw[],COLUMN(AS$1)-COLUMN($A$1),FALSE)=0, VLOOKUP($D81, regions[], COLUMN(AS$1)-COLUMN($A$1), FALSE), VLOOKUP($A81,raw[],COLUMN(AS$1)-COLUMN($A$1),FALSE))</f>
        <v>6.4035401977734774E-2</v>
      </c>
      <c r="AS81" s="72">
        <f>IF(VLOOKUP($A81,raw[],COLUMN(AT$1)-COLUMN($A$1),FALSE)=0, VLOOKUP($D81, regions[], COLUMN(AT$1)-COLUMN($A$1), FALSE), VLOOKUP($A81,raw[],COLUMN(AT$1)-COLUMN($A$1),FALSE))</f>
        <v>9.1371027832408427E-2</v>
      </c>
      <c r="AT81" s="72">
        <f>IF(VLOOKUP($A81,raw[],COLUMN(AU$1)-COLUMN($A$1),FALSE)=0, VLOOKUP($D81, regions[], COLUMN(AU$1)-COLUMN($A$1), FALSE), VLOOKUP($A81,raw[],COLUMN(AU$1)-COLUMN($A$1),FALSE))</f>
        <v>0.12448796858623369</v>
      </c>
      <c r="AU81" s="72">
        <f>IF(VLOOKUP($A81,raw[],COLUMN(AV$1)-COLUMN($A$1),FALSE)=0, VLOOKUP($D81, regions[], COLUMN(AV$1)-COLUMN($A$1), FALSE), VLOOKUP($A81,raw[],COLUMN(AV$1)-COLUMN($A$1),FALSE))</f>
        <v>0.15754479641058214</v>
      </c>
      <c r="AV81" s="72">
        <f>IF(VLOOKUP($A81,raw[],COLUMN(AW$1)-COLUMN($A$1),FALSE)=0, VLOOKUP($D81, regions[], COLUMN(AW$1)-COLUMN($A$1), FALSE), VLOOKUP($A81,raw[],COLUMN(AW$1)-COLUMN($A$1),FALSE))</f>
        <v>0.17929461044094072</v>
      </c>
      <c r="AW81" s="72">
        <f>IF(VLOOKUP($A81,raw[],COLUMN(AX$1)-COLUMN($A$1),FALSE)=0, VLOOKUP($D81, regions[], COLUMN(AX$1)-COLUMN($A$1), FALSE), VLOOKUP($A81,raw[],COLUMN(AX$1)-COLUMN($A$1),FALSE))</f>
        <v>0.18928679973190748</v>
      </c>
      <c r="AX81" s="72">
        <f>IF(VLOOKUP($A81,raw[],COLUMN(AY$1)-COLUMN($A$1),FALSE)=0, VLOOKUP($D81, regions[], COLUMN(AY$1)-COLUMN($A$1), FALSE), VLOOKUP($A81,raw[],COLUMN(AY$1)-COLUMN($A$1),FALSE))</f>
        <v>67.695999999999998</v>
      </c>
      <c r="AY81" t="str">
        <f t="shared" si="2"/>
        <v>No</v>
      </c>
    </row>
    <row r="82" spans="1:51" x14ac:dyDescent="0.25">
      <c r="A82" s="53" t="s">
        <v>384</v>
      </c>
      <c r="B82" s="54" t="s">
        <v>385</v>
      </c>
      <c r="C82" s="54">
        <v>498</v>
      </c>
      <c r="D82" s="54" t="s">
        <v>201</v>
      </c>
      <c r="E82" s="54" t="s">
        <v>229</v>
      </c>
      <c r="F82" s="54" t="s">
        <v>203</v>
      </c>
      <c r="G82" s="54" t="s">
        <v>212</v>
      </c>
      <c r="H82" s="73">
        <f>VLOOKUP(lmics[[#This Row],[setting]],raw[],8,FALSE)</f>
        <v>4033963</v>
      </c>
      <c r="I82" s="73">
        <f>VLOOKUP(lmics[[#This Row],[setting]],raw[],9,FALSE)</f>
        <v>40944.724450000002</v>
      </c>
      <c r="J82" s="67">
        <f>IF(VLOOKUP($A82,raw[],COLUMN(J$1),FALSE)=0, VLOOKUP($D82, regions[], COLUMN(J$1), FALSE), VLOOKUP($A82,raw[],COLUMN(J$1),FALSE))</f>
        <v>0.99400000000000011</v>
      </c>
      <c r="K82" s="77">
        <f>VLOOKUP($A82, raw[], 11, FALSE)</f>
        <v>0.95</v>
      </c>
      <c r="L82" s="77">
        <f>VLOOKUP($A82, raw[], 12, FALSE)</f>
        <v>0.87</v>
      </c>
      <c r="M82" s="77">
        <f>IF(VLOOKUP($A82,raw[],COLUMN(M$1),FALSE)=0, VLOOKUP($D82, regions[], COLUMN(M$1), FALSE), VLOOKUP($A82,raw[],COLUMN(M$1),FALSE))</f>
        <v>4.7800000000000002E-2</v>
      </c>
      <c r="N82" s="68">
        <f>IF(VLOOKUP($A82,raw[],COLUMN(N$1),FALSE)=0, VLOOKUP($D82, regions[], COLUMN(N$1), FALSE), VLOOKUP($A82,raw[],COLUMN(N$1),FALSE))</f>
        <v>0.29822610488439383</v>
      </c>
      <c r="O82" s="67">
        <f>IF(VLOOKUP($A82,raw[],COLUMN(O$1),FALSE)=0, VLOOKUP($D82, regions[], COLUMN(O$1), FALSE), VLOOKUP($A82,raw[],COLUMN(O$1),FALSE))</f>
        <v>0.8</v>
      </c>
      <c r="P82" s="68">
        <f>IF(VLOOKUP($A82,raw[],COLUMN(P$1),FALSE)=0, VLOOKUP($D82, regions[], COLUMN(P$1), FALSE), VLOOKUP($A82,raw[],COLUMN(P$1),FALSE))</f>
        <v>0.17499999999999999</v>
      </c>
      <c r="Q82" s="70">
        <f>IF(VLOOKUP($A82,raw[],COLUMN(Q$1),FALSE)=0, VLOOKUP($D82, regions[], COLUMN(Q$1), FALSE), VLOOKUP($A82,raw[],COLUMN(Q$1),FALSE))</f>
        <v>10.440165744766531</v>
      </c>
      <c r="R82" s="70">
        <f>IF(VLOOKUP($A82,raw[],COLUMN(R$1),FALSE)=0, VLOOKUP($D82, regions[], COLUMN(R$1), FALSE), VLOOKUP($A82,raw[],COLUMN(R$1),FALSE))</f>
        <v>32.765545744766527</v>
      </c>
      <c r="S82" s="70">
        <f>IF(VLOOKUP($A82,raw[],COLUMN(S$1),FALSE)=0, VLOOKUP($D82, regions[], COLUMN(S$1), FALSE), VLOOKUP($A82,raw[],COLUMN(S$1),FALSE))</f>
        <v>93.239133416362165</v>
      </c>
      <c r="T82" s="70">
        <f>IF(VLOOKUP($A82,raw[],COLUMN(U$1)-COLUMN($A$1),FALSE)=0, VLOOKUP($D82, regions[], COLUMN(U$1)-COLUMN($A$1), FALSE), VLOOKUP($A82,raw[],COLUMN(U$1)-COLUMN($A$1),FALSE))</f>
        <v>109.50553345067601</v>
      </c>
      <c r="U82" s="70">
        <f>IF(VLOOKUP($A82,raw[],COLUMN(V$1)-COLUMN($A$1),FALSE)=0, VLOOKUP($D82, regions[], COLUMN(V$1)-COLUMN($A$1), FALSE), VLOOKUP($A82,raw[],COLUMN(V$1)-COLUMN($A$1),FALSE))</f>
        <v>102.03634638281378</v>
      </c>
      <c r="V82" s="70">
        <f>IF(VLOOKUP($A82,raw[],COLUMN(W$1)-COLUMN($A$1),FALSE)=0, VLOOKUP($D82, regions[], COLUMN(W$1)-COLUMN($A$1), FALSE), VLOOKUP($A82,raw[],COLUMN(W$1)-COLUMN($A$1),FALSE))</f>
        <v>5.0968982832679943</v>
      </c>
      <c r="W82" s="70">
        <f>IF(VLOOKUP($A82,raw[],COLUMN(X$1)-COLUMN($A$1),FALSE)=0, VLOOKUP($D82, regions[], COLUMN(X$1)-COLUMN($A$1), FALSE), VLOOKUP($A82,raw[],COLUMN(X$1)-COLUMN($A$1),FALSE))</f>
        <v>9.1668982832679937</v>
      </c>
      <c r="X82" s="70">
        <f>IF(VLOOKUP($A82,raw[],COLUMN(Y$1)-COLUMN($A$1),FALSE)=0, VLOOKUP($D82, regions[], COLUMN(Y$1)-COLUMN($A$1), FALSE), VLOOKUP($A82,raw[],COLUMN(Y$1)-COLUMN($A$1),FALSE))</f>
        <v>4.6814022425588222</v>
      </c>
      <c r="Y82" s="70">
        <f>IF(VLOOKUP($A82,raw[],COLUMN(Z$1)-COLUMN($A$1),FALSE)=0, VLOOKUP($D82, regions[], COLUMN(Z$1)-COLUMN($A$1), FALSE), VLOOKUP($A82,raw[],COLUMN(Z$1)-COLUMN($A$1),FALSE))</f>
        <v>8.7514022425588216</v>
      </c>
      <c r="Z82" s="70">
        <f>IF(VLOOKUP($A82,raw[],COLUMN(AA$1)-COLUMN($A$1),FALSE)=0, VLOOKUP($D82, regions[], COLUMN(AA$1)-COLUMN($A$1), FALSE), VLOOKUP($A82,raw[],COLUMN(AA$1)-COLUMN($A$1),FALSE))</f>
        <v>8.7455508626604939</v>
      </c>
      <c r="AA82" s="70">
        <f>IF(VLOOKUP($A82,raw[],COLUMN(AB$1)-COLUMN($A$1),FALSE)=0, VLOOKUP($D82, regions[], COLUMN(AB$1)-COLUMN($A$1), FALSE), VLOOKUP($A82,raw[],COLUMN(AB$1)-COLUMN($A$1),FALSE))</f>
        <v>5.3037915808840266</v>
      </c>
      <c r="AB82" s="70">
        <f>IF(VLOOKUP($A82,raw[],COLUMN(AC$1)-COLUMN($A$1),FALSE)=0, VLOOKUP($D82, regions[], COLUMN(AC$1)-COLUMN($A$1), FALSE), VLOOKUP($A82,raw[],COLUMN(AC$1)-COLUMN($A$1),FALSE))</f>
        <v>9.3737915808840278</v>
      </c>
      <c r="AC82" s="72">
        <f>IF(VLOOKUP($A82,raw[],COLUMN(AD$1)-COLUMN($A$1),FALSE)=0, VLOOKUP($D82, regions[], COLUMN(AD$1)-COLUMN($A$1), FALSE), VLOOKUP($A82,raw[],COLUMN(AD$1)-COLUMN($A$1),FALSE))</f>
        <v>1.2356070000000037E-2</v>
      </c>
      <c r="AD82" s="72">
        <f>IF(VLOOKUP($A82,raw[],COLUMN(AE$1)-COLUMN($A$1),FALSE)=0, VLOOKUP($D82, regions[], COLUMN(AE$1)-COLUMN($A$1), FALSE), VLOOKUP($A82,raw[],COLUMN(AE$1)-COLUMN($A$1),FALSE))</f>
        <v>5.1653230937185452E-4</v>
      </c>
      <c r="AE82" s="72">
        <f>IF(VLOOKUP($A82,raw[],COLUMN(AF$1)-COLUMN($A$1),FALSE)=0, VLOOKUP($D82, regions[], COLUMN(AF$1)-COLUMN($A$1), FALSE), VLOOKUP($A82,raw[],COLUMN(AF$1)-COLUMN($A$1),FALSE))</f>
        <v>2.2573381524593341E-4</v>
      </c>
      <c r="AF82" s="72">
        <f>IF(VLOOKUP($A82,raw[],COLUMN(AG$1)-COLUMN($A$1),FALSE)=0, VLOOKUP($D82, regions[], COLUMN(AG$1)-COLUMN($A$1), FALSE), VLOOKUP($A82,raw[],COLUMN(AG$1)-COLUMN($A$1),FALSE))</f>
        <v>1.7649731270754883E-4</v>
      </c>
      <c r="AG82" s="72">
        <f>IF(VLOOKUP($A82,raw[],COLUMN(AH$1)-COLUMN($A$1),FALSE)=0, VLOOKUP($D82, regions[], COLUMN(AH$1)-COLUMN($A$1), FALSE), VLOOKUP($A82,raw[],COLUMN(AH$1)-COLUMN($A$1),FALSE))</f>
        <v>4.1222334865976097E-4</v>
      </c>
      <c r="AH82" s="72">
        <f>IF(VLOOKUP($A82,raw[],COLUMN(AI$1)-COLUMN($A$1),FALSE)=0, VLOOKUP($D82, regions[], COLUMN(AI$1)-COLUMN($A$1), FALSE), VLOOKUP($A82,raw[],COLUMN(AI$1)-COLUMN($A$1),FALSE))</f>
        <v>5.5838521956235755E-4</v>
      </c>
      <c r="AI82" s="72">
        <f>IF(VLOOKUP($A82,raw[],COLUMN(AJ$1)-COLUMN($A$1),FALSE)=0, VLOOKUP($D82, regions[], COLUMN(AJ$1)-COLUMN($A$1), FALSE), VLOOKUP($A82,raw[],COLUMN(AJ$1)-COLUMN($A$1),FALSE))</f>
        <v>8.3978185065986986E-4</v>
      </c>
      <c r="AJ82" s="72">
        <f>IF(VLOOKUP($A82,raw[],COLUMN(AK$1)-COLUMN($A$1),FALSE)=0, VLOOKUP($D82, regions[], COLUMN(AK$1)-COLUMN($A$1), FALSE), VLOOKUP($A82,raw[],COLUMN(AK$1)-COLUMN($A$1),FALSE))</f>
        <v>1.2911409393618447E-3</v>
      </c>
      <c r="AK82" s="72">
        <f>IF(VLOOKUP($A82,raw[],COLUMN(AL$1)-COLUMN($A$1),FALSE)=0, VLOOKUP($D82, regions[], COLUMN(AL$1)-COLUMN($A$1), FALSE), VLOOKUP($A82,raw[],COLUMN(AL$1)-COLUMN($A$1),FALSE))</f>
        <v>2.3089872457516974E-3</v>
      </c>
      <c r="AL82" s="72">
        <f>IF(VLOOKUP($A82,raw[],COLUMN(AM$1)-COLUMN($A$1),FALSE)=0, VLOOKUP($D82, regions[], COLUMN(AM$1)-COLUMN($A$1), FALSE), VLOOKUP($A82,raw[],COLUMN(AM$1)-COLUMN($A$1),FALSE))</f>
        <v>3.2472068089578732E-3</v>
      </c>
      <c r="AM82" s="72">
        <f>IF(VLOOKUP($A82,raw[],COLUMN(AN$1)-COLUMN($A$1),FALSE)=0, VLOOKUP($D82, regions[], COLUMN(AN$1)-COLUMN($A$1), FALSE), VLOOKUP($A82,raw[],COLUMN(AN$1)-COLUMN($A$1),FALSE))</f>
        <v>5.7588767309607655E-3</v>
      </c>
      <c r="AN82" s="72">
        <f>IF(VLOOKUP($A82,raw[],COLUMN(AO$1)-COLUMN($A$1),FALSE)=0, VLOOKUP($D82, regions[], COLUMN(AO$1)-COLUMN($A$1), FALSE), VLOOKUP($A82,raw[],COLUMN(AO$1)-COLUMN($A$1),FALSE))</f>
        <v>8.5519787927547056E-3</v>
      </c>
      <c r="AO82" s="72">
        <f>IF(VLOOKUP($A82,raw[],COLUMN(AP$1)-COLUMN($A$1),FALSE)=0, VLOOKUP($D82, regions[], COLUMN(AP$1)-COLUMN($A$1), FALSE), VLOOKUP($A82,raw[],COLUMN(AP$1)-COLUMN($A$1),FALSE))</f>
        <v>1.2821928563051331E-2</v>
      </c>
      <c r="AP82" s="72">
        <f>IF(VLOOKUP($A82,raw[],COLUMN(AQ$1)-COLUMN($A$1),FALSE)=0, VLOOKUP($D82, regions[], COLUMN(AQ$1)-COLUMN($A$1), FALSE), VLOOKUP($A82,raw[],COLUMN(AQ$1)-COLUMN($A$1),FALSE))</f>
        <v>2.1091767696511721E-2</v>
      </c>
      <c r="AQ82" s="72">
        <f>IF(VLOOKUP($A82,raw[],COLUMN(AR$1)-COLUMN($A$1),FALSE)=0, VLOOKUP($D82, regions[], COLUMN(AR$1)-COLUMN($A$1), FALSE), VLOOKUP($A82,raw[],COLUMN(AR$1)-COLUMN($A$1),FALSE))</f>
        <v>2.7372341396522927E-2</v>
      </c>
      <c r="AR82" s="72">
        <f>IF(VLOOKUP($A82,raw[],COLUMN(AS$1)-COLUMN($A$1),FALSE)=0, VLOOKUP($D82, regions[], COLUMN(AS$1)-COLUMN($A$1), FALSE), VLOOKUP($A82,raw[],COLUMN(AS$1)-COLUMN($A$1),FALSE))</f>
        <v>4.2432166669116665E-2</v>
      </c>
      <c r="AS82" s="72">
        <f>IF(VLOOKUP($A82,raw[],COLUMN(AT$1)-COLUMN($A$1),FALSE)=0, VLOOKUP($D82, regions[], COLUMN(AT$1)-COLUMN($A$1), FALSE), VLOOKUP($A82,raw[],COLUMN(AT$1)-COLUMN($A$1),FALSE))</f>
        <v>6.3749925590814951E-2</v>
      </c>
      <c r="AT82" s="72">
        <f>IF(VLOOKUP($A82,raw[],COLUMN(AU$1)-COLUMN($A$1),FALSE)=0, VLOOKUP($D82, regions[], COLUMN(AU$1)-COLUMN($A$1), FALSE), VLOOKUP($A82,raw[],COLUMN(AU$1)-COLUMN($A$1),FALSE))</f>
        <v>9.2125842449112899E-2</v>
      </c>
      <c r="AU82" s="72">
        <f>IF(VLOOKUP($A82,raw[],COLUMN(AV$1)-COLUMN($A$1),FALSE)=0, VLOOKUP($D82, regions[], COLUMN(AV$1)-COLUMN($A$1), FALSE), VLOOKUP($A82,raw[],COLUMN(AV$1)-COLUMN($A$1),FALSE))</f>
        <v>0.12388987526553405</v>
      </c>
      <c r="AV82" s="72">
        <f>IF(VLOOKUP($A82,raw[],COLUMN(AW$1)-COLUMN($A$1),FALSE)=0, VLOOKUP($D82, regions[], COLUMN(AW$1)-COLUMN($A$1), FALSE), VLOOKUP($A82,raw[],COLUMN(AW$1)-COLUMN($A$1),FALSE))</f>
        <v>0.15013067830054949</v>
      </c>
      <c r="AW82" s="72">
        <f>IF(VLOOKUP($A82,raw[],COLUMN(AX$1)-COLUMN($A$1),FALSE)=0, VLOOKUP($D82, regions[], COLUMN(AX$1)-COLUMN($A$1), FALSE), VLOOKUP($A82,raw[],COLUMN(AX$1)-COLUMN($A$1),FALSE))</f>
        <v>0.17315483450424698</v>
      </c>
      <c r="AX82" s="72">
        <f>IF(VLOOKUP($A82,raw[],COLUMN(AY$1)-COLUMN($A$1),FALSE)=0, VLOOKUP($D82, regions[], COLUMN(AY$1)-COLUMN($A$1), FALSE), VLOOKUP($A82,raw[],COLUMN(AY$1)-COLUMN($A$1),FALSE))</f>
        <v>71.683999999999997</v>
      </c>
      <c r="AY82" t="str">
        <f t="shared" si="2"/>
        <v>No</v>
      </c>
    </row>
    <row r="83" spans="1:51" x14ac:dyDescent="0.25">
      <c r="A83" s="55" t="s">
        <v>386</v>
      </c>
      <c r="B83" s="56" t="s">
        <v>387</v>
      </c>
      <c r="C83" s="56">
        <v>496</v>
      </c>
      <c r="D83" s="56" t="s">
        <v>260</v>
      </c>
      <c r="E83" s="56" t="s">
        <v>220</v>
      </c>
      <c r="F83" s="56" t="s">
        <v>203</v>
      </c>
      <c r="G83" s="56" t="s">
        <v>212</v>
      </c>
      <c r="H83" s="74">
        <f>VLOOKUP(lmics[[#This Row],[setting]],raw[],8,FALSE)</f>
        <v>3278292</v>
      </c>
      <c r="I83" s="74">
        <f>VLOOKUP(lmics[[#This Row],[setting]],raw[],9,FALSE)</f>
        <v>80124.734771999996</v>
      </c>
      <c r="J83" s="67">
        <f>IF(VLOOKUP($A83,raw[],COLUMN(J$1),FALSE)=0, VLOOKUP($D83, regions[], COLUMN(J$1), FALSE), VLOOKUP($A83,raw[],COLUMN(J$1),FALSE))</f>
        <v>0.9840000000000001</v>
      </c>
      <c r="K83" s="77">
        <f>VLOOKUP($A83, raw[], 11, FALSE)</f>
        <v>0.98</v>
      </c>
      <c r="L83" s="77">
        <f>VLOOKUP($A83, raw[], 12, FALSE)</f>
        <v>0.96</v>
      </c>
      <c r="M83" s="77">
        <f>IF(VLOOKUP($A83,raw[],COLUMN(M$1),FALSE)=0, VLOOKUP($D83, regions[], COLUMN(M$1), FALSE), VLOOKUP($A83,raw[],COLUMN(M$1),FALSE))</f>
        <v>9.4E-2</v>
      </c>
      <c r="N83" s="68">
        <f>IF(VLOOKUP($A83,raw[],COLUMN(N$1),FALSE)=0, VLOOKUP($D83, regions[], COLUMN(N$1), FALSE), VLOOKUP($A83,raw[],COLUMN(N$1),FALSE))</f>
        <v>0.28953580197018131</v>
      </c>
      <c r="O83" s="67">
        <f>IF(VLOOKUP($A83,raw[],COLUMN(O$1),FALSE)=0, VLOOKUP($D83, regions[], COLUMN(O$1), FALSE), VLOOKUP($A83,raw[],COLUMN(O$1),FALSE))</f>
        <v>0.8</v>
      </c>
      <c r="P83" s="68">
        <f>IF(VLOOKUP($A83,raw[],COLUMN(P$1),FALSE)=0, VLOOKUP($D83, regions[], COLUMN(P$1), FALSE), VLOOKUP($A83,raw[],COLUMN(P$1),FALSE))</f>
        <v>0.17499999999999999</v>
      </c>
      <c r="Q83" s="70">
        <f>IF(VLOOKUP($A83,raw[],COLUMN(Q$1),FALSE)=0, VLOOKUP($D83, regions[], COLUMN(Q$1), FALSE), VLOOKUP($A83,raw[],COLUMN(Q$1),FALSE))</f>
        <v>4.6751915706430802</v>
      </c>
      <c r="R83" s="70">
        <f>IF(VLOOKUP($A83,raw[],COLUMN(R$1),FALSE)=0, VLOOKUP($D83, regions[], COLUMN(R$1), FALSE), VLOOKUP($A83,raw[],COLUMN(R$1),FALSE))</f>
        <v>27.000571570643082</v>
      </c>
      <c r="S83" s="70">
        <f>IF(VLOOKUP($A83,raw[],COLUMN(S$1),FALSE)=0, VLOOKUP($D83, regions[], COLUMN(S$1), FALSE), VLOOKUP($A83,raw[],COLUMN(S$1),FALSE))</f>
        <v>62.764016443809524</v>
      </c>
      <c r="T83" s="70">
        <f>IF(VLOOKUP($A83,raw[],COLUMN(U$1)-COLUMN($A$1),FALSE)=0, VLOOKUP($D83, regions[], COLUMN(U$1)-COLUMN($A$1), FALSE), VLOOKUP($A83,raw[],COLUMN(U$1)-COLUMN($A$1),FALSE))</f>
        <v>66.169650799385948</v>
      </c>
      <c r="U83" s="70">
        <f>IF(VLOOKUP($A83,raw[],COLUMN(V$1)-COLUMN($A$1),FALSE)=0, VLOOKUP($D83, regions[], COLUMN(V$1)-COLUMN($A$1), FALSE), VLOOKUP($A83,raw[],COLUMN(V$1)-COLUMN($A$1),FALSE))</f>
        <v>64.60585548924486</v>
      </c>
      <c r="V83" s="70">
        <f>IF(VLOOKUP($A83,raw[],COLUMN(W$1)-COLUMN($A$1),FALSE)=0, VLOOKUP($D83, regions[], COLUMN(W$1)-COLUMN($A$1), FALSE), VLOOKUP($A83,raw[],COLUMN(W$1)-COLUMN($A$1),FALSE))</f>
        <v>6.6620857266877191</v>
      </c>
      <c r="W83" s="70">
        <f>IF(VLOOKUP($A83,raw[],COLUMN(X$1)-COLUMN($A$1),FALSE)=0, VLOOKUP($D83, regions[], COLUMN(X$1)-COLUMN($A$1), FALSE), VLOOKUP($A83,raw[],COLUMN(X$1)-COLUMN($A$1),FALSE))</f>
        <v>10.732085726687719</v>
      </c>
      <c r="X83" s="70">
        <f>IF(VLOOKUP($A83,raw[],COLUMN(Y$1)-COLUMN($A$1),FALSE)=0, VLOOKUP($D83, regions[], COLUMN(Y$1)-COLUMN($A$1), FALSE), VLOOKUP($A83,raw[],COLUMN(Y$1)-COLUMN($A$1),FALSE))</f>
        <v>6.236336730693794</v>
      </c>
      <c r="Y83" s="70">
        <f>IF(VLOOKUP($A83,raw[],COLUMN(Z$1)-COLUMN($A$1),FALSE)=0, VLOOKUP($D83, regions[], COLUMN(Z$1)-COLUMN($A$1), FALSE), VLOOKUP($A83,raw[],COLUMN(Z$1)-COLUMN($A$1),FALSE))</f>
        <v>10.306336730693793</v>
      </c>
      <c r="Z83" s="70">
        <f>IF(VLOOKUP($A83,raw[],COLUMN(AA$1)-COLUMN($A$1),FALSE)=0, VLOOKUP($D83, regions[], COLUMN(AA$1)-COLUMN($A$1), FALSE), VLOOKUP($A83,raw[],COLUMN(AA$1)-COLUMN($A$1),FALSE))</f>
        <v>10.295948823679453</v>
      </c>
      <c r="AA83" s="70">
        <f>IF(VLOOKUP($A83,raw[],COLUMN(AB$1)-COLUMN($A$1),FALSE)=0, VLOOKUP($D83, regions[], COLUMN(AB$1)-COLUMN($A$1), FALSE), VLOOKUP($A83,raw[],COLUMN(AB$1)-COLUMN($A$1),FALSE))</f>
        <v>6.8726344257530982</v>
      </c>
      <c r="AB83" s="70">
        <f>IF(VLOOKUP($A83,raw[],COLUMN(AC$1)-COLUMN($A$1),FALSE)=0, VLOOKUP($D83, regions[], COLUMN(AC$1)-COLUMN($A$1), FALSE), VLOOKUP($A83,raw[],COLUMN(AC$1)-COLUMN($A$1),FALSE))</f>
        <v>10.942634425753099</v>
      </c>
      <c r="AC83" s="72">
        <f>IF(VLOOKUP($A83,raw[],COLUMN(AD$1)-COLUMN($A$1),FALSE)=0, VLOOKUP($D83, regions[], COLUMN(AD$1)-COLUMN($A$1), FALSE), VLOOKUP($A83,raw[],COLUMN(AD$1)-COLUMN($A$1),FALSE))</f>
        <v>1.8091659999999975E-2</v>
      </c>
      <c r="AD83" s="72">
        <f>IF(VLOOKUP($A83,raw[],COLUMN(AE$1)-COLUMN($A$1),FALSE)=0, VLOOKUP($D83, regions[], COLUMN(AE$1)-COLUMN($A$1), FALSE), VLOOKUP($A83,raw[],COLUMN(AE$1)-COLUMN($A$1),FALSE))</f>
        <v>1.089134246481696E-3</v>
      </c>
      <c r="AE83" s="72">
        <f>IF(VLOOKUP($A83,raw[],COLUMN(AF$1)-COLUMN($A$1),FALSE)=0, VLOOKUP($D83, regions[], COLUMN(AF$1)-COLUMN($A$1), FALSE), VLOOKUP($A83,raw[],COLUMN(AF$1)-COLUMN($A$1),FALSE))</f>
        <v>3.6072929057807485E-4</v>
      </c>
      <c r="AF83" s="72">
        <f>IF(VLOOKUP($A83,raw[],COLUMN(AG$1)-COLUMN($A$1),FALSE)=0, VLOOKUP($D83, regions[], COLUMN(AG$1)-COLUMN($A$1), FALSE), VLOOKUP($A83,raw[],COLUMN(AG$1)-COLUMN($A$1),FALSE))</f>
        <v>3.3589812188814335E-4</v>
      </c>
      <c r="AG83" s="72">
        <f>IF(VLOOKUP($A83,raw[],COLUMN(AH$1)-COLUMN($A$1),FALSE)=0, VLOOKUP($D83, regions[], COLUMN(AH$1)-COLUMN($A$1), FALSE), VLOOKUP($A83,raw[],COLUMN(AH$1)-COLUMN($A$1),FALSE))</f>
        <v>5.2098873409926738E-4</v>
      </c>
      <c r="AH83" s="72">
        <f>IF(VLOOKUP($A83,raw[],COLUMN(AI$1)-COLUMN($A$1),FALSE)=0, VLOOKUP($D83, regions[], COLUMN(AI$1)-COLUMN($A$1), FALSE), VLOOKUP($A83,raw[],COLUMN(AI$1)-COLUMN($A$1),FALSE))</f>
        <v>9.0125812173430834E-4</v>
      </c>
      <c r="AI83" s="72">
        <f>IF(VLOOKUP($A83,raw[],COLUMN(AJ$1)-COLUMN($A$1),FALSE)=0, VLOOKUP($D83, regions[], COLUMN(AJ$1)-COLUMN($A$1), FALSE), VLOOKUP($A83,raw[],COLUMN(AJ$1)-COLUMN($A$1),FALSE))</f>
        <v>1.2885255419651149E-3</v>
      </c>
      <c r="AJ83" s="72">
        <f>IF(VLOOKUP($A83,raw[],COLUMN(AK$1)-COLUMN($A$1),FALSE)=0, VLOOKUP($D83, regions[], COLUMN(AK$1)-COLUMN($A$1), FALSE), VLOOKUP($A83,raw[],COLUMN(AK$1)-COLUMN($A$1),FALSE))</f>
        <v>1.9471744177746583E-3</v>
      </c>
      <c r="AK83" s="72">
        <f>IF(VLOOKUP($A83,raw[],COLUMN(AL$1)-COLUMN($A$1),FALSE)=0, VLOOKUP($D83, regions[], COLUMN(AL$1)-COLUMN($A$1), FALSE), VLOOKUP($A83,raw[],COLUMN(AL$1)-COLUMN($A$1),FALSE))</f>
        <v>2.8349576770170136E-3</v>
      </c>
      <c r="AL83" s="72">
        <f>IF(VLOOKUP($A83,raw[],COLUMN(AM$1)-COLUMN($A$1),FALSE)=0, VLOOKUP($D83, regions[], COLUMN(AM$1)-COLUMN($A$1), FALSE), VLOOKUP($A83,raw[],COLUMN(AM$1)-COLUMN($A$1),FALSE))</f>
        <v>4.345514061239268E-3</v>
      </c>
      <c r="AM83" s="72">
        <f>IF(VLOOKUP($A83,raw[],COLUMN(AN$1)-COLUMN($A$1),FALSE)=0, VLOOKUP($D83, regions[], COLUMN(AN$1)-COLUMN($A$1), FALSE), VLOOKUP($A83,raw[],COLUMN(AN$1)-COLUMN($A$1),FALSE))</f>
        <v>7.4750551799561129E-3</v>
      </c>
      <c r="AN83" s="72">
        <f>IF(VLOOKUP($A83,raw[],COLUMN(AO$1)-COLUMN($A$1),FALSE)=0, VLOOKUP($D83, regions[], COLUMN(AO$1)-COLUMN($A$1), FALSE), VLOOKUP($A83,raw[],COLUMN(AO$1)-COLUMN($A$1),FALSE))</f>
        <v>1.117685746018055E-2</v>
      </c>
      <c r="AO83" s="72">
        <f>IF(VLOOKUP($A83,raw[],COLUMN(AP$1)-COLUMN($A$1),FALSE)=0, VLOOKUP($D83, regions[], COLUMN(AP$1)-COLUMN($A$1), FALSE), VLOOKUP($A83,raw[],COLUMN(AP$1)-COLUMN($A$1),FALSE))</f>
        <v>1.5155314954888392E-2</v>
      </c>
      <c r="AP83" s="72">
        <f>IF(VLOOKUP($A83,raw[],COLUMN(AQ$1)-COLUMN($A$1),FALSE)=0, VLOOKUP($D83, regions[], COLUMN(AQ$1)-COLUMN($A$1), FALSE), VLOOKUP($A83,raw[],COLUMN(AQ$1)-COLUMN($A$1),FALSE))</f>
        <v>2.128058637037436E-2</v>
      </c>
      <c r="AQ83" s="72">
        <f>IF(VLOOKUP($A83,raw[],COLUMN(AR$1)-COLUMN($A$1),FALSE)=0, VLOOKUP($D83, regions[], COLUMN(AR$1)-COLUMN($A$1), FALSE), VLOOKUP($A83,raw[],COLUMN(AR$1)-COLUMN($A$1),FALSE))</f>
        <v>2.9015889101694226E-2</v>
      </c>
      <c r="AR83" s="72">
        <f>IF(VLOOKUP($A83,raw[],COLUMN(AS$1)-COLUMN($A$1),FALSE)=0, VLOOKUP($D83, regions[], COLUMN(AS$1)-COLUMN($A$1), FALSE), VLOOKUP($A83,raw[],COLUMN(AS$1)-COLUMN($A$1),FALSE))</f>
        <v>4.6152979981666467E-2</v>
      </c>
      <c r="AS83" s="72">
        <f>IF(VLOOKUP($A83,raw[],COLUMN(AT$1)-COLUMN($A$1),FALSE)=0, VLOOKUP($D83, regions[], COLUMN(AT$1)-COLUMN($A$1), FALSE), VLOOKUP($A83,raw[],COLUMN(AT$1)-COLUMN($A$1),FALSE))</f>
        <v>6.588315657394142E-2</v>
      </c>
      <c r="AT83" s="72">
        <f>IF(VLOOKUP($A83,raw[],COLUMN(AU$1)-COLUMN($A$1),FALSE)=0, VLOOKUP($D83, regions[], COLUMN(AU$1)-COLUMN($A$1), FALSE), VLOOKUP($A83,raw[],COLUMN(AU$1)-COLUMN($A$1),FALSE))</f>
        <v>9.0022095675955552E-2</v>
      </c>
      <c r="AU83" s="72">
        <f>IF(VLOOKUP($A83,raw[],COLUMN(AV$1)-COLUMN($A$1),FALSE)=0, VLOOKUP($D83, regions[], COLUMN(AV$1)-COLUMN($A$1), FALSE), VLOOKUP($A83,raw[],COLUMN(AV$1)-COLUMN($A$1),FALSE))</f>
        <v>0.11735601180715931</v>
      </c>
      <c r="AV83" s="72">
        <f>IF(VLOOKUP($A83,raw[],COLUMN(AW$1)-COLUMN($A$1),FALSE)=0, VLOOKUP($D83, regions[], COLUMN(AW$1)-COLUMN($A$1), FALSE), VLOOKUP($A83,raw[],COLUMN(AW$1)-COLUMN($A$1),FALSE))</f>
        <v>0.1436109653144062</v>
      </c>
      <c r="AW83" s="72">
        <f>IF(VLOOKUP($A83,raw[],COLUMN(AX$1)-COLUMN($A$1),FALSE)=0, VLOOKUP($D83, regions[], COLUMN(AX$1)-COLUMN($A$1), FALSE), VLOOKUP($A83,raw[],COLUMN(AX$1)-COLUMN($A$1),FALSE))</f>
        <v>0.16511405527935535</v>
      </c>
      <c r="AX83" s="72">
        <f>IF(VLOOKUP($A83,raw[],COLUMN(AY$1)-COLUMN($A$1),FALSE)=0, VLOOKUP($D83, regions[], COLUMN(AY$1)-COLUMN($A$1), FALSE), VLOOKUP($A83,raw[],COLUMN(AY$1)-COLUMN($A$1),FALSE))</f>
        <v>69.549000000000007</v>
      </c>
      <c r="AY83" t="str">
        <f t="shared" si="2"/>
        <v>No</v>
      </c>
    </row>
    <row r="84" spans="1:51" x14ac:dyDescent="0.25">
      <c r="A84" s="53" t="s">
        <v>388</v>
      </c>
      <c r="B84" s="54" t="s">
        <v>389</v>
      </c>
      <c r="C84" s="54">
        <v>499</v>
      </c>
      <c r="D84" s="54" t="s">
        <v>201</v>
      </c>
      <c r="E84" s="54" t="s">
        <v>202</v>
      </c>
      <c r="F84" s="54" t="s">
        <v>203</v>
      </c>
      <c r="G84" s="54" t="s">
        <v>204</v>
      </c>
      <c r="H84" s="73">
        <f>VLOOKUP(lmics[[#This Row],[setting]],raw[],8,FALSE)</f>
        <v>628062</v>
      </c>
      <c r="I84" s="73">
        <f>VLOOKUP(lmics[[#This Row],[setting]],raw[],9,FALSE)</f>
        <v>7424.3209020000004</v>
      </c>
      <c r="J84" s="67">
        <f>IF(VLOOKUP($A84,raw[],COLUMN(J$1),FALSE)=0, VLOOKUP($D84, regions[], COLUMN(J$1), FALSE), VLOOKUP($A84,raw[],COLUMN(J$1),FALSE))</f>
        <v>0.98599999999999999</v>
      </c>
      <c r="K84" s="77">
        <f>VLOOKUP($A84, raw[], 11, FALSE)</f>
        <v>0</v>
      </c>
      <c r="L84" s="77">
        <f>VLOOKUP($A84, raw[], 12, FALSE)</f>
        <v>0.52</v>
      </c>
      <c r="M84" s="77">
        <f>IF(VLOOKUP($A84,raw[],COLUMN(M$1),FALSE)=0, VLOOKUP($D84, regions[], COLUMN(M$1), FALSE), VLOOKUP($A84,raw[],COLUMN(M$1),FALSE))</f>
        <v>3.1400000000000004E-2</v>
      </c>
      <c r="N84" s="68">
        <f>IF(VLOOKUP($A84,raw[],COLUMN(N$1),FALSE)=0, VLOOKUP($D84, regions[], COLUMN(N$1), FALSE), VLOOKUP($A84,raw[],COLUMN(N$1),FALSE))</f>
        <v>0.28213738136324418</v>
      </c>
      <c r="O84" s="67">
        <f>IF(VLOOKUP($A84,raw[],COLUMN(O$1),FALSE)=0, VLOOKUP($D84, regions[], COLUMN(O$1), FALSE), VLOOKUP($A84,raw[],COLUMN(O$1),FALSE))</f>
        <v>0.8</v>
      </c>
      <c r="P84" s="68">
        <f>IF(VLOOKUP($A84,raw[],COLUMN(P$1),FALSE)=0, VLOOKUP($D84, regions[], COLUMN(P$1), FALSE), VLOOKUP($A84,raw[],COLUMN(P$1),FALSE))</f>
        <v>0.17499999999999999</v>
      </c>
      <c r="Q84" s="70">
        <f>IF(VLOOKUP($A84,raw[],COLUMN(Q$1),FALSE)=0, VLOOKUP($D84, regions[], COLUMN(Q$1), FALSE), VLOOKUP($A84,raw[],COLUMN(Q$1),FALSE))</f>
        <v>10.440165744766531</v>
      </c>
      <c r="R84" s="70">
        <f>IF(VLOOKUP($A84,raw[],COLUMN(R$1),FALSE)=0, VLOOKUP($D84, regions[], COLUMN(R$1), FALSE), VLOOKUP($A84,raw[],COLUMN(R$1),FALSE))</f>
        <v>32.765545744766527</v>
      </c>
      <c r="S84" s="70">
        <f>IF(VLOOKUP($A84,raw[],COLUMN(S$1),FALSE)=0, VLOOKUP($D84, regions[], COLUMN(S$1), FALSE), VLOOKUP($A84,raw[],COLUMN(S$1),FALSE))</f>
        <v>93.239133416362165</v>
      </c>
      <c r="T84" s="70">
        <f>IF(VLOOKUP($A84,raw[],COLUMN(U$1)-COLUMN($A$1),FALSE)=0, VLOOKUP($D84, regions[], COLUMN(U$1)-COLUMN($A$1), FALSE), VLOOKUP($A84,raw[],COLUMN(U$1)-COLUMN($A$1),FALSE))</f>
        <v>109.50553345067601</v>
      </c>
      <c r="U84" s="70">
        <f>IF(VLOOKUP($A84,raw[],COLUMN(V$1)-COLUMN($A$1),FALSE)=0, VLOOKUP($D84, regions[], COLUMN(V$1)-COLUMN($A$1), FALSE), VLOOKUP($A84,raw[],COLUMN(V$1)-COLUMN($A$1),FALSE))</f>
        <v>102.03634638281378</v>
      </c>
      <c r="V84" s="70">
        <f>IF(VLOOKUP($A84,raw[],COLUMN(W$1)-COLUMN($A$1),FALSE)=0, VLOOKUP($D84, regions[], COLUMN(W$1)-COLUMN($A$1), FALSE), VLOOKUP($A84,raw[],COLUMN(W$1)-COLUMN($A$1),FALSE))</f>
        <v>8.0111984012150277</v>
      </c>
      <c r="W84" s="70">
        <f>IF(VLOOKUP($A84,raw[],COLUMN(X$1)-COLUMN($A$1),FALSE)=0, VLOOKUP($D84, regions[], COLUMN(X$1)-COLUMN($A$1), FALSE), VLOOKUP($A84,raw[],COLUMN(X$1)-COLUMN($A$1),FALSE))</f>
        <v>12.081198401215028</v>
      </c>
      <c r="X84" s="70">
        <f>IF(VLOOKUP($A84,raw[],COLUMN(Y$1)-COLUMN($A$1),FALSE)=0, VLOOKUP($D84, regions[], COLUMN(Y$1)-COLUMN($A$1), FALSE), VLOOKUP($A84,raw[],COLUMN(Y$1)-COLUMN($A$1),FALSE))</f>
        <v>7.5859668124446431</v>
      </c>
      <c r="Y84" s="70">
        <f>IF(VLOOKUP($A84,raw[],COLUMN(Z$1)-COLUMN($A$1),FALSE)=0, VLOOKUP($D84, regions[], COLUMN(Z$1)-COLUMN($A$1), FALSE), VLOOKUP($A84,raw[],COLUMN(Z$1)-COLUMN($A$1),FALSE))</f>
        <v>11.655966812444642</v>
      </c>
      <c r="Z84" s="70">
        <f>IF(VLOOKUP($A84,raw[],COLUMN(AA$1)-COLUMN($A$1),FALSE)=0, VLOOKUP($D84, regions[], COLUMN(AA$1)-COLUMN($A$1), FALSE), VLOOKUP($A84,raw[],COLUMN(AA$1)-COLUMN($A$1),FALSE))</f>
        <v>11.646309287652764</v>
      </c>
      <c r="AA84" s="70">
        <f>IF(VLOOKUP($A84,raw[],COLUMN(AB$1)-COLUMN($A$1),FALSE)=0, VLOOKUP($D84, regions[], COLUMN(AB$1)-COLUMN($A$1), FALSE), VLOOKUP($A84,raw[],COLUMN(AB$1)-COLUMN($A$1),FALSE))</f>
        <v>8.221562633357232</v>
      </c>
      <c r="AB84" s="70">
        <f>IF(VLOOKUP($A84,raw[],COLUMN(AC$1)-COLUMN($A$1),FALSE)=0, VLOOKUP($D84, regions[], COLUMN(AC$1)-COLUMN($A$1), FALSE), VLOOKUP($A84,raw[],COLUMN(AC$1)-COLUMN($A$1),FALSE))</f>
        <v>12.291562633357232</v>
      </c>
      <c r="AC84" s="72">
        <f>IF(VLOOKUP($A84,raw[],COLUMN(AD$1)-COLUMN($A$1),FALSE)=0, VLOOKUP($D84, regions[], COLUMN(AD$1)-COLUMN($A$1), FALSE), VLOOKUP($A84,raw[],COLUMN(AD$1)-COLUMN($A$1),FALSE))</f>
        <v>2.7589900000000488E-3</v>
      </c>
      <c r="AD84" s="72">
        <f>IF(VLOOKUP($A84,raw[],COLUMN(AE$1)-COLUMN($A$1),FALSE)=0, VLOOKUP($D84, regions[], COLUMN(AE$1)-COLUMN($A$1), FALSE), VLOOKUP($A84,raw[],COLUMN(AE$1)-COLUMN($A$1),FALSE))</f>
        <v>1.0978288989539571E-4</v>
      </c>
      <c r="AE84" s="72">
        <f>IF(VLOOKUP($A84,raw[],COLUMN(AF$1)-COLUMN($A$1),FALSE)=0, VLOOKUP($D84, regions[], COLUMN(AF$1)-COLUMN($A$1), FALSE), VLOOKUP($A84,raw[],COLUMN(AF$1)-COLUMN($A$1),FALSE))</f>
        <v>1.2963041677568015E-4</v>
      </c>
      <c r="AF84" s="72">
        <f>IF(VLOOKUP($A84,raw[],COLUMN(AG$1)-COLUMN($A$1),FALSE)=0, VLOOKUP($D84, regions[], COLUMN(AG$1)-COLUMN($A$1), FALSE), VLOOKUP($A84,raw[],COLUMN(AG$1)-COLUMN($A$1),FALSE))</f>
        <v>1.4090750613701859E-4</v>
      </c>
      <c r="AG84" s="72">
        <f>IF(VLOOKUP($A84,raw[],COLUMN(AH$1)-COLUMN($A$1),FALSE)=0, VLOOKUP($D84, regions[], COLUMN(AH$1)-COLUMN($A$1), FALSE), VLOOKUP($A84,raw[],COLUMN(AH$1)-COLUMN($A$1),FALSE))</f>
        <v>2.598449485189175E-4</v>
      </c>
      <c r="AH84" s="72">
        <f>IF(VLOOKUP($A84,raw[],COLUMN(AI$1)-COLUMN($A$1),FALSE)=0, VLOOKUP($D84, regions[], COLUMN(AI$1)-COLUMN($A$1), FALSE), VLOOKUP($A84,raw[],COLUMN(AI$1)-COLUMN($A$1),FALSE))</f>
        <v>3.8511837498975804E-4</v>
      </c>
      <c r="AI84" s="72">
        <f>IF(VLOOKUP($A84,raw[],COLUMN(AJ$1)-COLUMN($A$1),FALSE)=0, VLOOKUP($D84, regions[], COLUMN(AJ$1)-COLUMN($A$1), FALSE), VLOOKUP($A84,raw[],COLUMN(AJ$1)-COLUMN($A$1),FALSE))</f>
        <v>5.8594049785019419E-4</v>
      </c>
      <c r="AJ84" s="72">
        <f>IF(VLOOKUP($A84,raw[],COLUMN(AK$1)-COLUMN($A$1),FALSE)=0, VLOOKUP($D84, regions[], COLUMN(AK$1)-COLUMN($A$1), FALSE), VLOOKUP($A84,raw[],COLUMN(AK$1)-COLUMN($A$1),FALSE))</f>
        <v>5.8344926577957336E-4</v>
      </c>
      <c r="AK84" s="72">
        <f>IF(VLOOKUP($A84,raw[],COLUMN(AL$1)-COLUMN($A$1),FALSE)=0, VLOOKUP($D84, regions[], COLUMN(AL$1)-COLUMN($A$1), FALSE), VLOOKUP($A84,raw[],COLUMN(AL$1)-COLUMN($A$1),FALSE))</f>
        <v>9.7097040585871115E-4</v>
      </c>
      <c r="AL84" s="72">
        <f>IF(VLOOKUP($A84,raw[],COLUMN(AM$1)-COLUMN($A$1),FALSE)=0, VLOOKUP($D84, regions[], COLUMN(AM$1)-COLUMN($A$1), FALSE), VLOOKUP($A84,raw[],COLUMN(AM$1)-COLUMN($A$1),FALSE))</f>
        <v>1.506992281523925E-3</v>
      </c>
      <c r="AM84" s="72">
        <f>IF(VLOOKUP($A84,raw[],COLUMN(AN$1)-COLUMN($A$1),FALSE)=0, VLOOKUP($D84, regions[], COLUMN(AN$1)-COLUMN($A$1), FALSE), VLOOKUP($A84,raw[],COLUMN(AN$1)-COLUMN($A$1),FALSE))</f>
        <v>2.5610333053270123E-3</v>
      </c>
      <c r="AN84" s="72">
        <f>IF(VLOOKUP($A84,raw[],COLUMN(AO$1)-COLUMN($A$1),FALSE)=0, VLOOKUP($D84, regions[], COLUMN(AO$1)-COLUMN($A$1), FALSE), VLOOKUP($A84,raw[],COLUMN(AO$1)-COLUMN($A$1),FALSE))</f>
        <v>4.7821152331354623E-3</v>
      </c>
      <c r="AO84" s="72">
        <f>IF(VLOOKUP($A84,raw[],COLUMN(AP$1)-COLUMN($A$1),FALSE)=0, VLOOKUP($D84, regions[], COLUMN(AP$1)-COLUMN($A$1), FALSE), VLOOKUP($A84,raw[],COLUMN(AP$1)-COLUMN($A$1),FALSE))</f>
        <v>8.5308074137273905E-3</v>
      </c>
      <c r="AP84" s="72">
        <f>IF(VLOOKUP($A84,raw[],COLUMN(AQ$1)-COLUMN($A$1),FALSE)=0, VLOOKUP($D84, regions[], COLUMN(AQ$1)-COLUMN($A$1), FALSE), VLOOKUP($A84,raw[],COLUMN(AQ$1)-COLUMN($A$1),FALSE))</f>
        <v>1.2795081982261316E-2</v>
      </c>
      <c r="AQ84" s="72">
        <f>IF(VLOOKUP($A84,raw[],COLUMN(AR$1)-COLUMN($A$1),FALSE)=0, VLOOKUP($D84, regions[], COLUMN(AR$1)-COLUMN($A$1), FALSE), VLOOKUP($A84,raw[],COLUMN(AR$1)-COLUMN($A$1),FALSE))</f>
        <v>2.1186155006874843E-2</v>
      </c>
      <c r="AR84" s="72">
        <f>IF(VLOOKUP($A84,raw[],COLUMN(AS$1)-COLUMN($A$1),FALSE)=0, VLOOKUP($D84, regions[], COLUMN(AS$1)-COLUMN($A$1), FALSE), VLOOKUP($A84,raw[],COLUMN(AS$1)-COLUMN($A$1),FALSE))</f>
        <v>3.0975367630566662E-2</v>
      </c>
      <c r="AS84" s="72">
        <f>IF(VLOOKUP($A84,raw[],COLUMN(AT$1)-COLUMN($A$1),FALSE)=0, VLOOKUP($D84, regions[], COLUMN(AT$1)-COLUMN($A$1), FALSE), VLOOKUP($A84,raw[],COLUMN(AT$1)-COLUMN($A$1),FALSE))</f>
        <v>5.1451402750234264E-2</v>
      </c>
      <c r="AT84" s="72">
        <f>IF(VLOOKUP($A84,raw[],COLUMN(AU$1)-COLUMN($A$1),FALSE)=0, VLOOKUP($D84, regions[], COLUMN(AU$1)-COLUMN($A$1), FALSE), VLOOKUP($A84,raw[],COLUMN(AU$1)-COLUMN($A$1),FALSE))</f>
        <v>8.1119943211650655E-2</v>
      </c>
      <c r="AU84" s="72">
        <f>IF(VLOOKUP($A84,raw[],COLUMN(AV$1)-COLUMN($A$1),FALSE)=0, VLOOKUP($D84, regions[], COLUMN(AV$1)-COLUMN($A$1), FALSE), VLOOKUP($A84,raw[],COLUMN(AV$1)-COLUMN($A$1),FALSE))</f>
        <v>0.11760632921694675</v>
      </c>
      <c r="AV84" s="72">
        <f>IF(VLOOKUP($A84,raw[],COLUMN(AW$1)-COLUMN($A$1),FALSE)=0, VLOOKUP($D84, regions[], COLUMN(AW$1)-COLUMN($A$1), FALSE), VLOOKUP($A84,raw[],COLUMN(AW$1)-COLUMN($A$1),FALSE))</f>
        <v>0.15578243420900695</v>
      </c>
      <c r="AW84" s="72">
        <f>IF(VLOOKUP($A84,raw[],COLUMN(AX$1)-COLUMN($A$1),FALSE)=0, VLOOKUP($D84, regions[], COLUMN(AX$1)-COLUMN($A$1), FALSE), VLOOKUP($A84,raw[],COLUMN(AX$1)-COLUMN($A$1),FALSE))</f>
        <v>0.17912229417993825</v>
      </c>
      <c r="AX84" s="72">
        <f>IF(VLOOKUP($A84,raw[],COLUMN(AY$1)-COLUMN($A$1),FALSE)=0, VLOOKUP($D84, regions[], COLUMN(AY$1)-COLUMN($A$1), FALSE), VLOOKUP($A84,raw[],COLUMN(AY$1)-COLUMN($A$1),FALSE))</f>
        <v>76.652000000000001</v>
      </c>
      <c r="AY84" t="str">
        <f t="shared" si="2"/>
        <v>Yes</v>
      </c>
    </row>
    <row r="85" spans="1:51" x14ac:dyDescent="0.25">
      <c r="A85" s="55" t="s">
        <v>390</v>
      </c>
      <c r="B85" s="56" t="s">
        <v>391</v>
      </c>
      <c r="C85" s="56">
        <v>504</v>
      </c>
      <c r="D85" s="56" t="s">
        <v>196</v>
      </c>
      <c r="E85" s="56" t="s">
        <v>197</v>
      </c>
      <c r="F85" s="56" t="s">
        <v>197</v>
      </c>
      <c r="G85" s="56" t="s">
        <v>212</v>
      </c>
      <c r="H85" s="74">
        <f>VLOOKUP(lmics[[#This Row],[setting]],raw[],8,FALSE)</f>
        <v>36910558</v>
      </c>
      <c r="I85" s="74">
        <f>VLOOKUP(lmics[[#This Row],[setting]],raw[],9,FALSE)</f>
        <v>703256.86157399998</v>
      </c>
      <c r="J85" s="67">
        <f>IF(VLOOKUP($A85,raw[],COLUMN(J$1),FALSE)=0, VLOOKUP($D85, regions[], COLUMN(J$1), FALSE), VLOOKUP($A85,raw[],COLUMN(J$1),FALSE))</f>
        <v>0.86099999999999999</v>
      </c>
      <c r="K85" s="77">
        <f>VLOOKUP($A85, raw[], 11, FALSE)</f>
        <v>0.41</v>
      </c>
      <c r="L85" s="77">
        <f>VLOOKUP($A85, raw[], 12, FALSE)</f>
        <v>0.99</v>
      </c>
      <c r="M85" s="77">
        <f>IF(VLOOKUP($A85,raw[],COLUMN(M$1),FALSE)=0, VLOOKUP($D85, regions[], COLUMN(M$1), FALSE), VLOOKUP($A85,raw[],COLUMN(M$1),FALSE))</f>
        <v>1.37E-2</v>
      </c>
      <c r="N85" s="68">
        <f>IF(VLOOKUP($A85,raw[],COLUMN(N$1),FALSE)=0, VLOOKUP($D85, regions[], COLUMN(N$1), FALSE), VLOOKUP($A85,raw[],COLUMN(N$1),FALSE))</f>
        <v>0.25084579049460559</v>
      </c>
      <c r="O85" s="67">
        <f>IF(VLOOKUP($A85,raw[],COLUMN(O$1),FALSE)=0, VLOOKUP($D85, regions[], COLUMN(O$1), FALSE), VLOOKUP($A85,raw[],COLUMN(O$1),FALSE))</f>
        <v>0.8</v>
      </c>
      <c r="P85" s="68">
        <f>IF(VLOOKUP($A85,raw[],COLUMN(P$1),FALSE)=0, VLOOKUP($D85, regions[], COLUMN(P$1), FALSE), VLOOKUP($A85,raw[],COLUMN(P$1),FALSE))</f>
        <v>0.17499999999999999</v>
      </c>
      <c r="Q85" s="70">
        <f>IF(VLOOKUP($A85,raw[],COLUMN(Q$1),FALSE)=0, VLOOKUP($D85, regions[], COLUMN(Q$1), FALSE), VLOOKUP($A85,raw[],COLUMN(Q$1),FALSE))</f>
        <v>7.1730536370777696</v>
      </c>
      <c r="R85" s="70">
        <f>IF(VLOOKUP($A85,raw[],COLUMN(R$1),FALSE)=0, VLOOKUP($D85, regions[], COLUMN(R$1), FALSE), VLOOKUP($A85,raw[],COLUMN(R$1),FALSE))</f>
        <v>29.498433637077774</v>
      </c>
      <c r="S85" s="70">
        <f>IF(VLOOKUP($A85,raw[],COLUMN(S$1),FALSE)=0, VLOOKUP($D85, regions[], COLUMN(S$1), FALSE), VLOOKUP($A85,raw[],COLUMN(S$1),FALSE))</f>
        <v>72.025505954351118</v>
      </c>
      <c r="T85" s="70">
        <f>IF(VLOOKUP($A85,raw[],COLUMN(U$1)-COLUMN($A$1),FALSE)=0, VLOOKUP($D85, regions[], COLUMN(U$1)-COLUMN($A$1), FALSE), VLOOKUP($A85,raw[],COLUMN(U$1)-COLUMN($A$1),FALSE))</f>
        <v>78.951371998044934</v>
      </c>
      <c r="U85" s="70">
        <f>IF(VLOOKUP($A85,raw[],COLUMN(V$1)-COLUMN($A$1),FALSE)=0, VLOOKUP($D85, regions[], COLUMN(V$1)-COLUMN($A$1), FALSE), VLOOKUP($A85,raw[],COLUMN(V$1)-COLUMN($A$1),FALSE))</f>
        <v>75.771160704938978</v>
      </c>
      <c r="V85" s="70">
        <f>IF(VLOOKUP($A85,raw[],COLUMN(W$1)-COLUMN($A$1),FALSE)=0, VLOOKUP($D85, regions[], COLUMN(W$1)-COLUMN($A$1), FALSE), VLOOKUP($A85,raw[],COLUMN(W$1)-COLUMN($A$1),FALSE))</f>
        <v>3.8874817430943573</v>
      </c>
      <c r="W85" s="70">
        <f>IF(VLOOKUP($A85,raw[],COLUMN(X$1)-COLUMN($A$1),FALSE)=0, VLOOKUP($D85, regions[], COLUMN(X$1)-COLUMN($A$1), FALSE), VLOOKUP($A85,raw[],COLUMN(X$1)-COLUMN($A$1),FALSE))</f>
        <v>4.3674817430943573</v>
      </c>
      <c r="X85" s="70">
        <f>IF(VLOOKUP($A85,raw[],COLUMN(Y$1)-COLUMN($A$1),FALSE)=0, VLOOKUP($D85, regions[], COLUMN(Y$1)-COLUMN($A$1), FALSE), VLOOKUP($A85,raw[],COLUMN(Y$1)-COLUMN($A$1),FALSE))</f>
        <v>3.4684286089489831</v>
      </c>
      <c r="Y85" s="70">
        <f>IF(VLOOKUP($A85,raw[],COLUMN(Z$1)-COLUMN($A$1),FALSE)=0, VLOOKUP($D85, regions[], COLUMN(Z$1)-COLUMN($A$1), FALSE), VLOOKUP($A85,raw[],COLUMN(Z$1)-COLUMN($A$1),FALSE))</f>
        <v>3.9484286089489831</v>
      </c>
      <c r="Z85" s="70">
        <f>IF(VLOOKUP($A85,raw[],COLUMN(AA$1)-COLUMN($A$1),FALSE)=0, VLOOKUP($D85, regions[], COLUMN(AA$1)-COLUMN($A$1), FALSE), VLOOKUP($A85,raw[],COLUMN(AA$1)-COLUMN($A$1),FALSE))</f>
        <v>3.9409804799603032</v>
      </c>
      <c r="AA85" s="70">
        <f>IF(VLOOKUP($A85,raw[],COLUMN(AB$1)-COLUMN($A$1),FALSE)=0, VLOOKUP($D85, regions[], COLUMN(AB$1)-COLUMN($A$1), FALSE), VLOOKUP($A85,raw[],COLUMN(AB$1)-COLUMN($A$1),FALSE))</f>
        <v>4.0956432218485146</v>
      </c>
      <c r="AB85" s="70">
        <f>IF(VLOOKUP($A85,raw[],COLUMN(AC$1)-COLUMN($A$1),FALSE)=0, VLOOKUP($D85, regions[], COLUMN(AC$1)-COLUMN($A$1), FALSE), VLOOKUP($A85,raw[],COLUMN(AC$1)-COLUMN($A$1),FALSE))</f>
        <v>4.5756432218485141</v>
      </c>
      <c r="AC85" s="72">
        <f>IF(VLOOKUP($A85,raw[],COLUMN(AD$1)-COLUMN($A$1),FALSE)=0, VLOOKUP($D85, regions[], COLUMN(AD$1)-COLUMN($A$1), FALSE), VLOOKUP($A85,raw[],COLUMN(AD$1)-COLUMN($A$1),FALSE))</f>
        <v>1.9868730000000067E-2</v>
      </c>
      <c r="AD85" s="72">
        <f>IF(VLOOKUP($A85,raw[],COLUMN(AE$1)-COLUMN($A$1),FALSE)=0, VLOOKUP($D85, regions[], COLUMN(AE$1)-COLUMN($A$1), FALSE), VLOOKUP($A85,raw[],COLUMN(AE$1)-COLUMN($A$1),FALSE))</f>
        <v>9.0158331546751264E-4</v>
      </c>
      <c r="AE85" s="72">
        <f>IF(VLOOKUP($A85,raw[],COLUMN(AF$1)-COLUMN($A$1),FALSE)=0, VLOOKUP($D85, regions[], COLUMN(AF$1)-COLUMN($A$1), FALSE), VLOOKUP($A85,raw[],COLUMN(AF$1)-COLUMN($A$1),FALSE))</f>
        <v>4.2089231542369684E-4</v>
      </c>
      <c r="AF85" s="72">
        <f>IF(VLOOKUP($A85,raw[],COLUMN(AG$1)-COLUMN($A$1),FALSE)=0, VLOOKUP($D85, regions[], COLUMN(AG$1)-COLUMN($A$1), FALSE), VLOOKUP($A85,raw[],COLUMN(AG$1)-COLUMN($A$1),FALSE))</f>
        <v>2.557510692876066E-4</v>
      </c>
      <c r="AG85" s="72">
        <f>IF(VLOOKUP($A85,raw[],COLUMN(AH$1)-COLUMN($A$1),FALSE)=0, VLOOKUP($D85, regions[], COLUMN(AH$1)-COLUMN($A$1), FALSE), VLOOKUP($A85,raw[],COLUMN(AH$1)-COLUMN($A$1),FALSE))</f>
        <v>4.1495325190041841E-4</v>
      </c>
      <c r="AH85" s="72">
        <f>IF(VLOOKUP($A85,raw[],COLUMN(AI$1)-COLUMN($A$1),FALSE)=0, VLOOKUP($D85, regions[], COLUMN(AI$1)-COLUMN($A$1), FALSE), VLOOKUP($A85,raw[],COLUMN(AI$1)-COLUMN($A$1),FALSE))</f>
        <v>6.0455741603860887E-4</v>
      </c>
      <c r="AI85" s="72">
        <f>IF(VLOOKUP($A85,raw[],COLUMN(AJ$1)-COLUMN($A$1),FALSE)=0, VLOOKUP($D85, regions[], COLUMN(AJ$1)-COLUMN($A$1), FALSE), VLOOKUP($A85,raw[],COLUMN(AJ$1)-COLUMN($A$1),FALSE))</f>
        <v>6.6897173890994818E-4</v>
      </c>
      <c r="AJ85" s="72">
        <f>IF(VLOOKUP($A85,raw[],COLUMN(AK$1)-COLUMN($A$1),FALSE)=0, VLOOKUP($D85, regions[], COLUMN(AK$1)-COLUMN($A$1), FALSE), VLOOKUP($A85,raw[],COLUMN(AK$1)-COLUMN($A$1),FALSE))</f>
        <v>7.4289019935636503E-4</v>
      </c>
      <c r="AK85" s="72">
        <f>IF(VLOOKUP($A85,raw[],COLUMN(AL$1)-COLUMN($A$1),FALSE)=0, VLOOKUP($D85, regions[], COLUMN(AL$1)-COLUMN($A$1), FALSE), VLOOKUP($A85,raw[],COLUMN(AL$1)-COLUMN($A$1),FALSE))</f>
        <v>1.0014434703993515E-3</v>
      </c>
      <c r="AL85" s="72">
        <f>IF(VLOOKUP($A85,raw[],COLUMN(AM$1)-COLUMN($A$1),FALSE)=0, VLOOKUP($D85, regions[], COLUMN(AM$1)-COLUMN($A$1), FALSE), VLOOKUP($A85,raw[],COLUMN(AM$1)-COLUMN($A$1),FALSE))</f>
        <v>1.330799544217336E-3</v>
      </c>
      <c r="AM85" s="72">
        <f>IF(VLOOKUP($A85,raw[],COLUMN(AN$1)-COLUMN($A$1),FALSE)=0, VLOOKUP($D85, regions[], COLUMN(AN$1)-COLUMN($A$1), FALSE), VLOOKUP($A85,raw[],COLUMN(AN$1)-COLUMN($A$1),FALSE))</f>
        <v>1.9004295608519065E-3</v>
      </c>
      <c r="AN85" s="72">
        <f>IF(VLOOKUP($A85,raw[],COLUMN(AO$1)-COLUMN($A$1),FALSE)=0, VLOOKUP($D85, regions[], COLUMN(AO$1)-COLUMN($A$1), FALSE), VLOOKUP($A85,raw[],COLUMN(AO$1)-COLUMN($A$1),FALSE))</f>
        <v>2.9029344608908036E-3</v>
      </c>
      <c r="AO85" s="72">
        <f>IF(VLOOKUP($A85,raw[],COLUMN(AP$1)-COLUMN($A$1),FALSE)=0, VLOOKUP($D85, regions[], COLUMN(AP$1)-COLUMN($A$1), FALSE), VLOOKUP($A85,raw[],COLUMN(AP$1)-COLUMN($A$1),FALSE))</f>
        <v>4.509322393201615E-3</v>
      </c>
      <c r="AP85" s="72">
        <f>IF(VLOOKUP($A85,raw[],COLUMN(AQ$1)-COLUMN($A$1),FALSE)=0, VLOOKUP($D85, regions[], COLUMN(AQ$1)-COLUMN($A$1), FALSE), VLOOKUP($A85,raw[],COLUMN(AQ$1)-COLUMN($A$1),FALSE))</f>
        <v>7.8232346542924831E-3</v>
      </c>
      <c r="AQ85" s="72">
        <f>IF(VLOOKUP($A85,raw[],COLUMN(AR$1)-COLUMN($A$1),FALSE)=0, VLOOKUP($D85, regions[], COLUMN(AR$1)-COLUMN($A$1), FALSE), VLOOKUP($A85,raw[],COLUMN(AR$1)-COLUMN($A$1),FALSE))</f>
        <v>1.3908841127627395E-2</v>
      </c>
      <c r="AR85" s="72">
        <f>IF(VLOOKUP($A85,raw[],COLUMN(AS$1)-COLUMN($A$1),FALSE)=0, VLOOKUP($D85, regions[], COLUMN(AS$1)-COLUMN($A$1), FALSE), VLOOKUP($A85,raw[],COLUMN(AS$1)-COLUMN($A$1),FALSE))</f>
        <v>2.7730057229789273E-2</v>
      </c>
      <c r="AS85" s="72">
        <f>IF(VLOOKUP($A85,raw[],COLUMN(AT$1)-COLUMN($A$1),FALSE)=0, VLOOKUP($D85, regions[], COLUMN(AT$1)-COLUMN($A$1), FALSE), VLOOKUP($A85,raw[],COLUMN(AT$1)-COLUMN($A$1),FALSE))</f>
        <v>4.7021934675716137E-2</v>
      </c>
      <c r="AT85" s="72">
        <f>IF(VLOOKUP($A85,raw[],COLUMN(AU$1)-COLUMN($A$1),FALSE)=0, VLOOKUP($D85, regions[], COLUMN(AU$1)-COLUMN($A$1), FALSE), VLOOKUP($A85,raw[],COLUMN(AU$1)-COLUMN($A$1),FALSE))</f>
        <v>9.1999086836662095E-2</v>
      </c>
      <c r="AU85" s="72">
        <f>IF(VLOOKUP($A85,raw[],COLUMN(AV$1)-COLUMN($A$1),FALSE)=0, VLOOKUP($D85, regions[], COLUMN(AV$1)-COLUMN($A$1), FALSE), VLOOKUP($A85,raw[],COLUMN(AV$1)-COLUMN($A$1),FALSE))</f>
        <v>0.13935901987725235</v>
      </c>
      <c r="AV85" s="72">
        <f>IF(VLOOKUP($A85,raw[],COLUMN(AW$1)-COLUMN($A$1),FALSE)=0, VLOOKUP($D85, regions[], COLUMN(AW$1)-COLUMN($A$1), FALSE), VLOOKUP($A85,raw[],COLUMN(AW$1)-COLUMN($A$1),FALSE))</f>
        <v>0.17321863769084356</v>
      </c>
      <c r="AW85" s="72">
        <f>IF(VLOOKUP($A85,raw[],COLUMN(AX$1)-COLUMN($A$1),FALSE)=0, VLOOKUP($D85, regions[], COLUMN(AX$1)-COLUMN($A$1), FALSE), VLOOKUP($A85,raw[],COLUMN(AX$1)-COLUMN($A$1),FALSE))</f>
        <v>0.18438535373189555</v>
      </c>
      <c r="AX85" s="72">
        <f>IF(VLOOKUP($A85,raw[],COLUMN(AY$1)-COLUMN($A$1),FALSE)=0, VLOOKUP($D85, regions[], COLUMN(AY$1)-COLUMN($A$1), FALSE), VLOOKUP($A85,raw[],COLUMN(AY$1)-COLUMN($A$1),FALSE))</f>
        <v>76.33</v>
      </c>
      <c r="AY85" t="str">
        <f t="shared" si="2"/>
        <v>No</v>
      </c>
    </row>
    <row r="86" spans="1:51" x14ac:dyDescent="0.25">
      <c r="A86" s="53" t="s">
        <v>392</v>
      </c>
      <c r="B86" s="54" t="s">
        <v>393</v>
      </c>
      <c r="C86" s="54">
        <v>508</v>
      </c>
      <c r="D86" s="54" t="s">
        <v>207</v>
      </c>
      <c r="E86" s="54" t="s">
        <v>255</v>
      </c>
      <c r="F86" s="54" t="s">
        <v>211</v>
      </c>
      <c r="G86" s="54" t="s">
        <v>198</v>
      </c>
      <c r="H86" s="73">
        <f>VLOOKUP(lmics[[#This Row],[setting]],raw[],8,FALSE)</f>
        <v>31255435</v>
      </c>
      <c r="I86" s="73">
        <f>VLOOKUP(lmics[[#This Row],[setting]],raw[],9,FALSE)</f>
        <v>1178454.9212400001</v>
      </c>
      <c r="J86" s="67">
        <f>IF(VLOOKUP($A86,raw[],COLUMN(J$1),FALSE)=0, VLOOKUP($D86, regions[], COLUMN(J$1), FALSE), VLOOKUP($A86,raw[],COLUMN(J$1),FALSE))</f>
        <v>0.54799999999999993</v>
      </c>
      <c r="K86" s="77">
        <f>VLOOKUP($A86, raw[], 11, FALSE)</f>
        <v>0</v>
      </c>
      <c r="L86" s="77">
        <f>VLOOKUP($A86, raw[], 12, FALSE)</f>
        <v>0.79</v>
      </c>
      <c r="M86" s="77">
        <f>IF(VLOOKUP($A86,raw[],COLUMN(M$1),FALSE)=0, VLOOKUP($D86, regions[], COLUMN(M$1), FALSE), VLOOKUP($A86,raw[],COLUMN(M$1),FALSE))</f>
        <v>1.9599999999999999E-2</v>
      </c>
      <c r="N86" s="68">
        <f>IF(VLOOKUP($A86,raw[],COLUMN(N$1),FALSE)=0, VLOOKUP($D86, regions[], COLUMN(N$1), FALSE), VLOOKUP($A86,raw[],COLUMN(N$1),FALSE))</f>
        <v>0.29825928137599328</v>
      </c>
      <c r="O86" s="67">
        <f>IF(VLOOKUP($A86,raw[],COLUMN(O$1),FALSE)=0, VLOOKUP($D86, regions[], COLUMN(O$1), FALSE), VLOOKUP($A86,raw[],COLUMN(O$1),FALSE))</f>
        <v>0.38300000000000001</v>
      </c>
      <c r="P86" s="68">
        <f>IF(VLOOKUP($A86,raw[],COLUMN(P$1),FALSE)=0, VLOOKUP($D86, regions[], COLUMN(P$1), FALSE), VLOOKUP($A86,raw[],COLUMN(P$1),FALSE))</f>
        <v>4.8000000000000001E-2</v>
      </c>
      <c r="Q86" s="70">
        <f>IF(VLOOKUP($A86,raw[],COLUMN(Q$1),FALSE)=0, VLOOKUP($D86, regions[], COLUMN(Q$1), FALSE), VLOOKUP($A86,raw[],COLUMN(Q$1),FALSE))</f>
        <v>2.844521900584795</v>
      </c>
      <c r="R86" s="70">
        <f>IF(VLOOKUP($A86,raw[],COLUMN(R$1),FALSE)=0, VLOOKUP($D86, regions[], COLUMN(R$1), FALSE), VLOOKUP($A86,raw[],COLUMN(R$1),FALSE))</f>
        <v>25.169901900584797</v>
      </c>
      <c r="S86" s="70">
        <f>IF(VLOOKUP($A86,raw[],COLUMN(S$1),FALSE)=0, VLOOKUP($D86, regions[], COLUMN(S$1), FALSE), VLOOKUP($A86,raw[],COLUMN(S$1),FALSE))</f>
        <v>55.559753347090833</v>
      </c>
      <c r="T86" s="70">
        <f>IF(VLOOKUP($A86,raw[],COLUMN(U$1)-COLUMN($A$1),FALSE)=0, VLOOKUP($D86, regions[], COLUMN(U$1)-COLUMN($A$1), FALSE), VLOOKUP($A86,raw[],COLUMN(U$1)-COLUMN($A$1),FALSE))</f>
        <v>56.168620137346807</v>
      </c>
      <c r="U86" s="70">
        <f>IF(VLOOKUP($A86,raw[],COLUMN(V$1)-COLUMN($A$1),FALSE)=0, VLOOKUP($D86, regions[], COLUMN(V$1)-COLUMN($A$1), FALSE), VLOOKUP($A86,raw[],COLUMN(V$1)-COLUMN($A$1),FALSE))</f>
        <v>55.889041377065659</v>
      </c>
      <c r="V86" s="70">
        <f>IF(VLOOKUP($A86,raw[],COLUMN(W$1)-COLUMN($A$1),FALSE)=0, VLOOKUP($D86, regions[], COLUMN(W$1)-COLUMN($A$1), FALSE), VLOOKUP($A86,raw[],COLUMN(W$1)-COLUMN($A$1),FALSE))</f>
        <v>1.6141491409078512</v>
      </c>
      <c r="W86" s="70">
        <f>IF(VLOOKUP($A86,raw[],COLUMN(X$1)-COLUMN($A$1),FALSE)=0, VLOOKUP($D86, regions[], COLUMN(X$1)-COLUMN($A$1), FALSE), VLOOKUP($A86,raw[],COLUMN(X$1)-COLUMN($A$1),FALSE))</f>
        <v>6.4441491409078511</v>
      </c>
      <c r="X86" s="70">
        <f>IF(VLOOKUP($A86,raw[],COLUMN(Y$1)-COLUMN($A$1),FALSE)=0, VLOOKUP($D86, regions[], COLUMN(Y$1)-COLUMN($A$1), FALSE), VLOOKUP($A86,raw[],COLUMN(Y$1)-COLUMN($A$1),FALSE))</f>
        <v>1.2092493006828846</v>
      </c>
      <c r="Y86" s="70">
        <f>IF(VLOOKUP($A86,raw[],COLUMN(Z$1)-COLUMN($A$1),FALSE)=0, VLOOKUP($D86, regions[], COLUMN(Z$1)-COLUMN($A$1), FALSE), VLOOKUP($A86,raw[],COLUMN(Z$1)-COLUMN($A$1),FALSE))</f>
        <v>6.0392493006828847</v>
      </c>
      <c r="Z86" s="70">
        <f>IF(VLOOKUP($A86,raw[],COLUMN(AA$1)-COLUMN($A$1),FALSE)=0, VLOOKUP($D86, regions[], COLUMN(AA$1)-COLUMN($A$1), FALSE), VLOOKUP($A86,raw[],COLUMN(AA$1)-COLUMN($A$1),FALSE))</f>
        <v>6.0377484606749112</v>
      </c>
      <c r="AA86" s="70">
        <f>IF(VLOOKUP($A86,raw[],COLUMN(AB$1)-COLUMN($A$1),FALSE)=0, VLOOKUP($D86, regions[], COLUMN(AB$1)-COLUMN($A$1), FALSE), VLOOKUP($A86,raw[],COLUMN(AB$1)-COLUMN($A$1),FALSE))</f>
        <v>1.81726466269908</v>
      </c>
      <c r="AB86" s="70">
        <f>IF(VLOOKUP($A86,raw[],COLUMN(AC$1)-COLUMN($A$1),FALSE)=0, VLOOKUP($D86, regions[], COLUMN(AC$1)-COLUMN($A$1), FALSE), VLOOKUP($A86,raw[],COLUMN(AC$1)-COLUMN($A$1),FALSE))</f>
        <v>6.6472646626990803</v>
      </c>
      <c r="AC86" s="72">
        <f>IF(VLOOKUP($A86,raw[],COLUMN(AD$1)-COLUMN($A$1),FALSE)=0, VLOOKUP($D86, regions[], COLUMN(AD$1)-COLUMN($A$1), FALSE), VLOOKUP($A86,raw[],COLUMN(AD$1)-COLUMN($A$1),FALSE))</f>
        <v>5.3915810000000057E-2</v>
      </c>
      <c r="AD86" s="72">
        <f>IF(VLOOKUP($A86,raw[],COLUMN(AE$1)-COLUMN($A$1),FALSE)=0, VLOOKUP($D86, regions[], COLUMN(AE$1)-COLUMN($A$1), FALSE), VLOOKUP($A86,raw[],COLUMN(AE$1)-COLUMN($A$1),FALSE))</f>
        <v>5.1119604905352041E-3</v>
      </c>
      <c r="AE86" s="72">
        <f>IF(VLOOKUP($A86,raw[],COLUMN(AF$1)-COLUMN($A$1),FALSE)=0, VLOOKUP($D86, regions[], COLUMN(AF$1)-COLUMN($A$1), FALSE), VLOOKUP($A86,raw[],COLUMN(AF$1)-COLUMN($A$1),FALSE))</f>
        <v>1.4012858703953376E-3</v>
      </c>
      <c r="AF86" s="72">
        <f>IF(VLOOKUP($A86,raw[],COLUMN(AG$1)-COLUMN($A$1),FALSE)=0, VLOOKUP($D86, regions[], COLUMN(AG$1)-COLUMN($A$1), FALSE), VLOOKUP($A86,raw[],COLUMN(AG$1)-COLUMN($A$1),FALSE))</f>
        <v>1.0949032653975483E-3</v>
      </c>
      <c r="AG86" s="72">
        <f>IF(VLOOKUP($A86,raw[],COLUMN(AH$1)-COLUMN($A$1),FALSE)=0, VLOOKUP($D86, regions[], COLUMN(AH$1)-COLUMN($A$1), FALSE), VLOOKUP($A86,raw[],COLUMN(AH$1)-COLUMN($A$1),FALSE))</f>
        <v>1.7263139961507059E-3</v>
      </c>
      <c r="AH86" s="72">
        <f>IF(VLOOKUP($A86,raw[],COLUMN(AI$1)-COLUMN($A$1),FALSE)=0, VLOOKUP($D86, regions[], COLUMN(AI$1)-COLUMN($A$1), FALSE), VLOOKUP($A86,raw[],COLUMN(AI$1)-COLUMN($A$1),FALSE))</f>
        <v>2.8654566183196031E-3</v>
      </c>
      <c r="AI86" s="72">
        <f>IF(VLOOKUP($A86,raw[],COLUMN(AJ$1)-COLUMN($A$1),FALSE)=0, VLOOKUP($D86, regions[], COLUMN(AJ$1)-COLUMN($A$1), FALSE), VLOOKUP($A86,raw[],COLUMN(AJ$1)-COLUMN($A$1),FALSE))</f>
        <v>4.3902395060748927E-3</v>
      </c>
      <c r="AJ86" s="72">
        <f>IF(VLOOKUP($A86,raw[],COLUMN(AK$1)-COLUMN($A$1),FALSE)=0, VLOOKUP($D86, regions[], COLUMN(AK$1)-COLUMN($A$1), FALSE), VLOOKUP($A86,raw[],COLUMN(AK$1)-COLUMN($A$1),FALSE))</f>
        <v>6.0677207852414625E-3</v>
      </c>
      <c r="AK86" s="72">
        <f>IF(VLOOKUP($A86,raw[],COLUMN(AL$1)-COLUMN($A$1),FALSE)=0, VLOOKUP($D86, regions[], COLUMN(AL$1)-COLUMN($A$1), FALSE), VLOOKUP($A86,raw[],COLUMN(AL$1)-COLUMN($A$1),FALSE))</f>
        <v>8.4157379504231199E-3</v>
      </c>
      <c r="AL86" s="72">
        <f>IF(VLOOKUP($A86,raw[],COLUMN(AM$1)-COLUMN($A$1),FALSE)=0, VLOOKUP($D86, regions[], COLUMN(AM$1)-COLUMN($A$1), FALSE), VLOOKUP($A86,raw[],COLUMN(AM$1)-COLUMN($A$1),FALSE))</f>
        <v>1.00823270263227E-2</v>
      </c>
      <c r="AM86" s="72">
        <f>IF(VLOOKUP($A86,raw[],COLUMN(AN$1)-COLUMN($A$1),FALSE)=0, VLOOKUP($D86, regions[], COLUMN(AN$1)-COLUMN($A$1), FALSE), VLOOKUP($A86,raw[],COLUMN(AN$1)-COLUMN($A$1),FALSE))</f>
        <v>1.1863253219921731E-2</v>
      </c>
      <c r="AN86" s="72">
        <f>IF(VLOOKUP($A86,raw[],COLUMN(AO$1)-COLUMN($A$1),FALSE)=0, VLOOKUP($D86, regions[], COLUMN(AO$1)-COLUMN($A$1), FALSE), VLOOKUP($A86,raw[],COLUMN(AO$1)-COLUMN($A$1),FALSE))</f>
        <v>1.451859108063718E-2</v>
      </c>
      <c r="AO86" s="72">
        <f>IF(VLOOKUP($A86,raw[],COLUMN(AP$1)-COLUMN($A$1),FALSE)=0, VLOOKUP($D86, regions[], COLUMN(AP$1)-COLUMN($A$1), FALSE), VLOOKUP($A86,raw[],COLUMN(AP$1)-COLUMN($A$1),FALSE))</f>
        <v>1.7957334558640816E-2</v>
      </c>
      <c r="AP86" s="72">
        <f>IF(VLOOKUP($A86,raw[],COLUMN(AQ$1)-COLUMN($A$1),FALSE)=0, VLOOKUP($D86, regions[], COLUMN(AQ$1)-COLUMN($A$1), FALSE), VLOOKUP($A86,raw[],COLUMN(AQ$1)-COLUMN($A$1),FALSE))</f>
        <v>2.4208696828590972E-2</v>
      </c>
      <c r="AQ86" s="72">
        <f>IF(VLOOKUP($A86,raw[],COLUMN(AR$1)-COLUMN($A$1),FALSE)=0, VLOOKUP($D86, regions[], COLUMN(AR$1)-COLUMN($A$1), FALSE), VLOOKUP($A86,raw[],COLUMN(AR$1)-COLUMN($A$1),FALSE))</f>
        <v>3.4343923387346431E-2</v>
      </c>
      <c r="AR86" s="72">
        <f>IF(VLOOKUP($A86,raw[],COLUMN(AS$1)-COLUMN($A$1),FALSE)=0, VLOOKUP($D86, regions[], COLUMN(AS$1)-COLUMN($A$1), FALSE), VLOOKUP($A86,raw[],COLUMN(AS$1)-COLUMN($A$1),FALSE))</f>
        <v>5.0274413363338988E-2</v>
      </c>
      <c r="AS86" s="72">
        <f>IF(VLOOKUP($A86,raw[],COLUMN(AT$1)-COLUMN($A$1),FALSE)=0, VLOOKUP($D86, regions[], COLUMN(AT$1)-COLUMN($A$1), FALSE), VLOOKUP($A86,raw[],COLUMN(AT$1)-COLUMN($A$1),FALSE))</f>
        <v>7.3556760455677939E-2</v>
      </c>
      <c r="AT86" s="72">
        <f>IF(VLOOKUP($A86,raw[],COLUMN(AU$1)-COLUMN($A$1),FALSE)=0, VLOOKUP($D86, regions[], COLUMN(AU$1)-COLUMN($A$1), FALSE), VLOOKUP($A86,raw[],COLUMN(AU$1)-COLUMN($A$1),FALSE))</f>
        <v>0.10832193217593584</v>
      </c>
      <c r="AU86" s="72">
        <f>IF(VLOOKUP($A86,raw[],COLUMN(AV$1)-COLUMN($A$1),FALSE)=0, VLOOKUP($D86, regions[], COLUMN(AV$1)-COLUMN($A$1), FALSE), VLOOKUP($A86,raw[],COLUMN(AV$1)-COLUMN($A$1),FALSE))</f>
        <v>0.14802703390099389</v>
      </c>
      <c r="AV86" s="72">
        <f>IF(VLOOKUP($A86,raw[],COLUMN(AW$1)-COLUMN($A$1),FALSE)=0, VLOOKUP($D86, regions[], COLUMN(AW$1)-COLUMN($A$1), FALSE), VLOOKUP($A86,raw[],COLUMN(AW$1)-COLUMN($A$1),FALSE))</f>
        <v>0.17815638978603338</v>
      </c>
      <c r="AW86" s="72">
        <f>IF(VLOOKUP($A86,raw[],COLUMN(AX$1)-COLUMN($A$1),FALSE)=0, VLOOKUP($D86, regions[], COLUMN(AX$1)-COLUMN($A$1), FALSE), VLOOKUP($A86,raw[],COLUMN(AX$1)-COLUMN($A$1),FALSE))</f>
        <v>0.18810932311897274</v>
      </c>
      <c r="AX86" s="72">
        <f>IF(VLOOKUP($A86,raw[],COLUMN(AY$1)-COLUMN($A$1),FALSE)=0, VLOOKUP($D86, regions[], COLUMN(AY$1)-COLUMN($A$1), FALSE), VLOOKUP($A86,raw[],COLUMN(AY$1)-COLUMN($A$1),FALSE))</f>
        <v>60.054000000000002</v>
      </c>
      <c r="AY86" t="str">
        <f t="shared" si="2"/>
        <v>Yes</v>
      </c>
    </row>
    <row r="87" spans="1:51" x14ac:dyDescent="0.25">
      <c r="A87" s="55" t="s">
        <v>394</v>
      </c>
      <c r="B87" s="56" t="s">
        <v>395</v>
      </c>
      <c r="C87" s="56">
        <v>104</v>
      </c>
      <c r="D87" s="56" t="s">
        <v>225</v>
      </c>
      <c r="E87" s="56" t="s">
        <v>261</v>
      </c>
      <c r="F87" s="56" t="s">
        <v>262</v>
      </c>
      <c r="G87" s="56" t="s">
        <v>212</v>
      </c>
      <c r="H87" s="74">
        <f>VLOOKUP(lmics[[#This Row],[setting]],raw[],8,FALSE)</f>
        <v>54409794</v>
      </c>
      <c r="I87" s="74">
        <f>VLOOKUP(lmics[[#This Row],[setting]],raw[],9,FALSE)</f>
        <v>962998.94400600006</v>
      </c>
      <c r="J87" s="67">
        <f>IF(VLOOKUP($A87,raw[],COLUMN(J$1),FALSE)=0, VLOOKUP($D87, regions[], COLUMN(J$1), FALSE), VLOOKUP($A87,raw[],COLUMN(J$1),FALSE))</f>
        <v>0.371</v>
      </c>
      <c r="K87" s="77">
        <f>VLOOKUP($A87, raw[], 11, FALSE)</f>
        <v>0.21</v>
      </c>
      <c r="L87" s="77">
        <f>VLOOKUP($A87, raw[], 12, FALSE)</f>
        <v>0.84</v>
      </c>
      <c r="M87" s="77">
        <f>IF(VLOOKUP($A87,raw[],COLUMN(M$1),FALSE)=0, VLOOKUP($D87, regions[], COLUMN(M$1), FALSE), VLOOKUP($A87,raw[],COLUMN(M$1),FALSE))</f>
        <v>5.2499999999999998E-2</v>
      </c>
      <c r="N87" s="68">
        <f>IF(VLOOKUP($A87,raw[],COLUMN(N$1),FALSE)=0, VLOOKUP($D87, regions[], COLUMN(N$1), FALSE), VLOOKUP($A87,raw[],COLUMN(N$1),FALSE))</f>
        <v>0.32130963051350597</v>
      </c>
      <c r="O87" s="67">
        <f>IF(VLOOKUP($A87,raw[],COLUMN(O$1),FALSE)=0, VLOOKUP($D87, regions[], COLUMN(O$1), FALSE), VLOOKUP($A87,raw[],COLUMN(O$1),FALSE))</f>
        <v>0.8</v>
      </c>
      <c r="P87" s="68">
        <f>IF(VLOOKUP($A87,raw[],COLUMN(P$1),FALSE)=0, VLOOKUP($D87, regions[], COLUMN(P$1), FALSE), VLOOKUP($A87,raw[],COLUMN(P$1),FALSE))</f>
        <v>0.17499999999999999</v>
      </c>
      <c r="Q87" s="70">
        <f>IF(VLOOKUP($A87,raw[],COLUMN(Q$1),FALSE)=0, VLOOKUP($D87, regions[], COLUMN(Q$1), FALSE), VLOOKUP($A87,raw[],COLUMN(Q$1),FALSE))</f>
        <v>3.1937353958333299</v>
      </c>
      <c r="R87" s="70">
        <f>IF(VLOOKUP($A87,raw[],COLUMN(R$1),FALSE)=0, VLOOKUP($D87, regions[], COLUMN(R$1), FALSE), VLOOKUP($A87,raw[],COLUMN(R$1),FALSE))</f>
        <v>25.519115395833332</v>
      </c>
      <c r="S87" s="70">
        <f>IF(VLOOKUP($A87,raw[],COLUMN(S$1),FALSE)=0, VLOOKUP($D87, regions[], COLUMN(S$1), FALSE), VLOOKUP($A87,raw[],COLUMN(S$1),FALSE))</f>
        <v>56.568985555499651</v>
      </c>
      <c r="T87" s="70">
        <f>IF(VLOOKUP($A87,raw[],COLUMN(U$1)-COLUMN($A$1),FALSE)=0, VLOOKUP($D87, regions[], COLUMN(U$1)-COLUMN($A$1), FALSE), VLOOKUP($A87,raw[],COLUMN(U$1)-COLUMN($A$1),FALSE))</f>
        <v>57.521369017544174</v>
      </c>
      <c r="U87" s="70">
        <f>IF(VLOOKUP($A87,raw[],COLUMN(V$1)-COLUMN($A$1),FALSE)=0, VLOOKUP($D87, regions[], COLUMN(V$1)-COLUMN($A$1), FALSE), VLOOKUP($A87,raw[],COLUMN(V$1)-COLUMN($A$1),FALSE))</f>
        <v>57.08405466259515</v>
      </c>
      <c r="V87" s="70">
        <f>IF(VLOOKUP($A87,raw[],COLUMN(W$1)-COLUMN($A$1),FALSE)=0, VLOOKUP($D87, regions[], COLUMN(W$1)-COLUMN($A$1), FALSE), VLOOKUP($A87,raw[],COLUMN(W$1)-COLUMN($A$1),FALSE))</f>
        <v>2.3243671389129541</v>
      </c>
      <c r="W87" s="70">
        <f>IF(VLOOKUP($A87,raw[],COLUMN(X$1)-COLUMN($A$1),FALSE)=0, VLOOKUP($D87, regions[], COLUMN(X$1)-COLUMN($A$1), FALSE), VLOOKUP($A87,raw[],COLUMN(X$1)-COLUMN($A$1),FALSE))</f>
        <v>2.954367138912954</v>
      </c>
      <c r="X87" s="70">
        <f>IF(VLOOKUP($A87,raw[],COLUMN(Y$1)-COLUMN($A$1),FALSE)=0, VLOOKUP($D87, regions[], COLUMN(Y$1)-COLUMN($A$1), FALSE), VLOOKUP($A87,raw[],COLUMN(Y$1)-COLUMN($A$1),FALSE))</f>
        <v>1.9144650655419777</v>
      </c>
      <c r="Y87" s="70">
        <f>IF(VLOOKUP($A87,raw[],COLUMN(Z$1)-COLUMN($A$1),FALSE)=0, VLOOKUP($D87, regions[], COLUMN(Z$1)-COLUMN($A$1), FALSE), VLOOKUP($A87,raw[],COLUMN(Z$1)-COLUMN($A$1),FALSE))</f>
        <v>2.5444650655419778</v>
      </c>
      <c r="Z87" s="70">
        <f>IF(VLOOKUP($A87,raw[],COLUMN(AA$1)-COLUMN($A$1),FALSE)=0, VLOOKUP($D87, regions[], COLUMN(AA$1)-COLUMN($A$1), FALSE), VLOOKUP($A87,raw[],COLUMN(AA$1)-COLUMN($A$1),FALSE))</f>
        <v>2.5407410342728705</v>
      </c>
      <c r="AA87" s="70">
        <f>IF(VLOOKUP($A87,raw[],COLUMN(AB$1)-COLUMN($A$1),FALSE)=0, VLOOKUP($D87, regions[], COLUMN(AB$1)-COLUMN($A$1), FALSE), VLOOKUP($A87,raw[],COLUMN(AB$1)-COLUMN($A$1),FALSE))</f>
        <v>2.5292660655649351</v>
      </c>
      <c r="AB87" s="70">
        <f>IF(VLOOKUP($A87,raw[],COLUMN(AC$1)-COLUMN($A$1),FALSE)=0, VLOOKUP($D87, regions[], COLUMN(AC$1)-COLUMN($A$1), FALSE), VLOOKUP($A87,raw[],COLUMN(AC$1)-COLUMN($A$1),FALSE))</f>
        <v>3.1592660655649349</v>
      </c>
      <c r="AC87" s="72">
        <f>IF(VLOOKUP($A87,raw[],COLUMN(AD$1)-COLUMN($A$1),FALSE)=0, VLOOKUP($D87, regions[], COLUMN(AD$1)-COLUMN($A$1), FALSE), VLOOKUP($A87,raw[],COLUMN(AD$1)-COLUMN($A$1),FALSE))</f>
        <v>3.8420489999999988E-2</v>
      </c>
      <c r="AD87" s="72">
        <f>IF(VLOOKUP($A87,raw[],COLUMN(AE$1)-COLUMN($A$1),FALSE)=0, VLOOKUP($D87, regions[], COLUMN(AE$1)-COLUMN($A$1), FALSE), VLOOKUP($A87,raw[],COLUMN(AE$1)-COLUMN($A$1),FALSE))</f>
        <v>2.5121089570637632E-3</v>
      </c>
      <c r="AE87" s="72">
        <f>IF(VLOOKUP($A87,raw[],COLUMN(AF$1)-COLUMN($A$1),FALSE)=0, VLOOKUP($D87, regions[], COLUMN(AF$1)-COLUMN($A$1), FALSE), VLOOKUP($A87,raw[],COLUMN(AF$1)-COLUMN($A$1),FALSE))</f>
        <v>1.072942126034219E-3</v>
      </c>
      <c r="AF87" s="72">
        <f>IF(VLOOKUP($A87,raw[],COLUMN(AG$1)-COLUMN($A$1),FALSE)=0, VLOOKUP($D87, regions[], COLUMN(AG$1)-COLUMN($A$1), FALSE), VLOOKUP($A87,raw[],COLUMN(AG$1)-COLUMN($A$1),FALSE))</f>
        <v>8.7112479692080282E-4</v>
      </c>
      <c r="AG87" s="72">
        <f>IF(VLOOKUP($A87,raw[],COLUMN(AH$1)-COLUMN($A$1),FALSE)=0, VLOOKUP($D87, regions[], COLUMN(AH$1)-COLUMN($A$1), FALSE), VLOOKUP($A87,raw[],COLUMN(AH$1)-COLUMN($A$1),FALSE))</f>
        <v>1.4119117000549067E-3</v>
      </c>
      <c r="AH87" s="72">
        <f>IF(VLOOKUP($A87,raw[],COLUMN(AI$1)-COLUMN($A$1),FALSE)=0, VLOOKUP($D87, regions[], COLUMN(AI$1)-COLUMN($A$1), FALSE), VLOOKUP($A87,raw[],COLUMN(AI$1)-COLUMN($A$1),FALSE))</f>
        <v>1.9952469974620956E-3</v>
      </c>
      <c r="AI87" s="72">
        <f>IF(VLOOKUP($A87,raw[],COLUMN(AJ$1)-COLUMN($A$1),FALSE)=0, VLOOKUP($D87, regions[], COLUMN(AJ$1)-COLUMN($A$1), FALSE), VLOOKUP($A87,raw[],COLUMN(AJ$1)-COLUMN($A$1),FALSE))</f>
        <v>2.1617354546634828E-3</v>
      </c>
      <c r="AJ87" s="72">
        <f>IF(VLOOKUP($A87,raw[],COLUMN(AK$1)-COLUMN($A$1),FALSE)=0, VLOOKUP($D87, regions[], COLUMN(AK$1)-COLUMN($A$1), FALSE), VLOOKUP($A87,raw[],COLUMN(AK$1)-COLUMN($A$1),FALSE))</f>
        <v>2.4882808240389428E-3</v>
      </c>
      <c r="AK87" s="72">
        <f>IF(VLOOKUP($A87,raw[],COLUMN(AL$1)-COLUMN($A$1),FALSE)=0, VLOOKUP($D87, regions[], COLUMN(AL$1)-COLUMN($A$1), FALSE), VLOOKUP($A87,raw[],COLUMN(AL$1)-COLUMN($A$1),FALSE))</f>
        <v>3.1455396410933912E-3</v>
      </c>
      <c r="AL87" s="72">
        <f>IF(VLOOKUP($A87,raw[],COLUMN(AM$1)-COLUMN($A$1),FALSE)=0, VLOOKUP($D87, regions[], COLUMN(AM$1)-COLUMN($A$1), FALSE), VLOOKUP($A87,raw[],COLUMN(AM$1)-COLUMN($A$1),FALSE))</f>
        <v>4.2459501679441188E-3</v>
      </c>
      <c r="AM87" s="72">
        <f>IF(VLOOKUP($A87,raw[],COLUMN(AN$1)-COLUMN($A$1),FALSE)=0, VLOOKUP($D87, regions[], COLUMN(AN$1)-COLUMN($A$1), FALSE), VLOOKUP($A87,raw[],COLUMN(AN$1)-COLUMN($A$1),FALSE))</f>
        <v>6.0693848277694161E-3</v>
      </c>
      <c r="AN87" s="72">
        <f>IF(VLOOKUP($A87,raw[],COLUMN(AO$1)-COLUMN($A$1),FALSE)=0, VLOOKUP($D87, regions[], COLUMN(AO$1)-COLUMN($A$1), FALSE), VLOOKUP($A87,raw[],COLUMN(AO$1)-COLUMN($A$1),FALSE))</f>
        <v>8.8967903272355962E-3</v>
      </c>
      <c r="AO87" s="72">
        <f>IF(VLOOKUP($A87,raw[],COLUMN(AP$1)-COLUMN($A$1),FALSE)=0, VLOOKUP($D87, regions[], COLUMN(AP$1)-COLUMN($A$1), FALSE), VLOOKUP($A87,raw[],COLUMN(AP$1)-COLUMN($A$1),FALSE))</f>
        <v>1.3179930547476956E-2</v>
      </c>
      <c r="AP87" s="72">
        <f>IF(VLOOKUP($A87,raw[],COLUMN(AQ$1)-COLUMN($A$1),FALSE)=0, VLOOKUP($D87, regions[], COLUMN(AQ$1)-COLUMN($A$1), FALSE), VLOOKUP($A87,raw[],COLUMN(AQ$1)-COLUMN($A$1),FALSE))</f>
        <v>1.9910283306697023E-2</v>
      </c>
      <c r="AQ87" s="72">
        <f>IF(VLOOKUP($A87,raw[],COLUMN(AR$1)-COLUMN($A$1),FALSE)=0, VLOOKUP($D87, regions[], COLUMN(AR$1)-COLUMN($A$1), FALSE), VLOOKUP($A87,raw[],COLUMN(AR$1)-COLUMN($A$1),FALSE))</f>
        <v>3.0515748414164622E-2</v>
      </c>
      <c r="AR87" s="72">
        <f>IF(VLOOKUP($A87,raw[],COLUMN(AS$1)-COLUMN($A$1),FALSE)=0, VLOOKUP($D87, regions[], COLUMN(AS$1)-COLUMN($A$1), FALSE), VLOOKUP($A87,raw[],COLUMN(AS$1)-COLUMN($A$1),FALSE))</f>
        <v>4.7180281289428097E-2</v>
      </c>
      <c r="AS87" s="72">
        <f>IF(VLOOKUP($A87,raw[],COLUMN(AT$1)-COLUMN($A$1),FALSE)=0, VLOOKUP($D87, regions[], COLUMN(AT$1)-COLUMN($A$1), FALSE), VLOOKUP($A87,raw[],COLUMN(AT$1)-COLUMN($A$1),FALSE))</f>
        <v>7.0924878976329722E-2</v>
      </c>
      <c r="AT87" s="72">
        <f>IF(VLOOKUP($A87,raw[],COLUMN(AU$1)-COLUMN($A$1),FALSE)=0, VLOOKUP($D87, regions[], COLUMN(AU$1)-COLUMN($A$1), FALSE), VLOOKUP($A87,raw[],COLUMN(AU$1)-COLUMN($A$1),FALSE))</f>
        <v>0.1021432707507926</v>
      </c>
      <c r="AU87" s="72">
        <f>IF(VLOOKUP($A87,raw[],COLUMN(AV$1)-COLUMN($A$1),FALSE)=0, VLOOKUP($D87, regions[], COLUMN(AV$1)-COLUMN($A$1), FALSE), VLOOKUP($A87,raw[],COLUMN(AV$1)-COLUMN($A$1),FALSE))</f>
        <v>0.13520896153602316</v>
      </c>
      <c r="AV87" s="72">
        <f>IF(VLOOKUP($A87,raw[],COLUMN(AW$1)-COLUMN($A$1),FALSE)=0, VLOOKUP($D87, regions[], COLUMN(AW$1)-COLUMN($A$1), FALSE), VLOOKUP($A87,raw[],COLUMN(AW$1)-COLUMN($A$1),FALSE))</f>
        <v>0.16209297935634789</v>
      </c>
      <c r="AW87" s="72">
        <f>IF(VLOOKUP($A87,raw[],COLUMN(AX$1)-COLUMN($A$1),FALSE)=0, VLOOKUP($D87, regions[], COLUMN(AX$1)-COLUMN($A$1), FALSE), VLOOKUP($A87,raw[],COLUMN(AX$1)-COLUMN($A$1),FALSE))</f>
        <v>0.17949869669630888</v>
      </c>
      <c r="AX87" s="72">
        <f>IF(VLOOKUP($A87,raw[],COLUMN(AY$1)-COLUMN($A$1),FALSE)=0, VLOOKUP($D87, regions[], COLUMN(AY$1)-COLUMN($A$1), FALSE), VLOOKUP($A87,raw[],COLUMN(AY$1)-COLUMN($A$1),FALSE))</f>
        <v>66.759</v>
      </c>
      <c r="AY87" t="str">
        <f t="shared" si="2"/>
        <v>No</v>
      </c>
    </row>
    <row r="88" spans="1:51" x14ac:dyDescent="0.25">
      <c r="A88" s="53" t="s">
        <v>396</v>
      </c>
      <c r="B88" s="54" t="s">
        <v>397</v>
      </c>
      <c r="C88" s="54">
        <v>516</v>
      </c>
      <c r="D88" s="54" t="s">
        <v>207</v>
      </c>
      <c r="E88" s="54" t="s">
        <v>245</v>
      </c>
      <c r="F88" s="54" t="s">
        <v>211</v>
      </c>
      <c r="G88" s="54" t="s">
        <v>204</v>
      </c>
      <c r="H88" s="73">
        <f>VLOOKUP(lmics[[#This Row],[setting]],raw[],8,FALSE)</f>
        <v>2540916</v>
      </c>
      <c r="I88" s="73">
        <f>VLOOKUP(lmics[[#This Row],[setting]],raw[],9,FALSE)</f>
        <v>73267.312860000005</v>
      </c>
      <c r="J88" s="67">
        <f>IF(VLOOKUP($A88,raw[],COLUMN(J$1),FALSE)=0, VLOOKUP($D88, regions[], COLUMN(J$1), FALSE), VLOOKUP($A88,raw[],COLUMN(J$1),FALSE))</f>
        <v>0.87400000000000011</v>
      </c>
      <c r="K88" s="77">
        <f>VLOOKUP($A88, raw[], 11, FALSE)</f>
        <v>0.81</v>
      </c>
      <c r="L88" s="77">
        <f>VLOOKUP($A88, raw[], 12, FALSE)</f>
        <v>0.87</v>
      </c>
      <c r="M88" s="77">
        <f>IF(VLOOKUP($A88,raw[],COLUMN(M$1),FALSE)=0, VLOOKUP($D88, regions[], COLUMN(M$1), FALSE), VLOOKUP($A88,raw[],COLUMN(M$1),FALSE))</f>
        <v>5.5599999999999997E-2</v>
      </c>
      <c r="N88" s="68">
        <f>IF(VLOOKUP($A88,raw[],COLUMN(N$1),FALSE)=0, VLOOKUP($D88, regions[], COLUMN(N$1), FALSE), VLOOKUP($A88,raw[],COLUMN(N$1),FALSE))</f>
        <v>0.25809873416998286</v>
      </c>
      <c r="O88" s="67">
        <f>IF(VLOOKUP($A88,raw[],COLUMN(O$1),FALSE)=0, VLOOKUP($D88, regions[], COLUMN(O$1), FALSE), VLOOKUP($A88,raw[],COLUMN(O$1),FALSE))</f>
        <v>0.38300000000000001</v>
      </c>
      <c r="P88" s="68">
        <f>IF(VLOOKUP($A88,raw[],COLUMN(P$1),FALSE)=0, VLOOKUP($D88, regions[], COLUMN(P$1), FALSE), VLOOKUP($A88,raw[],COLUMN(P$1),FALSE))</f>
        <v>4.8000000000000001E-2</v>
      </c>
      <c r="Q88" s="70">
        <f>IF(VLOOKUP($A88,raw[],COLUMN(Q$1),FALSE)=0, VLOOKUP($D88, regions[], COLUMN(Q$1), FALSE), VLOOKUP($A88,raw[],COLUMN(Q$1),FALSE))</f>
        <v>9.24416818827242</v>
      </c>
      <c r="R88" s="70">
        <f>IF(VLOOKUP($A88,raw[],COLUMN(R$1),FALSE)=0, VLOOKUP($D88, regions[], COLUMN(R$1), FALSE), VLOOKUP($A88,raw[],COLUMN(R$1),FALSE))</f>
        <v>31.569548188272421</v>
      </c>
      <c r="S88" s="70">
        <f>IF(VLOOKUP($A88,raw[],COLUMN(S$1),FALSE)=0, VLOOKUP($D88, regions[], COLUMN(S$1), FALSE), VLOOKUP($A88,raw[],COLUMN(S$1),FALSE))</f>
        <v>81.876711874709386</v>
      </c>
      <c r="T88" s="70">
        <f>IF(VLOOKUP($A88,raw[],COLUMN(U$1)-COLUMN($A$1),FALSE)=0, VLOOKUP($D88, regions[], COLUMN(U$1)-COLUMN($A$1), FALSE), VLOOKUP($A88,raw[],COLUMN(U$1)-COLUMN($A$1),FALSE))</f>
        <v>92.85184355293211</v>
      </c>
      <c r="U88" s="70">
        <f>IF(VLOOKUP($A88,raw[],COLUMN(V$1)-COLUMN($A$1),FALSE)=0, VLOOKUP($D88, regions[], COLUMN(V$1)-COLUMN($A$1), FALSE), VLOOKUP($A88,raw[],COLUMN(V$1)-COLUMN($A$1),FALSE))</f>
        <v>87.812295071022163</v>
      </c>
      <c r="V88" s="70">
        <f>IF(VLOOKUP($A88,raw[],COLUMN(W$1)-COLUMN($A$1),FALSE)=0, VLOOKUP($D88, regions[], COLUMN(W$1)-COLUMN($A$1), FALSE), VLOOKUP($A88,raw[],COLUMN(W$1)-COLUMN($A$1),FALSE))</f>
        <v>5.7016031338984172</v>
      </c>
      <c r="W88" s="70">
        <f>IF(VLOOKUP($A88,raw[],COLUMN(X$1)-COLUMN($A$1),FALSE)=0, VLOOKUP($D88, regions[], COLUMN(X$1)-COLUMN($A$1), FALSE), VLOOKUP($A88,raw[],COLUMN(X$1)-COLUMN($A$1),FALSE))</f>
        <v>10.531603133898418</v>
      </c>
      <c r="X88" s="70">
        <f>IF(VLOOKUP($A88,raw[],COLUMN(Y$1)-COLUMN($A$1),FALSE)=0, VLOOKUP($D88, regions[], COLUMN(Y$1)-COLUMN($A$1), FALSE), VLOOKUP($A88,raw[],COLUMN(Y$1)-COLUMN($A$1),FALSE))</f>
        <v>5.2878874576461081</v>
      </c>
      <c r="Y88" s="70">
        <f>IF(VLOOKUP($A88,raw[],COLUMN(Z$1)-COLUMN($A$1),FALSE)=0, VLOOKUP($D88, regions[], COLUMN(Z$1)-COLUMN($A$1), FALSE), VLOOKUP($A88,raw[],COLUMN(Z$1)-COLUMN($A$1),FALSE))</f>
        <v>10.117887457646109</v>
      </c>
      <c r="Z88" s="70">
        <f>IF(VLOOKUP($A88,raw[],COLUMN(AA$1)-COLUMN($A$1),FALSE)=0, VLOOKUP($D88, regions[], COLUMN(AA$1)-COLUMN($A$1), FALSE), VLOOKUP($A88,raw[],COLUMN(AA$1)-COLUMN($A$1),FALSE))</f>
        <v>10.113044109149415</v>
      </c>
      <c r="AA88" s="70">
        <f>IF(VLOOKUP($A88,raw[],COLUMN(AB$1)-COLUMN($A$1),FALSE)=0, VLOOKUP($D88, regions[], COLUMN(AB$1)-COLUMN($A$1), FALSE), VLOOKUP($A88,raw[],COLUMN(AB$1)-COLUMN($A$1),FALSE))</f>
        <v>5.907861692882002</v>
      </c>
      <c r="AB88" s="70">
        <f>IF(VLOOKUP($A88,raw[],COLUMN(AC$1)-COLUMN($A$1),FALSE)=0, VLOOKUP($D88, regions[], COLUMN(AC$1)-COLUMN($A$1), FALSE), VLOOKUP($A88,raw[],COLUMN(AC$1)-COLUMN($A$1),FALSE))</f>
        <v>10.737861692882003</v>
      </c>
      <c r="AC88" s="72">
        <f>IF(VLOOKUP($A88,raw[],COLUMN(AD$1)-COLUMN($A$1),FALSE)=0, VLOOKUP($D88, regions[], COLUMN(AD$1)-COLUMN($A$1), FALSE), VLOOKUP($A88,raw[],COLUMN(AD$1)-COLUMN($A$1),FALSE))</f>
        <v>3.3393899999999997E-2</v>
      </c>
      <c r="AD88" s="72">
        <f>IF(VLOOKUP($A88,raw[],COLUMN(AE$1)-COLUMN($A$1),FALSE)=0, VLOOKUP($D88, regions[], COLUMN(AE$1)-COLUMN($A$1), FALSE), VLOOKUP($A88,raw[],COLUMN(AE$1)-COLUMN($A$1),FALSE))</f>
        <v>2.8889689398815268E-3</v>
      </c>
      <c r="AE88" s="72">
        <f>IF(VLOOKUP($A88,raw[],COLUMN(AF$1)-COLUMN($A$1),FALSE)=0, VLOOKUP($D88, regions[], COLUMN(AF$1)-COLUMN($A$1), FALSE), VLOOKUP($A88,raw[],COLUMN(AF$1)-COLUMN($A$1),FALSE))</f>
        <v>1.2247495939341124E-3</v>
      </c>
      <c r="AF88" s="72">
        <f>IF(VLOOKUP($A88,raw[],COLUMN(AG$1)-COLUMN($A$1),FALSE)=0, VLOOKUP($D88, regions[], COLUMN(AG$1)-COLUMN($A$1), FALSE), VLOOKUP($A88,raw[],COLUMN(AG$1)-COLUMN($A$1),FALSE))</f>
        <v>9.8845046322171433E-4</v>
      </c>
      <c r="AG88" s="72">
        <f>IF(VLOOKUP($A88,raw[],COLUMN(AH$1)-COLUMN($A$1),FALSE)=0, VLOOKUP($D88, regions[], COLUMN(AH$1)-COLUMN($A$1), FALSE), VLOOKUP($A88,raw[],COLUMN(AH$1)-COLUMN($A$1),FALSE))</f>
        <v>1.6652249148680479E-3</v>
      </c>
      <c r="AH88" s="72">
        <f>IF(VLOOKUP($A88,raw[],COLUMN(AI$1)-COLUMN($A$1),FALSE)=0, VLOOKUP($D88, regions[], COLUMN(AI$1)-COLUMN($A$1), FALSE), VLOOKUP($A88,raw[],COLUMN(AI$1)-COLUMN($A$1),FALSE))</f>
        <v>2.7220194759180897E-3</v>
      </c>
      <c r="AI88" s="72">
        <f>IF(VLOOKUP($A88,raw[],COLUMN(AJ$1)-COLUMN($A$1),FALSE)=0, VLOOKUP($D88, regions[], COLUMN(AJ$1)-COLUMN($A$1), FALSE), VLOOKUP($A88,raw[],COLUMN(AJ$1)-COLUMN($A$1),FALSE))</f>
        <v>3.9220450597063951E-3</v>
      </c>
      <c r="AJ88" s="72">
        <f>IF(VLOOKUP($A88,raw[],COLUMN(AK$1)-COLUMN($A$1),FALSE)=0, VLOOKUP($D88, regions[], COLUMN(AK$1)-COLUMN($A$1), FALSE), VLOOKUP($A88,raw[],COLUMN(AK$1)-COLUMN($A$1),FALSE))</f>
        <v>5.2208256651949912E-3</v>
      </c>
      <c r="AK88" s="72">
        <f>IF(VLOOKUP($A88,raw[],COLUMN(AL$1)-COLUMN($A$1),FALSE)=0, VLOOKUP($D88, regions[], COLUMN(AL$1)-COLUMN($A$1), FALSE), VLOOKUP($A88,raw[],COLUMN(AL$1)-COLUMN($A$1),FALSE))</f>
        <v>7.0471598547450515E-3</v>
      </c>
      <c r="AL88" s="72">
        <f>IF(VLOOKUP($A88,raw[],COLUMN(AM$1)-COLUMN($A$1),FALSE)=0, VLOOKUP($D88, regions[], COLUMN(AM$1)-COLUMN($A$1), FALSE), VLOOKUP($A88,raw[],COLUMN(AM$1)-COLUMN($A$1),FALSE))</f>
        <v>8.6251844776423607E-3</v>
      </c>
      <c r="AM88" s="72">
        <f>IF(VLOOKUP($A88,raw[],COLUMN(AN$1)-COLUMN($A$1),FALSE)=0, VLOOKUP($D88, regions[], COLUMN(AN$1)-COLUMN($A$1), FALSE), VLOOKUP($A88,raw[],COLUMN(AN$1)-COLUMN($A$1),FALSE))</f>
        <v>1.0517787157439704E-2</v>
      </c>
      <c r="AN88" s="72">
        <f>IF(VLOOKUP($A88,raw[],COLUMN(AO$1)-COLUMN($A$1),FALSE)=0, VLOOKUP($D88, regions[], COLUMN(AO$1)-COLUMN($A$1), FALSE), VLOOKUP($A88,raw[],COLUMN(AO$1)-COLUMN($A$1),FALSE))</f>
        <v>1.3459122969743957E-2</v>
      </c>
      <c r="AO88" s="72">
        <f>IF(VLOOKUP($A88,raw[],COLUMN(AP$1)-COLUMN($A$1),FALSE)=0, VLOOKUP($D88, regions[], COLUMN(AP$1)-COLUMN($A$1), FALSE), VLOOKUP($A88,raw[],COLUMN(AP$1)-COLUMN($A$1),FALSE))</f>
        <v>1.6834064564422793E-2</v>
      </c>
      <c r="AP88" s="72">
        <f>IF(VLOOKUP($A88,raw[],COLUMN(AQ$1)-COLUMN($A$1),FALSE)=0, VLOOKUP($D88, regions[], COLUMN(AQ$1)-COLUMN($A$1), FALSE), VLOOKUP($A88,raw[],COLUMN(AQ$1)-COLUMN($A$1),FALSE))</f>
        <v>2.3067933845764395E-2</v>
      </c>
      <c r="AQ88" s="72">
        <f>IF(VLOOKUP($A88,raw[],COLUMN(AR$1)-COLUMN($A$1),FALSE)=0, VLOOKUP($D88, regions[], COLUMN(AR$1)-COLUMN($A$1), FALSE), VLOOKUP($A88,raw[],COLUMN(AR$1)-COLUMN($A$1),FALSE))</f>
        <v>3.3447044006558589E-2</v>
      </c>
      <c r="AR88" s="72">
        <f>IF(VLOOKUP($A88,raw[],COLUMN(AS$1)-COLUMN($A$1),FALSE)=0, VLOOKUP($D88, regions[], COLUMN(AS$1)-COLUMN($A$1), FALSE), VLOOKUP($A88,raw[],COLUMN(AS$1)-COLUMN($A$1),FALSE))</f>
        <v>4.9744492042142194E-2</v>
      </c>
      <c r="AS88" s="72">
        <f>IF(VLOOKUP($A88,raw[],COLUMN(AT$1)-COLUMN($A$1),FALSE)=0, VLOOKUP($D88, regions[], COLUMN(AT$1)-COLUMN($A$1), FALSE), VLOOKUP($A88,raw[],COLUMN(AT$1)-COLUMN($A$1),FALSE))</f>
        <v>7.3212362235861556E-2</v>
      </c>
      <c r="AT88" s="72">
        <f>IF(VLOOKUP($A88,raw[],COLUMN(AU$1)-COLUMN($A$1),FALSE)=0, VLOOKUP($D88, regions[], COLUMN(AU$1)-COLUMN($A$1), FALSE), VLOOKUP($A88,raw[],COLUMN(AU$1)-COLUMN($A$1),FALSE))</f>
        <v>0.10734102805361607</v>
      </c>
      <c r="AU88" s="72">
        <f>IF(VLOOKUP($A88,raw[],COLUMN(AV$1)-COLUMN($A$1),FALSE)=0, VLOOKUP($D88, regions[], COLUMN(AV$1)-COLUMN($A$1), FALSE), VLOOKUP($A88,raw[],COLUMN(AV$1)-COLUMN($A$1),FALSE))</f>
        <v>0.1468365107010475</v>
      </c>
      <c r="AV88" s="72">
        <f>IF(VLOOKUP($A88,raw[],COLUMN(AW$1)-COLUMN($A$1),FALSE)=0, VLOOKUP($D88, regions[], COLUMN(AW$1)-COLUMN($A$1), FALSE), VLOOKUP($A88,raw[],COLUMN(AW$1)-COLUMN($A$1),FALSE))</f>
        <v>0.17801596342792059</v>
      </c>
      <c r="AW88" s="72">
        <f>IF(VLOOKUP($A88,raw[],COLUMN(AX$1)-COLUMN($A$1),FALSE)=0, VLOOKUP($D88, regions[], COLUMN(AX$1)-COLUMN($A$1), FALSE), VLOOKUP($A88,raw[],COLUMN(AX$1)-COLUMN($A$1),FALSE))</f>
        <v>0.18853484881129942</v>
      </c>
      <c r="AX88" s="72">
        <f>IF(VLOOKUP($A88,raw[],COLUMN(AY$1)-COLUMN($A$1),FALSE)=0, VLOOKUP($D88, regions[], COLUMN(AY$1)-COLUMN($A$1), FALSE), VLOOKUP($A88,raw[],COLUMN(AY$1)-COLUMN($A$1),FALSE))</f>
        <v>63.024000000000001</v>
      </c>
      <c r="AY88" t="str">
        <f t="shared" si="2"/>
        <v>No</v>
      </c>
    </row>
    <row r="89" spans="1:51" x14ac:dyDescent="0.25">
      <c r="A89" s="55" t="s">
        <v>398</v>
      </c>
      <c r="B89" s="56" t="s">
        <v>399</v>
      </c>
      <c r="C89" s="56">
        <v>520</v>
      </c>
      <c r="D89" s="56" t="s">
        <v>260</v>
      </c>
      <c r="E89" s="56" t="s">
        <v>309</v>
      </c>
      <c r="F89" s="56" t="s">
        <v>262</v>
      </c>
      <c r="G89" s="56" t="s">
        <v>204</v>
      </c>
      <c r="H89" s="74">
        <f>VLOOKUP(lmics[[#This Row],[setting]],raw[],8,FALSE)</f>
        <v>10834</v>
      </c>
      <c r="I89" s="74">
        <f>VLOOKUP(lmics[[#This Row],[setting]],raw[],9,FALSE)</f>
        <v>232.82265999999998</v>
      </c>
      <c r="J89" s="67">
        <f>IF(VLOOKUP($A89,raw[],COLUMN(J$1),FALSE)=0, VLOOKUP($D89, regions[], COLUMN(J$1), FALSE), VLOOKUP($A89,raw[],COLUMN(J$1),FALSE))</f>
        <v>0.98699999999999999</v>
      </c>
      <c r="K89" s="77">
        <f>VLOOKUP($A89, raw[], 11, FALSE)</f>
        <v>0.99</v>
      </c>
      <c r="L89" s="77">
        <f>VLOOKUP($A89, raw[], 12, FALSE)</f>
        <v>0.95</v>
      </c>
      <c r="M89" s="77">
        <f>IF(VLOOKUP($A89,raw[],COLUMN(M$1),FALSE)=0, VLOOKUP($D89, regions[], COLUMN(M$1), FALSE), VLOOKUP($A89,raw[],COLUMN(M$1),FALSE))</f>
        <v>0.10980000000000001</v>
      </c>
      <c r="N89" s="68">
        <f>IF(VLOOKUP($A89,raw[],COLUMN(N$1),FALSE)=0, VLOOKUP($D89, regions[], COLUMN(N$1), FALSE), VLOOKUP($A89,raw[],COLUMN(N$1),FALSE))</f>
        <v>0.33308913563627279</v>
      </c>
      <c r="O89" s="67">
        <f>IF(VLOOKUP($A89,raw[],COLUMN(O$1),FALSE)=0, VLOOKUP($D89, regions[], COLUMN(O$1), FALSE), VLOOKUP($A89,raw[],COLUMN(O$1),FALSE))</f>
        <v>0.8</v>
      </c>
      <c r="P89" s="68">
        <f>IF(VLOOKUP($A89,raw[],COLUMN(P$1),FALSE)=0, VLOOKUP($D89, regions[], COLUMN(P$1), FALSE), VLOOKUP($A89,raw[],COLUMN(P$1),FALSE))</f>
        <v>0.17499999999999999</v>
      </c>
      <c r="Q89" s="70">
        <f>IF(VLOOKUP($A89,raw[],COLUMN(Q$1),FALSE)=0, VLOOKUP($D89, regions[], COLUMN(Q$1), FALSE), VLOOKUP($A89,raw[],COLUMN(Q$1),FALSE))</f>
        <v>6.1944244591402899</v>
      </c>
      <c r="R89" s="70">
        <f>IF(VLOOKUP($A89,raw[],COLUMN(R$1),FALSE)=0, VLOOKUP($D89, regions[], COLUMN(R$1), FALSE), VLOOKUP($A89,raw[],COLUMN(R$1),FALSE))</f>
        <v>28.519804459140293</v>
      </c>
      <c r="S89" s="70">
        <f>IF(VLOOKUP($A89,raw[],COLUMN(S$1),FALSE)=0, VLOOKUP($D89, regions[], COLUMN(S$1), FALSE), VLOOKUP($A89,raw[],COLUMN(S$1),FALSE))</f>
        <v>65.864059444836528</v>
      </c>
      <c r="T89" s="70">
        <f>IF(VLOOKUP($A89,raw[],COLUMN(U$1)-COLUMN($A$1),FALSE)=0, VLOOKUP($D89, regions[], COLUMN(U$1)-COLUMN($A$1), FALSE), VLOOKUP($A89,raw[],COLUMN(U$1)-COLUMN($A$1),FALSE))</f>
        <v>70.092450212857344</v>
      </c>
      <c r="U89" s="70">
        <f>IF(VLOOKUP($A89,raw[],COLUMN(V$1)-COLUMN($A$1),FALSE)=0, VLOOKUP($D89, regions[], COLUMN(V$1)-COLUMN($A$1), FALSE), VLOOKUP($A89,raw[],COLUMN(V$1)-COLUMN($A$1),FALSE))</f>
        <v>68.150862548976846</v>
      </c>
      <c r="V89" s="70">
        <f>IF(VLOOKUP($A89,raw[],COLUMN(W$1)-COLUMN($A$1),FALSE)=0, VLOOKUP($D89, regions[], COLUMN(W$1)-COLUMN($A$1), FALSE), VLOOKUP($A89,raw[],COLUMN(W$1)-COLUMN($A$1),FALSE))</f>
        <v>2.5641026350928411</v>
      </c>
      <c r="W89" s="70">
        <f>IF(VLOOKUP($A89,raw[],COLUMN(X$1)-COLUMN($A$1),FALSE)=0, VLOOKUP($D89, regions[], COLUMN(X$1)-COLUMN($A$1), FALSE), VLOOKUP($A89,raw[],COLUMN(X$1)-COLUMN($A$1),FALSE))</f>
        <v>3.2063183266907971</v>
      </c>
      <c r="X89" s="70">
        <f>IF(VLOOKUP($A89,raw[],COLUMN(Y$1)-COLUMN($A$1),FALSE)=0, VLOOKUP($D89, regions[], COLUMN(Y$1)-COLUMN($A$1), FALSE), VLOOKUP($A89,raw[],COLUMN(Y$1)-COLUMN($A$1),FALSE))</f>
        <v>2.133132036370184</v>
      </c>
      <c r="Y89" s="70">
        <f>IF(VLOOKUP($A89,raw[],COLUMN(Z$1)-COLUMN($A$1),FALSE)=0, VLOOKUP($D89, regions[], COLUMN(Z$1)-COLUMN($A$1), FALSE), VLOOKUP($A89,raw[],COLUMN(Z$1)-COLUMN($A$1),FALSE))</f>
        <v>2.77534772796814</v>
      </c>
      <c r="Z89" s="70">
        <f>IF(VLOOKUP($A89,raw[],COLUMN(AA$1)-COLUMN($A$1),FALSE)=0, VLOOKUP($D89, regions[], COLUMN(AA$1)-COLUMN($A$1), FALSE), VLOOKUP($A89,raw[],COLUMN(AA$1)-COLUMN($A$1),FALSE))</f>
        <v>2.7631962855379366</v>
      </c>
      <c r="AA89" s="70">
        <f>IF(VLOOKUP($A89,raw[],COLUMN(AB$1)-COLUMN($A$1),FALSE)=0, VLOOKUP($D89, regions[], COLUMN(AB$1)-COLUMN($A$1), FALSE), VLOOKUP($A89,raw[],COLUMN(AB$1)-COLUMN($A$1),FALSE))</f>
        <v>2.7765129490441156</v>
      </c>
      <c r="AB89" s="70">
        <f>IF(VLOOKUP($A89,raw[],COLUMN(AC$1)-COLUMN($A$1),FALSE)=0, VLOOKUP($D89, regions[], COLUMN(AC$1)-COLUMN($A$1), FALSE), VLOOKUP($A89,raw[],COLUMN(AC$1)-COLUMN($A$1),FALSE))</f>
        <v>3.418728640642072</v>
      </c>
      <c r="AC89" s="72">
        <f>IF(VLOOKUP($A89,raw[],COLUMN(AD$1)-COLUMN($A$1),FALSE)=0, VLOOKUP($D89, regions[], COLUMN(AD$1)-COLUMN($A$1), FALSE), VLOOKUP($A89,raw[],COLUMN(AD$1)-COLUMN($A$1),FALSE))</f>
        <v>1.2130255501425892E-2</v>
      </c>
      <c r="AD89" s="72">
        <f>IF(VLOOKUP($A89,raw[],COLUMN(AE$1)-COLUMN($A$1),FALSE)=0, VLOOKUP($D89, regions[], COLUMN(AE$1)-COLUMN($A$1), FALSE), VLOOKUP($A89,raw[],COLUMN(AE$1)-COLUMN($A$1),FALSE))</f>
        <v>6.7807185454028058E-4</v>
      </c>
      <c r="AE89" s="72">
        <f>IF(VLOOKUP($A89,raw[],COLUMN(AF$1)-COLUMN($A$1),FALSE)=0, VLOOKUP($D89, regions[], COLUMN(AF$1)-COLUMN($A$1), FALSE), VLOOKUP($A89,raw[],COLUMN(AF$1)-COLUMN($A$1),FALSE))</f>
        <v>3.9141931303174815E-4</v>
      </c>
      <c r="AF89" s="72">
        <f>IF(VLOOKUP($A89,raw[],COLUMN(AG$1)-COLUMN($A$1),FALSE)=0, VLOOKUP($D89, regions[], COLUMN(AG$1)-COLUMN($A$1), FALSE), VLOOKUP($A89,raw[],COLUMN(AG$1)-COLUMN($A$1),FALSE))</f>
        <v>3.0837306874500548E-4</v>
      </c>
      <c r="AG89" s="72">
        <f>IF(VLOOKUP($A89,raw[],COLUMN(AH$1)-COLUMN($A$1),FALSE)=0, VLOOKUP($D89, regions[], COLUMN(AH$1)-COLUMN($A$1), FALSE), VLOOKUP($A89,raw[],COLUMN(AH$1)-COLUMN($A$1),FALSE))</f>
        <v>4.9055543455316954E-4</v>
      </c>
      <c r="AH89" s="72">
        <f>IF(VLOOKUP($A89,raw[],COLUMN(AI$1)-COLUMN($A$1),FALSE)=0, VLOOKUP($D89, regions[], COLUMN(AI$1)-COLUMN($A$1), FALSE), VLOOKUP($A89,raw[],COLUMN(AI$1)-COLUMN($A$1),FALSE))</f>
        <v>6.8245854740275457E-4</v>
      </c>
      <c r="AI89" s="72">
        <f>IF(VLOOKUP($A89,raw[],COLUMN(AJ$1)-COLUMN($A$1),FALSE)=0, VLOOKUP($D89, regions[], COLUMN(AJ$1)-COLUMN($A$1), FALSE), VLOOKUP($A89,raw[],COLUMN(AJ$1)-COLUMN($A$1),FALSE))</f>
        <v>8.5177674123833097E-4</v>
      </c>
      <c r="AJ89" s="72">
        <f>IF(VLOOKUP($A89,raw[],COLUMN(AK$1)-COLUMN($A$1),FALSE)=0, VLOOKUP($D89, regions[], COLUMN(AK$1)-COLUMN($A$1), FALSE), VLOOKUP($A89,raw[],COLUMN(AK$1)-COLUMN($A$1),FALSE))</f>
        <v>1.0602536345014524E-3</v>
      </c>
      <c r="AK89" s="72">
        <f>IF(VLOOKUP($A89,raw[],COLUMN(AL$1)-COLUMN($A$1),FALSE)=0, VLOOKUP($D89, regions[], COLUMN(AL$1)-COLUMN($A$1), FALSE), VLOOKUP($A89,raw[],COLUMN(AL$1)-COLUMN($A$1),FALSE))</f>
        <v>1.3620252124251645E-3</v>
      </c>
      <c r="AL89" s="72">
        <f>IF(VLOOKUP($A89,raw[],COLUMN(AM$1)-COLUMN($A$1),FALSE)=0, VLOOKUP($D89, regions[], COLUMN(AM$1)-COLUMN($A$1), FALSE), VLOOKUP($A89,raw[],COLUMN(AM$1)-COLUMN($A$1),FALSE))</f>
        <v>1.9171179541553115E-3</v>
      </c>
      <c r="AM89" s="72">
        <f>IF(VLOOKUP($A89,raw[],COLUMN(AN$1)-COLUMN($A$1),FALSE)=0, VLOOKUP($D89, regions[], COLUMN(AN$1)-COLUMN($A$1), FALSE), VLOOKUP($A89,raw[],COLUMN(AN$1)-COLUMN($A$1),FALSE))</f>
        <v>2.8099348310387283E-3</v>
      </c>
      <c r="AN89" s="72">
        <f>IF(VLOOKUP($A89,raw[],COLUMN(AO$1)-COLUMN($A$1),FALSE)=0, VLOOKUP($D89, regions[], COLUMN(AO$1)-COLUMN($A$1), FALSE), VLOOKUP($A89,raw[],COLUMN(AO$1)-COLUMN($A$1),FALSE))</f>
        <v>4.4741208648817199E-3</v>
      </c>
      <c r="AO89" s="72">
        <f>IF(VLOOKUP($A89,raw[],COLUMN(AP$1)-COLUMN($A$1),FALSE)=0, VLOOKUP($D89, regions[], COLUMN(AP$1)-COLUMN($A$1), FALSE), VLOOKUP($A89,raw[],COLUMN(AP$1)-COLUMN($A$1),FALSE))</f>
        <v>7.1586511232246443E-3</v>
      </c>
      <c r="AP89" s="72">
        <f>IF(VLOOKUP($A89,raw[],COLUMN(AQ$1)-COLUMN($A$1),FALSE)=0, VLOOKUP($D89, regions[], COLUMN(AQ$1)-COLUMN($A$1), FALSE), VLOOKUP($A89,raw[],COLUMN(AQ$1)-COLUMN($A$1),FALSE))</f>
        <v>1.2132304912738557E-2</v>
      </c>
      <c r="AQ89" s="72">
        <f>IF(VLOOKUP($A89,raw[],COLUMN(AR$1)-COLUMN($A$1),FALSE)=0, VLOOKUP($D89, regions[], COLUMN(AR$1)-COLUMN($A$1), FALSE), VLOOKUP($A89,raw[],COLUMN(AR$1)-COLUMN($A$1),FALSE))</f>
        <v>2.0392200150415828E-2</v>
      </c>
      <c r="AR89" s="72">
        <f>IF(VLOOKUP($A89,raw[],COLUMN(AS$1)-COLUMN($A$1),FALSE)=0, VLOOKUP($D89, regions[], COLUMN(AS$1)-COLUMN($A$1), FALSE), VLOOKUP($A89,raw[],COLUMN(AS$1)-COLUMN($A$1),FALSE))</f>
        <v>3.44244204858224E-2</v>
      </c>
      <c r="AS89" s="72">
        <f>IF(VLOOKUP($A89,raw[],COLUMN(AT$1)-COLUMN($A$1),FALSE)=0, VLOOKUP($D89, regions[], COLUMN(AT$1)-COLUMN($A$1), FALSE), VLOOKUP($A89,raw[],COLUMN(AT$1)-COLUMN($A$1),FALSE))</f>
        <v>5.3867591667339003E-2</v>
      </c>
      <c r="AT89" s="72">
        <f>IF(VLOOKUP($A89,raw[],COLUMN(AU$1)-COLUMN($A$1),FALSE)=0, VLOOKUP($D89, regions[], COLUMN(AU$1)-COLUMN($A$1), FALSE), VLOOKUP($A89,raw[],COLUMN(AU$1)-COLUMN($A$1),FALSE))</f>
        <v>7.6826546279148339E-2</v>
      </c>
      <c r="AU89" s="72">
        <f>IF(VLOOKUP($A89,raw[],COLUMN(AV$1)-COLUMN($A$1),FALSE)=0, VLOOKUP($D89, regions[], COLUMN(AV$1)-COLUMN($A$1), FALSE), VLOOKUP($A89,raw[],COLUMN(AV$1)-COLUMN($A$1),FALSE))</f>
        <v>0.10590692805681631</v>
      </c>
      <c r="AV89" s="72">
        <f>IF(VLOOKUP($A89,raw[],COLUMN(AW$1)-COLUMN($A$1),FALSE)=0, VLOOKUP($D89, regions[], COLUMN(AW$1)-COLUMN($A$1), FALSE), VLOOKUP($A89,raw[],COLUMN(AW$1)-COLUMN($A$1),FALSE))</f>
        <v>0.13211311453937141</v>
      </c>
      <c r="AW89" s="72">
        <f>IF(VLOOKUP($A89,raw[],COLUMN(AX$1)-COLUMN($A$1),FALSE)=0, VLOOKUP($D89, regions[], COLUMN(AX$1)-COLUMN($A$1), FALSE), VLOOKUP($A89,raw[],COLUMN(AX$1)-COLUMN($A$1),FALSE))</f>
        <v>0.15413448359295936</v>
      </c>
      <c r="AX89" s="72">
        <f>IF(VLOOKUP($A89,raw[],COLUMN(AY$1)-COLUMN($A$1),FALSE)=0, VLOOKUP($D89, regions[], COLUMN(AY$1)-COLUMN($A$1), FALSE), VLOOKUP($A89,raw[],COLUMN(AY$1)-COLUMN($A$1),FALSE))</f>
        <v>75.579570681381213</v>
      </c>
      <c r="AY89" t="str">
        <f t="shared" si="2"/>
        <v>No</v>
      </c>
    </row>
    <row r="90" spans="1:51" x14ac:dyDescent="0.25">
      <c r="A90" s="53" t="s">
        <v>400</v>
      </c>
      <c r="B90" s="54" t="s">
        <v>401</v>
      </c>
      <c r="C90" s="54">
        <v>524</v>
      </c>
      <c r="D90" s="54" t="s">
        <v>225</v>
      </c>
      <c r="E90" s="54" t="s">
        <v>226</v>
      </c>
      <c r="F90" s="54" t="s">
        <v>226</v>
      </c>
      <c r="G90" s="54" t="s">
        <v>198</v>
      </c>
      <c r="H90" s="73">
        <f>VLOOKUP(lmics[[#This Row],[setting]],raw[],8,FALSE)</f>
        <v>29136808</v>
      </c>
      <c r="I90" s="73">
        <f>VLOOKUP(lmics[[#This Row],[setting]],raw[],9,FALSE)</f>
        <v>583289.75935199996</v>
      </c>
      <c r="J90" s="67">
        <f>IF(VLOOKUP($A90,raw[],COLUMN(J$1),FALSE)=0, VLOOKUP($D90, regions[], COLUMN(J$1), FALSE), VLOOKUP($A90,raw[],COLUMN(J$1),FALSE))</f>
        <v>0.57399999999999995</v>
      </c>
      <c r="K90" s="77">
        <f>VLOOKUP($A90, raw[], 11, FALSE)</f>
        <v>0</v>
      </c>
      <c r="L90" s="77">
        <f>VLOOKUP($A90, raw[], 12, FALSE)</f>
        <v>0.84</v>
      </c>
      <c r="M90" s="77">
        <f>IF(VLOOKUP($A90,raw[],COLUMN(M$1),FALSE)=0, VLOOKUP($D90, regions[], COLUMN(M$1), FALSE), VLOOKUP($A90,raw[],COLUMN(M$1),FALSE))</f>
        <v>8.1000000000000013E-3</v>
      </c>
      <c r="N90" s="68">
        <f>IF(VLOOKUP($A90,raw[],COLUMN(N$1),FALSE)=0, VLOOKUP($D90, regions[], COLUMN(N$1), FALSE), VLOOKUP($A90,raw[],COLUMN(N$1),FALSE))</f>
        <v>0.28656959412598437</v>
      </c>
      <c r="O90" s="67">
        <f>IF(VLOOKUP($A90,raw[],COLUMN(O$1),FALSE)=0, VLOOKUP($D90, regions[], COLUMN(O$1), FALSE), VLOOKUP($A90,raw[],COLUMN(O$1),FALSE))</f>
        <v>0.8</v>
      </c>
      <c r="P90" s="68">
        <f>IF(VLOOKUP($A90,raw[],COLUMN(P$1),FALSE)=0, VLOOKUP($D90, regions[], COLUMN(P$1), FALSE), VLOOKUP($A90,raw[],COLUMN(P$1),FALSE))</f>
        <v>0.17499999999999999</v>
      </c>
      <c r="Q90" s="70">
        <f>IF(VLOOKUP($A90,raw[],COLUMN(Q$1),FALSE)=0, VLOOKUP($D90, regions[], COLUMN(Q$1), FALSE), VLOOKUP($A90,raw[],COLUMN(Q$1),FALSE))</f>
        <v>2.830754810126582</v>
      </c>
      <c r="R90" s="70">
        <f>IF(VLOOKUP($A90,raw[],COLUMN(R$1),FALSE)=0, VLOOKUP($D90, regions[], COLUMN(R$1), FALSE), VLOOKUP($A90,raw[],COLUMN(R$1),FALSE))</f>
        <v>25.156134810126584</v>
      </c>
      <c r="S90" s="70">
        <f>IF(VLOOKUP($A90,raw[],COLUMN(S$1),FALSE)=0, VLOOKUP($D90, regions[], COLUMN(S$1), FALSE), VLOOKUP($A90,raw[],COLUMN(S$1),FALSE))</f>
        <v>55.747042533542988</v>
      </c>
      <c r="T90" s="70">
        <f>IF(VLOOKUP($A90,raw[],COLUMN(U$1)-COLUMN($A$1),FALSE)=0, VLOOKUP($D90, regions[], COLUMN(U$1)-COLUMN($A$1), FALSE), VLOOKUP($A90,raw[],COLUMN(U$1)-COLUMN($A$1),FALSE))</f>
        <v>56.460552088783217</v>
      </c>
      <c r="U90" s="70">
        <f>IF(VLOOKUP($A90,raw[],COLUMN(V$1)-COLUMN($A$1),FALSE)=0, VLOOKUP($D90, regions[], COLUMN(V$1)-COLUMN($A$1), FALSE), VLOOKUP($A90,raw[],COLUMN(V$1)-COLUMN($A$1),FALSE))</f>
        <v>56.132923582687567</v>
      </c>
      <c r="V90" s="70">
        <f>IF(VLOOKUP($A90,raw[],COLUMN(W$1)-COLUMN($A$1),FALSE)=0, VLOOKUP($D90, regions[], COLUMN(W$1)-COLUMN($A$1), FALSE), VLOOKUP($A90,raw[],COLUMN(W$1)-COLUMN($A$1),FALSE))</f>
        <v>2.4748408238533424</v>
      </c>
      <c r="W90" s="70">
        <f>IF(VLOOKUP($A90,raw[],COLUMN(X$1)-COLUMN($A$1),FALSE)=0, VLOOKUP($D90, regions[], COLUMN(X$1)-COLUMN($A$1), FALSE), VLOOKUP($A90,raw[],COLUMN(X$1)-COLUMN($A$1),FALSE))</f>
        <v>4.2846882848616064</v>
      </c>
      <c r="X90" s="70">
        <f>IF(VLOOKUP($A90,raw[],COLUMN(Y$1)-COLUMN($A$1),FALSE)=0, VLOOKUP($D90, regions[], COLUMN(Y$1)-COLUMN($A$1), FALSE), VLOOKUP($A90,raw[],COLUMN(Y$1)-COLUMN($A$1),FALSE))</f>
        <v>2.0671269302906339</v>
      </c>
      <c r="Y90" s="70">
        <f>IF(VLOOKUP($A90,raw[],COLUMN(Z$1)-COLUMN($A$1),FALSE)=0, VLOOKUP($D90, regions[], COLUMN(Z$1)-COLUMN($A$1), FALSE), VLOOKUP($A90,raw[],COLUMN(Z$1)-COLUMN($A$1),FALSE))</f>
        <v>3.8769743912988979</v>
      </c>
      <c r="Z90" s="70">
        <f>IF(VLOOKUP($A90,raw[],COLUMN(AA$1)-COLUMN($A$1),FALSE)=0, VLOOKUP($D90, regions[], COLUMN(AA$1)-COLUMN($A$1), FALSE), VLOOKUP($A90,raw[],COLUMN(AA$1)-COLUMN($A$1),FALSE))</f>
        <v>3.8742989742280667</v>
      </c>
      <c r="AA90" s="70">
        <f>IF(VLOOKUP($A90,raw[],COLUMN(AB$1)-COLUMN($A$1),FALSE)=0, VLOOKUP($D90, regions[], COLUMN(AB$1)-COLUMN($A$1), FALSE), VLOOKUP($A90,raw[],COLUMN(AB$1)-COLUMN($A$1),FALSE))</f>
        <v>2.6789596168345482</v>
      </c>
      <c r="AB90" s="70">
        <f>IF(VLOOKUP($A90,raw[],COLUMN(AC$1)-COLUMN($A$1),FALSE)=0, VLOOKUP($D90, regions[], COLUMN(AC$1)-COLUMN($A$1), FALSE), VLOOKUP($A90,raw[],COLUMN(AC$1)-COLUMN($A$1),FALSE))</f>
        <v>4.4888070778428126</v>
      </c>
      <c r="AC90" s="72">
        <f>IF(VLOOKUP($A90,raw[],COLUMN(AD$1)-COLUMN($A$1),FALSE)=0, VLOOKUP($D90, regions[], COLUMN(AD$1)-COLUMN($A$1), FALSE), VLOOKUP($A90,raw[],COLUMN(AD$1)-COLUMN($A$1),FALSE))</f>
        <v>2.7942580000000015E-2</v>
      </c>
      <c r="AD90" s="72">
        <f>IF(VLOOKUP($A90,raw[],COLUMN(AE$1)-COLUMN($A$1),FALSE)=0, VLOOKUP($D90, regions[], COLUMN(AE$1)-COLUMN($A$1), FALSE), VLOOKUP($A90,raw[],COLUMN(AE$1)-COLUMN($A$1),FALSE))</f>
        <v>1.4641933395251625E-3</v>
      </c>
      <c r="AE90" s="72">
        <f>IF(VLOOKUP($A90,raw[],COLUMN(AF$1)-COLUMN($A$1),FALSE)=0, VLOOKUP($D90, regions[], COLUMN(AF$1)-COLUMN($A$1), FALSE), VLOOKUP($A90,raw[],COLUMN(AF$1)-COLUMN($A$1),FALSE))</f>
        <v>5.9734201687707217E-4</v>
      </c>
      <c r="AF90" s="72">
        <f>IF(VLOOKUP($A90,raw[],COLUMN(AG$1)-COLUMN($A$1),FALSE)=0, VLOOKUP($D90, regions[], COLUMN(AG$1)-COLUMN($A$1), FALSE), VLOOKUP($A90,raw[],COLUMN(AG$1)-COLUMN($A$1),FALSE))</f>
        <v>4.8948909630063052E-4</v>
      </c>
      <c r="AG90" s="72">
        <f>IF(VLOOKUP($A90,raw[],COLUMN(AH$1)-COLUMN($A$1),FALSE)=0, VLOOKUP($D90, regions[], COLUMN(AH$1)-COLUMN($A$1), FALSE), VLOOKUP($A90,raw[],COLUMN(AH$1)-COLUMN($A$1),FALSE))</f>
        <v>8.5947021037404889E-4</v>
      </c>
      <c r="AH90" s="72">
        <f>IF(VLOOKUP($A90,raw[],COLUMN(AI$1)-COLUMN($A$1),FALSE)=0, VLOOKUP($D90, regions[], COLUMN(AI$1)-COLUMN($A$1), FALSE), VLOOKUP($A90,raw[],COLUMN(AI$1)-COLUMN($A$1),FALSE))</f>
        <v>1.187279211316897E-3</v>
      </c>
      <c r="AI90" s="72">
        <f>IF(VLOOKUP($A90,raw[],COLUMN(AJ$1)-COLUMN($A$1),FALSE)=0, VLOOKUP($D90, regions[], COLUMN(AJ$1)-COLUMN($A$1), FALSE), VLOOKUP($A90,raw[],COLUMN(AJ$1)-COLUMN($A$1),FALSE))</f>
        <v>1.2900965422736341E-3</v>
      </c>
      <c r="AJ90" s="72">
        <f>IF(VLOOKUP($A90,raw[],COLUMN(AK$1)-COLUMN($A$1),FALSE)=0, VLOOKUP($D90, regions[], COLUMN(AK$1)-COLUMN($A$1), FALSE), VLOOKUP($A90,raw[],COLUMN(AK$1)-COLUMN($A$1),FALSE))</f>
        <v>1.5188384974273346E-3</v>
      </c>
      <c r="AK90" s="72">
        <f>IF(VLOOKUP($A90,raw[],COLUMN(AL$1)-COLUMN($A$1),FALSE)=0, VLOOKUP($D90, regions[], COLUMN(AL$1)-COLUMN($A$1), FALSE), VLOOKUP($A90,raw[],COLUMN(AL$1)-COLUMN($A$1),FALSE))</f>
        <v>1.9839414185007548E-3</v>
      </c>
      <c r="AL90" s="72">
        <f>IF(VLOOKUP($A90,raw[],COLUMN(AM$1)-COLUMN($A$1),FALSE)=0, VLOOKUP($D90, regions[], COLUMN(AM$1)-COLUMN($A$1), FALSE), VLOOKUP($A90,raw[],COLUMN(AM$1)-COLUMN($A$1),FALSE))</f>
        <v>2.8502541968265169E-3</v>
      </c>
      <c r="AM90" s="72">
        <f>IF(VLOOKUP($A90,raw[],COLUMN(AN$1)-COLUMN($A$1),FALSE)=0, VLOOKUP($D90, regions[], COLUMN(AN$1)-COLUMN($A$1), FALSE), VLOOKUP($A90,raw[],COLUMN(AN$1)-COLUMN($A$1),FALSE))</f>
        <v>4.4543849074185305E-3</v>
      </c>
      <c r="AN90" s="72">
        <f>IF(VLOOKUP($A90,raw[],COLUMN(AO$1)-COLUMN($A$1),FALSE)=0, VLOOKUP($D90, regions[], COLUMN(AO$1)-COLUMN($A$1), FALSE), VLOOKUP($A90,raw[],COLUMN(AO$1)-COLUMN($A$1),FALSE))</f>
        <v>6.9522169793429268E-3</v>
      </c>
      <c r="AO90" s="72">
        <f>IF(VLOOKUP($A90,raw[],COLUMN(AP$1)-COLUMN($A$1),FALSE)=0, VLOOKUP($D90, regions[], COLUMN(AP$1)-COLUMN($A$1), FALSE), VLOOKUP($A90,raw[],COLUMN(AP$1)-COLUMN($A$1),FALSE))</f>
        <v>1.0951608108868135E-2</v>
      </c>
      <c r="AP90" s="72">
        <f>IF(VLOOKUP($A90,raw[],COLUMN(AQ$1)-COLUMN($A$1),FALSE)=0, VLOOKUP($D90, regions[], COLUMN(AQ$1)-COLUMN($A$1), FALSE), VLOOKUP($A90,raw[],COLUMN(AQ$1)-COLUMN($A$1),FALSE))</f>
        <v>1.718090029554491E-2</v>
      </c>
      <c r="AQ90" s="72">
        <f>IF(VLOOKUP($A90,raw[],COLUMN(AR$1)-COLUMN($A$1),FALSE)=0, VLOOKUP($D90, regions[], COLUMN(AR$1)-COLUMN($A$1), FALSE), VLOOKUP($A90,raw[],COLUMN(AR$1)-COLUMN($A$1),FALSE))</f>
        <v>2.7261169312703379E-2</v>
      </c>
      <c r="AR90" s="72">
        <f>IF(VLOOKUP($A90,raw[],COLUMN(AS$1)-COLUMN($A$1),FALSE)=0, VLOOKUP($D90, regions[], COLUMN(AS$1)-COLUMN($A$1), FALSE), VLOOKUP($A90,raw[],COLUMN(AS$1)-COLUMN($A$1),FALSE))</f>
        <v>4.320931980586707E-2</v>
      </c>
      <c r="AS90" s="72">
        <f>IF(VLOOKUP($A90,raw[],COLUMN(AT$1)-COLUMN($A$1),FALSE)=0, VLOOKUP($D90, regions[], COLUMN(AT$1)-COLUMN($A$1), FALSE), VLOOKUP($A90,raw[],COLUMN(AT$1)-COLUMN($A$1),FALSE))</f>
        <v>6.6773009751530027E-2</v>
      </c>
      <c r="AT90" s="72">
        <f>IF(VLOOKUP($A90,raw[],COLUMN(AU$1)-COLUMN($A$1),FALSE)=0, VLOOKUP($D90, regions[], COLUMN(AU$1)-COLUMN($A$1), FALSE), VLOOKUP($A90,raw[],COLUMN(AU$1)-COLUMN($A$1),FALSE))</f>
        <v>9.8636927081093451E-2</v>
      </c>
      <c r="AU90" s="72">
        <f>IF(VLOOKUP($A90,raw[],COLUMN(AV$1)-COLUMN($A$1),FALSE)=0, VLOOKUP($D90, regions[], COLUMN(AV$1)-COLUMN($A$1), FALSE), VLOOKUP($A90,raw[],COLUMN(AV$1)-COLUMN($A$1),FALSE))</f>
        <v>0.13300884083462092</v>
      </c>
      <c r="AV90" s="72">
        <f>IF(VLOOKUP($A90,raw[],COLUMN(AW$1)-COLUMN($A$1),FALSE)=0, VLOOKUP($D90, regions[], COLUMN(AW$1)-COLUMN($A$1), FALSE), VLOOKUP($A90,raw[],COLUMN(AW$1)-COLUMN($A$1),FALSE))</f>
        <v>0.16119652230409756</v>
      </c>
      <c r="AW90" s="72">
        <f>IF(VLOOKUP($A90,raw[],COLUMN(AX$1)-COLUMN($A$1),FALSE)=0, VLOOKUP($D90, regions[], COLUMN(AX$1)-COLUMN($A$1), FALSE), VLOOKUP($A90,raw[],COLUMN(AX$1)-COLUMN($A$1),FALSE))</f>
        <v>0.17936089322120757</v>
      </c>
      <c r="AX90" s="72">
        <f>IF(VLOOKUP($A90,raw[],COLUMN(AY$1)-COLUMN($A$1),FALSE)=0, VLOOKUP($D90, regions[], COLUMN(AY$1)-COLUMN($A$1), FALSE), VLOOKUP($A90,raw[],COLUMN(AY$1)-COLUMN($A$1),FALSE))</f>
        <v>70.305999999999997</v>
      </c>
      <c r="AY90" t="str">
        <f t="shared" si="2"/>
        <v>Yes</v>
      </c>
    </row>
    <row r="91" spans="1:51" x14ac:dyDescent="0.25">
      <c r="A91" s="55" t="s">
        <v>402</v>
      </c>
      <c r="B91" s="56" t="s">
        <v>403</v>
      </c>
      <c r="C91" s="56">
        <v>558</v>
      </c>
      <c r="D91" s="56" t="s">
        <v>215</v>
      </c>
      <c r="E91" s="56" t="s">
        <v>274</v>
      </c>
      <c r="F91" s="56" t="s">
        <v>217</v>
      </c>
      <c r="G91" s="56" t="s">
        <v>212</v>
      </c>
      <c r="H91" s="74">
        <f>VLOOKUP(lmics[[#This Row],[setting]],raw[],8,FALSE)</f>
        <v>6624554</v>
      </c>
      <c r="I91" s="74">
        <f>VLOOKUP(lmics[[#This Row],[setting]],raw[],9,FALSE)</f>
        <v>138234.56831800001</v>
      </c>
      <c r="J91" s="67">
        <f>IF(VLOOKUP($A91,raw[],COLUMN(J$1),FALSE)=0, VLOOKUP($D91, regions[], COLUMN(J$1), FALSE), VLOOKUP($A91,raw[],COLUMN(J$1),FALSE))</f>
        <v>0.71</v>
      </c>
      <c r="K91" s="77">
        <f>VLOOKUP($A91, raw[], 11, FALSE)</f>
        <v>0</v>
      </c>
      <c r="L91" s="77">
        <f>VLOOKUP($A91, raw[], 12, FALSE)</f>
        <v>0.92</v>
      </c>
      <c r="M91" s="77">
        <f>IF(VLOOKUP($A91,raw[],COLUMN(M$1),FALSE)=0, VLOOKUP($D91, regions[], COLUMN(M$1), FALSE), VLOOKUP($A91,raw[],COLUMN(M$1),FALSE))</f>
        <v>4.7999999999999996E-3</v>
      </c>
      <c r="N91" s="68">
        <f>IF(VLOOKUP($A91,raw[],COLUMN(N$1),FALSE)=0, VLOOKUP($D91, regions[], COLUMN(N$1), FALSE), VLOOKUP($A91,raw[],COLUMN(N$1),FALSE))</f>
        <v>0.3156059062343336</v>
      </c>
      <c r="O91" s="67">
        <f>IF(VLOOKUP($A91,raw[],COLUMN(O$1),FALSE)=0, VLOOKUP($D91, regions[], COLUMN(O$1), FALSE), VLOOKUP($A91,raw[],COLUMN(O$1),FALSE))</f>
        <v>0.8</v>
      </c>
      <c r="P91" s="68">
        <f>IF(VLOOKUP($A91,raw[],COLUMN(P$1),FALSE)=0, VLOOKUP($D91, regions[], COLUMN(P$1), FALSE), VLOOKUP($A91,raw[],COLUMN(P$1),FALSE))</f>
        <v>0.17499999999999999</v>
      </c>
      <c r="Q91" s="70">
        <f>IF(VLOOKUP($A91,raw[],COLUMN(Q$1),FALSE)=0, VLOOKUP($D91, regions[], COLUMN(Q$1), FALSE), VLOOKUP($A91,raw[],COLUMN(Q$1),FALSE))</f>
        <v>11.558936548759485</v>
      </c>
      <c r="R91" s="70">
        <f>IF(VLOOKUP($A91,raw[],COLUMN(R$1),FALSE)=0, VLOOKUP($D91, regions[], COLUMN(R$1), FALSE), VLOOKUP($A91,raw[],COLUMN(R$1),FALSE))</f>
        <v>33.884316548759486</v>
      </c>
      <c r="S91" s="70">
        <f>IF(VLOOKUP($A91,raw[],COLUMN(S$1),FALSE)=0, VLOOKUP($D91, regions[], COLUMN(S$1), FALSE), VLOOKUP($A91,raw[],COLUMN(S$1),FALSE))</f>
        <v>95.358428791394104</v>
      </c>
      <c r="T91" s="70">
        <f>IF(VLOOKUP($A91,raw[],COLUMN(U$1)-COLUMN($A$1),FALSE)=0, VLOOKUP($D91, regions[], COLUMN(U$1)-COLUMN($A$1), FALSE), VLOOKUP($A91,raw[],COLUMN(U$1)-COLUMN($A$1),FALSE))</f>
        <v>112.14556689545188</v>
      </c>
      <c r="U91" s="70">
        <f>IF(VLOOKUP($A91,raw[],COLUMN(V$1)-COLUMN($A$1),FALSE)=0, VLOOKUP($D91, regions[], COLUMN(V$1)-COLUMN($A$1), FALSE), VLOOKUP($A91,raw[],COLUMN(V$1)-COLUMN($A$1),FALSE))</f>
        <v>104.43726791296378</v>
      </c>
      <c r="V91" s="70">
        <f>IF(VLOOKUP($A91,raw[],COLUMN(W$1)-COLUMN($A$1),FALSE)=0, VLOOKUP($D91, regions[], COLUMN(W$1)-COLUMN($A$1), FALSE), VLOOKUP($A91,raw[],COLUMN(W$1)-COLUMN($A$1),FALSE))</f>
        <v>4.7099919629056357</v>
      </c>
      <c r="W91" s="70">
        <f>IF(VLOOKUP($A91,raw[],COLUMN(X$1)-COLUMN($A$1),FALSE)=0, VLOOKUP($D91, regions[], COLUMN(X$1)-COLUMN($A$1), FALSE), VLOOKUP($A91,raw[],COLUMN(X$1)-COLUMN($A$1),FALSE))</f>
        <v>4.7299919629056353</v>
      </c>
      <c r="X91" s="70">
        <f>IF(VLOOKUP($A91,raw[],COLUMN(Y$1)-COLUMN($A$1),FALSE)=0, VLOOKUP($D91, regions[], COLUMN(Y$1)-COLUMN($A$1), FALSE), VLOOKUP($A91,raw[],COLUMN(Y$1)-COLUMN($A$1),FALSE))</f>
        <v>4.2974644746232951</v>
      </c>
      <c r="Y91" s="70">
        <f>IF(VLOOKUP($A91,raw[],COLUMN(Z$1)-COLUMN($A$1),FALSE)=0, VLOOKUP($D91, regions[], COLUMN(Z$1)-COLUMN($A$1), FALSE), VLOOKUP($A91,raw[],COLUMN(Z$1)-COLUMN($A$1),FALSE))</f>
        <v>4.3174644746232946</v>
      </c>
      <c r="Z91" s="70">
        <f>IF(VLOOKUP($A91,raw[],COLUMN(AA$1)-COLUMN($A$1),FALSE)=0, VLOOKUP($D91, regions[], COLUMN(AA$1)-COLUMN($A$1), FALSE), VLOOKUP($A91,raw[],COLUMN(AA$1)-COLUMN($A$1),FALSE))</f>
        <v>4.3126589573154988</v>
      </c>
      <c r="AA91" s="70">
        <f>IF(VLOOKUP($A91,raw[],COLUMN(AB$1)-COLUMN($A$1),FALSE)=0, VLOOKUP($D91, regions[], COLUMN(AB$1)-COLUMN($A$1), FALSE), VLOOKUP($A91,raw[],COLUMN(AB$1)-COLUMN($A$1),FALSE))</f>
        <v>4.9158269070477543</v>
      </c>
      <c r="AB91" s="70">
        <f>IF(VLOOKUP($A91,raw[],COLUMN(AC$1)-COLUMN($A$1),FALSE)=0, VLOOKUP($D91, regions[], COLUMN(AC$1)-COLUMN($A$1), FALSE), VLOOKUP($A91,raw[],COLUMN(AC$1)-COLUMN($A$1),FALSE))</f>
        <v>4.9358269070477538</v>
      </c>
      <c r="AC91" s="72">
        <f>IF(VLOOKUP($A91,raw[],COLUMN(AD$1)-COLUMN($A$1),FALSE)=0, VLOOKUP($D91, regions[], COLUMN(AD$1)-COLUMN($A$1), FALSE), VLOOKUP($A91,raw[],COLUMN(AD$1)-COLUMN($A$1),FALSE))</f>
        <v>1.6784030000000057E-2</v>
      </c>
      <c r="AD91" s="72">
        <f>IF(VLOOKUP($A91,raw[],COLUMN(AE$1)-COLUMN($A$1),FALSE)=0, VLOOKUP($D91, regions[], COLUMN(AE$1)-COLUMN($A$1), FALSE), VLOOKUP($A91,raw[],COLUMN(AE$1)-COLUMN($A$1),FALSE))</f>
        <v>8.8147724044798431E-4</v>
      </c>
      <c r="AE91" s="72">
        <f>IF(VLOOKUP($A91,raw[],COLUMN(AF$1)-COLUMN($A$1),FALSE)=0, VLOOKUP($D91, regions[], COLUMN(AF$1)-COLUMN($A$1), FALSE), VLOOKUP($A91,raw[],COLUMN(AF$1)-COLUMN($A$1),FALSE))</f>
        <v>4.6097509603578243E-4</v>
      </c>
      <c r="AF91" s="72">
        <f>IF(VLOOKUP($A91,raw[],COLUMN(AG$1)-COLUMN($A$1),FALSE)=0, VLOOKUP($D91, regions[], COLUMN(AG$1)-COLUMN($A$1), FALSE), VLOOKUP($A91,raw[],COLUMN(AG$1)-COLUMN($A$1),FALSE))</f>
        <v>4.6068964478693019E-4</v>
      </c>
      <c r="AG91" s="72">
        <f>IF(VLOOKUP($A91,raw[],COLUMN(AH$1)-COLUMN($A$1),FALSE)=0, VLOOKUP($D91, regions[], COLUMN(AH$1)-COLUMN($A$1), FALSE), VLOOKUP($A91,raw[],COLUMN(AH$1)-COLUMN($A$1),FALSE))</f>
        <v>1.1313016626973249E-3</v>
      </c>
      <c r="AH91" s="72">
        <f>IF(VLOOKUP($A91,raw[],COLUMN(AI$1)-COLUMN($A$1),FALSE)=0, VLOOKUP($D91, regions[], COLUMN(AI$1)-COLUMN($A$1), FALSE), VLOOKUP($A91,raw[],COLUMN(AI$1)-COLUMN($A$1),FALSE))</f>
        <v>1.5077006682083468E-3</v>
      </c>
      <c r="AI91" s="72">
        <f>IF(VLOOKUP($A91,raw[],COLUMN(AJ$1)-COLUMN($A$1),FALSE)=0, VLOOKUP($D91, regions[], COLUMN(AJ$1)-COLUMN($A$1), FALSE), VLOOKUP($A91,raw[],COLUMN(AJ$1)-COLUMN($A$1),FALSE))</f>
        <v>1.7689583137579586E-3</v>
      </c>
      <c r="AJ91" s="72">
        <f>IF(VLOOKUP($A91,raw[],COLUMN(AK$1)-COLUMN($A$1),FALSE)=0, VLOOKUP($D91, regions[], COLUMN(AK$1)-COLUMN($A$1), FALSE), VLOOKUP($A91,raw[],COLUMN(AK$1)-COLUMN($A$1),FALSE))</f>
        <v>2.1274003253107052E-3</v>
      </c>
      <c r="AK91" s="72">
        <f>IF(VLOOKUP($A91,raw[],COLUMN(AL$1)-COLUMN($A$1),FALSE)=0, VLOOKUP($D91, regions[], COLUMN(AL$1)-COLUMN($A$1), FALSE), VLOOKUP($A91,raw[],COLUMN(AL$1)-COLUMN($A$1),FALSE))</f>
        <v>2.6992125859102468E-3</v>
      </c>
      <c r="AL91" s="72">
        <f>IF(VLOOKUP($A91,raw[],COLUMN(AM$1)-COLUMN($A$1),FALSE)=0, VLOOKUP($D91, regions[], COLUMN(AM$1)-COLUMN($A$1), FALSE), VLOOKUP($A91,raw[],COLUMN(AM$1)-COLUMN($A$1),FALSE))</f>
        <v>3.435031499270829E-3</v>
      </c>
      <c r="AM91" s="72">
        <f>IF(VLOOKUP($A91,raw[],COLUMN(AN$1)-COLUMN($A$1),FALSE)=0, VLOOKUP($D91, regions[], COLUMN(AN$1)-COLUMN($A$1), FALSE), VLOOKUP($A91,raw[],COLUMN(AN$1)-COLUMN($A$1),FALSE))</f>
        <v>4.5176356272025875E-3</v>
      </c>
      <c r="AN91" s="72">
        <f>IF(VLOOKUP($A91,raw[],COLUMN(AO$1)-COLUMN($A$1),FALSE)=0, VLOOKUP($D91, regions[], COLUMN(AO$1)-COLUMN($A$1), FALSE), VLOOKUP($A91,raw[],COLUMN(AO$1)-COLUMN($A$1),FALSE))</f>
        <v>6.3558040790504715E-3</v>
      </c>
      <c r="AO91" s="72">
        <f>IF(VLOOKUP($A91,raw[],COLUMN(AP$1)-COLUMN($A$1),FALSE)=0, VLOOKUP($D91, regions[], COLUMN(AP$1)-COLUMN($A$1), FALSE), VLOOKUP($A91,raw[],COLUMN(AP$1)-COLUMN($A$1),FALSE))</f>
        <v>9.0428108391956679E-3</v>
      </c>
      <c r="AP91" s="72">
        <f>IF(VLOOKUP($A91,raw[],COLUMN(AQ$1)-COLUMN($A$1),FALSE)=0, VLOOKUP($D91, regions[], COLUMN(AQ$1)-COLUMN($A$1), FALSE), VLOOKUP($A91,raw[],COLUMN(AQ$1)-COLUMN($A$1),FALSE))</f>
        <v>1.3025627257113315E-2</v>
      </c>
      <c r="AQ91" s="72">
        <f>IF(VLOOKUP($A91,raw[],COLUMN(AR$1)-COLUMN($A$1),FALSE)=0, VLOOKUP($D91, regions[], COLUMN(AR$1)-COLUMN($A$1), FALSE), VLOOKUP($A91,raw[],COLUMN(AR$1)-COLUMN($A$1),FALSE))</f>
        <v>1.9025422928980271E-2</v>
      </c>
      <c r="AR91" s="72">
        <f>IF(VLOOKUP($A91,raw[],COLUMN(AS$1)-COLUMN($A$1),FALSE)=0, VLOOKUP($D91, regions[], COLUMN(AS$1)-COLUMN($A$1), FALSE), VLOOKUP($A91,raw[],COLUMN(AS$1)-COLUMN($A$1),FALSE))</f>
        <v>2.753133862434114E-2</v>
      </c>
      <c r="AS91" s="72">
        <f>IF(VLOOKUP($A91,raw[],COLUMN(AT$1)-COLUMN($A$1),FALSE)=0, VLOOKUP($D91, regions[], COLUMN(AT$1)-COLUMN($A$1), FALSE), VLOOKUP($A91,raw[],COLUMN(AT$1)-COLUMN($A$1),FALSE))</f>
        <v>4.0388362115475675E-2</v>
      </c>
      <c r="AT91" s="72">
        <f>IF(VLOOKUP($A91,raw[],COLUMN(AU$1)-COLUMN($A$1),FALSE)=0, VLOOKUP($D91, regions[], COLUMN(AU$1)-COLUMN($A$1), FALSE), VLOOKUP($A91,raw[],COLUMN(AU$1)-COLUMN($A$1),FALSE))</f>
        <v>6.5754084012881131E-2</v>
      </c>
      <c r="AU91" s="72">
        <f>IF(VLOOKUP($A91,raw[],COLUMN(AV$1)-COLUMN($A$1),FALSE)=0, VLOOKUP($D91, regions[], COLUMN(AV$1)-COLUMN($A$1), FALSE), VLOOKUP($A91,raw[],COLUMN(AV$1)-COLUMN($A$1),FALSE))</f>
        <v>9.2723844812142964E-2</v>
      </c>
      <c r="AV91" s="72">
        <f>IF(VLOOKUP($A91,raw[],COLUMN(AW$1)-COLUMN($A$1),FALSE)=0, VLOOKUP($D91, regions[], COLUMN(AW$1)-COLUMN($A$1), FALSE), VLOOKUP($A91,raw[],COLUMN(AW$1)-COLUMN($A$1),FALSE))</f>
        <v>0.12102861703819505</v>
      </c>
      <c r="AW91" s="72">
        <f>IF(VLOOKUP($A91,raw[],COLUMN(AX$1)-COLUMN($A$1),FALSE)=0, VLOOKUP($D91, regions[], COLUMN(AX$1)-COLUMN($A$1), FALSE), VLOOKUP($A91,raw[],COLUMN(AX$1)-COLUMN($A$1),FALSE))</f>
        <v>0.14543309127054091</v>
      </c>
      <c r="AX91" s="72">
        <f>IF(VLOOKUP($A91,raw[],COLUMN(AY$1)-COLUMN($A$1),FALSE)=0, VLOOKUP($D91, regions[], COLUMN(AY$1)-COLUMN($A$1), FALSE), VLOOKUP($A91,raw[],COLUMN(AY$1)-COLUMN($A$1),FALSE))</f>
        <v>74.153999999999996</v>
      </c>
      <c r="AY91" t="str">
        <f t="shared" si="2"/>
        <v>Yes</v>
      </c>
    </row>
    <row r="92" spans="1:51" x14ac:dyDescent="0.25">
      <c r="A92" s="53" t="s">
        <v>404</v>
      </c>
      <c r="B92" s="54" t="s">
        <v>405</v>
      </c>
      <c r="C92" s="54">
        <v>562</v>
      </c>
      <c r="D92" s="54" t="s">
        <v>207</v>
      </c>
      <c r="E92" s="54" t="s">
        <v>235</v>
      </c>
      <c r="F92" s="54" t="s">
        <v>211</v>
      </c>
      <c r="G92" s="54" t="s">
        <v>198</v>
      </c>
      <c r="H92" s="73">
        <f>VLOOKUP(lmics[[#This Row],[setting]],raw[],8,FALSE)</f>
        <v>24206636</v>
      </c>
      <c r="I92" s="73">
        <f>VLOOKUP(lmics[[#This Row],[setting]],raw[],9,FALSE)</f>
        <v>1120113.667628</v>
      </c>
      <c r="J92" s="67">
        <f>IF(VLOOKUP($A92,raw[],COLUMN(J$1),FALSE)=0, VLOOKUP($D92, regions[], COLUMN(J$1), FALSE), VLOOKUP($A92,raw[],COLUMN(J$1),FALSE))</f>
        <v>0.58799999999999997</v>
      </c>
      <c r="K92" s="77">
        <f>VLOOKUP($A92, raw[], 11, FALSE)</f>
        <v>0</v>
      </c>
      <c r="L92" s="77">
        <f>VLOOKUP($A92, raw[], 12, FALSE)</f>
        <v>0.81</v>
      </c>
      <c r="M92" s="77">
        <f>IF(VLOOKUP($A92,raw[],COLUMN(M$1),FALSE)=0, VLOOKUP($D92, regions[], COLUMN(M$1), FALSE), VLOOKUP($A92,raw[],COLUMN(M$1),FALSE))</f>
        <v>0.10859999999999999</v>
      </c>
      <c r="N92" s="68">
        <f>IF(VLOOKUP($A92,raw[],COLUMN(N$1),FALSE)=0, VLOOKUP($D92, regions[], COLUMN(N$1), FALSE), VLOOKUP($A92,raw[],COLUMN(N$1),FALSE))</f>
        <v>0.30212641158390346</v>
      </c>
      <c r="O92" s="67">
        <f>IF(VLOOKUP($A92,raw[],COLUMN(O$1),FALSE)=0, VLOOKUP($D92, regions[], COLUMN(O$1), FALSE), VLOOKUP($A92,raw[],COLUMN(O$1),FALSE))</f>
        <v>0.38300000000000001</v>
      </c>
      <c r="P92" s="68">
        <f>IF(VLOOKUP($A92,raw[],COLUMN(P$1),FALSE)=0, VLOOKUP($D92, regions[], COLUMN(P$1), FALSE), VLOOKUP($A92,raw[],COLUMN(P$1),FALSE))</f>
        <v>4.8000000000000001E-2</v>
      </c>
      <c r="Q92" s="70">
        <f>IF(VLOOKUP($A92,raw[],COLUMN(Q$1),FALSE)=0, VLOOKUP($D92, regions[], COLUMN(Q$1), FALSE), VLOOKUP($A92,raw[],COLUMN(Q$1),FALSE))</f>
        <v>2.5810937977528092</v>
      </c>
      <c r="R92" s="70">
        <f>IF(VLOOKUP($A92,raw[],COLUMN(R$1),FALSE)=0, VLOOKUP($D92, regions[], COLUMN(R$1), FALSE), VLOOKUP($A92,raw[],COLUMN(R$1),FALSE))</f>
        <v>24.906473797752813</v>
      </c>
      <c r="S92" s="70">
        <f>IF(VLOOKUP($A92,raw[],COLUMN(S$1),FALSE)=0, VLOOKUP($D92, regions[], COLUMN(S$1), FALSE), VLOOKUP($A92,raw[],COLUMN(S$1),FALSE))</f>
        <v>54.840474239780427</v>
      </c>
      <c r="T92" s="70">
        <f>IF(VLOOKUP($A92,raw[],COLUMN(U$1)-COLUMN($A$1),FALSE)=0, VLOOKUP($D92, regions[], COLUMN(U$1)-COLUMN($A$1), FALSE), VLOOKUP($A92,raw[],COLUMN(U$1)-COLUMN($A$1),FALSE))</f>
        <v>55.212086514721065</v>
      </c>
      <c r="U92" s="70">
        <f>IF(VLOOKUP($A92,raw[],COLUMN(V$1)-COLUMN($A$1),FALSE)=0, VLOOKUP($D92, regions[], COLUMN(V$1)-COLUMN($A$1), FALSE), VLOOKUP($A92,raw[],COLUMN(V$1)-COLUMN($A$1),FALSE))</f>
        <v>55.041450012951138</v>
      </c>
      <c r="V92" s="70">
        <f>IF(VLOOKUP($A92,raw[],COLUMN(W$1)-COLUMN($A$1),FALSE)=0, VLOOKUP($D92, regions[], COLUMN(W$1)-COLUMN($A$1), FALSE), VLOOKUP($A92,raw[],COLUMN(W$1)-COLUMN($A$1),FALSE))</f>
        <v>1.6058537166778961</v>
      </c>
      <c r="W92" s="70">
        <f>IF(VLOOKUP($A92,raw[],COLUMN(X$1)-COLUMN($A$1),FALSE)=0, VLOOKUP($D92, regions[], COLUMN(X$1)-COLUMN($A$1), FALSE), VLOOKUP($A92,raw[],COLUMN(X$1)-COLUMN($A$1),FALSE))</f>
        <v>6.4358537166778964</v>
      </c>
      <c r="X92" s="70">
        <f>IF(VLOOKUP($A92,raw[],COLUMN(Y$1)-COLUMN($A$1),FALSE)=0, VLOOKUP($D92, regions[], COLUMN(Y$1)-COLUMN($A$1), FALSE), VLOOKUP($A92,raw[],COLUMN(Y$1)-COLUMN($A$1),FALSE))</f>
        <v>1.199885080396434</v>
      </c>
      <c r="Y92" s="70">
        <f>IF(VLOOKUP($A92,raw[],COLUMN(Z$1)-COLUMN($A$1),FALSE)=0, VLOOKUP($D92, regions[], COLUMN(Z$1)-COLUMN($A$1), FALSE), VLOOKUP($A92,raw[],COLUMN(Z$1)-COLUMN($A$1),FALSE))</f>
        <v>6.0298850803964346</v>
      </c>
      <c r="Z92" s="70">
        <f>IF(VLOOKUP($A92,raw[],COLUMN(AA$1)-COLUMN($A$1),FALSE)=0, VLOOKUP($D92, regions[], COLUMN(AA$1)-COLUMN($A$1), FALSE), VLOOKUP($A92,raw[],COLUMN(AA$1)-COLUMN($A$1),FALSE))</f>
        <v>6.027959407001604</v>
      </c>
      <c r="AA92" s="70">
        <f>IF(VLOOKUP($A92,raw[],COLUMN(AB$1)-COLUMN($A$1),FALSE)=0, VLOOKUP($D92, regions[], COLUMN(AB$1)-COLUMN($A$1), FALSE), VLOOKUP($A92,raw[],COLUMN(AB$1)-COLUMN($A$1),FALSE))</f>
        <v>1.8093502874979621</v>
      </c>
      <c r="AB92" s="70">
        <f>IF(VLOOKUP($A92,raw[],COLUMN(AC$1)-COLUMN($A$1),FALSE)=0, VLOOKUP($D92, regions[], COLUMN(AC$1)-COLUMN($A$1), FALSE), VLOOKUP($A92,raw[],COLUMN(AC$1)-COLUMN($A$1),FALSE))</f>
        <v>6.6393502874979617</v>
      </c>
      <c r="AC92" s="72">
        <f>IF(VLOOKUP($A92,raw[],COLUMN(AD$1)-COLUMN($A$1),FALSE)=0, VLOOKUP($D92, regions[], COLUMN(AD$1)-COLUMN($A$1), FALSE), VLOOKUP($A92,raw[],COLUMN(AD$1)-COLUMN($A$1),FALSE))</f>
        <v>4.6318139999999987E-2</v>
      </c>
      <c r="AD92" s="72">
        <f>IF(VLOOKUP($A92,raw[],COLUMN(AE$1)-COLUMN($A$1),FALSE)=0, VLOOKUP($D92, regions[], COLUMN(AE$1)-COLUMN($A$1), FALSE), VLOOKUP($A92,raw[],COLUMN(AE$1)-COLUMN($A$1),FALSE))</f>
        <v>1.004996834059527E-2</v>
      </c>
      <c r="AE92" s="72">
        <f>IF(VLOOKUP($A92,raw[],COLUMN(AF$1)-COLUMN($A$1),FALSE)=0, VLOOKUP($D92, regions[], COLUMN(AF$1)-COLUMN($A$1), FALSE), VLOOKUP($A92,raw[],COLUMN(AF$1)-COLUMN($A$1),FALSE))</f>
        <v>2.2241474972517555E-3</v>
      </c>
      <c r="AF92" s="72">
        <f>IF(VLOOKUP($A92,raw[],COLUMN(AG$1)-COLUMN($A$1),FALSE)=0, VLOOKUP($D92, regions[], COLUMN(AG$1)-COLUMN($A$1), FALSE), VLOOKUP($A92,raw[],COLUMN(AG$1)-COLUMN($A$1),FALSE))</f>
        <v>1.3309644531309406E-3</v>
      </c>
      <c r="AG92" s="72">
        <f>IF(VLOOKUP($A92,raw[],COLUMN(AH$1)-COLUMN($A$1),FALSE)=0, VLOOKUP($D92, regions[], COLUMN(AH$1)-COLUMN($A$1), FALSE), VLOOKUP($A92,raw[],COLUMN(AH$1)-COLUMN($A$1),FALSE))</f>
        <v>2.2191158992467762E-3</v>
      </c>
      <c r="AH92" s="72">
        <f>IF(VLOOKUP($A92,raw[],COLUMN(AI$1)-COLUMN($A$1),FALSE)=0, VLOOKUP($D92, regions[], COLUMN(AI$1)-COLUMN($A$1), FALSE), VLOOKUP($A92,raw[],COLUMN(AI$1)-COLUMN($A$1),FALSE))</f>
        <v>2.9005837356501554E-3</v>
      </c>
      <c r="AI92" s="72">
        <f>IF(VLOOKUP($A92,raw[],COLUMN(AJ$1)-COLUMN($A$1),FALSE)=0, VLOOKUP($D92, regions[], COLUMN(AJ$1)-COLUMN($A$1), FALSE), VLOOKUP($A92,raw[],COLUMN(AJ$1)-COLUMN($A$1),FALSE))</f>
        <v>3.6375382860461599E-3</v>
      </c>
      <c r="AJ92" s="72">
        <f>IF(VLOOKUP($A92,raw[],COLUMN(AK$1)-COLUMN($A$1),FALSE)=0, VLOOKUP($D92, regions[], COLUMN(AK$1)-COLUMN($A$1), FALSE), VLOOKUP($A92,raw[],COLUMN(AK$1)-COLUMN($A$1),FALSE))</f>
        <v>3.890945873340402E-3</v>
      </c>
      <c r="AK92" s="72">
        <f>IF(VLOOKUP($A92,raw[],COLUMN(AL$1)-COLUMN($A$1),FALSE)=0, VLOOKUP($D92, regions[], COLUMN(AL$1)-COLUMN($A$1), FALSE), VLOOKUP($A92,raw[],COLUMN(AL$1)-COLUMN($A$1),FALSE))</f>
        <v>4.473169894869837E-3</v>
      </c>
      <c r="AL92" s="72">
        <f>IF(VLOOKUP($A92,raw[],COLUMN(AM$1)-COLUMN($A$1),FALSE)=0, VLOOKUP($D92, regions[], COLUMN(AM$1)-COLUMN($A$1), FALSE), VLOOKUP($A92,raw[],COLUMN(AM$1)-COLUMN($A$1),FALSE))</f>
        <v>5.4126018946936633E-3</v>
      </c>
      <c r="AM92" s="72">
        <f>IF(VLOOKUP($A92,raw[],COLUMN(AN$1)-COLUMN($A$1),FALSE)=0, VLOOKUP($D92, regions[], COLUMN(AN$1)-COLUMN($A$1), FALSE), VLOOKUP($A92,raw[],COLUMN(AN$1)-COLUMN($A$1),FALSE))</f>
        <v>6.9628515647821715E-3</v>
      </c>
      <c r="AN92" s="72">
        <f>IF(VLOOKUP($A92,raw[],COLUMN(AO$1)-COLUMN($A$1),FALSE)=0, VLOOKUP($D92, regions[], COLUMN(AO$1)-COLUMN($A$1), FALSE), VLOOKUP($A92,raw[],COLUMN(AO$1)-COLUMN($A$1),FALSE))</f>
        <v>1.005699782334199E-2</v>
      </c>
      <c r="AO92" s="72">
        <f>IF(VLOOKUP($A92,raw[],COLUMN(AP$1)-COLUMN($A$1),FALSE)=0, VLOOKUP($D92, regions[], COLUMN(AP$1)-COLUMN($A$1), FALSE), VLOOKUP($A92,raw[],COLUMN(AP$1)-COLUMN($A$1),FALSE))</f>
        <v>1.4480361016608233E-2</v>
      </c>
      <c r="AP92" s="72">
        <f>IF(VLOOKUP($A92,raw[],COLUMN(AQ$1)-COLUMN($A$1),FALSE)=0, VLOOKUP($D92, regions[], COLUMN(AQ$1)-COLUMN($A$1), FALSE), VLOOKUP($A92,raw[],COLUMN(AQ$1)-COLUMN($A$1),FALSE))</f>
        <v>2.0521814795574696E-2</v>
      </c>
      <c r="AQ92" s="72">
        <f>IF(VLOOKUP($A92,raw[],COLUMN(AR$1)-COLUMN($A$1),FALSE)=0, VLOOKUP($D92, regions[], COLUMN(AR$1)-COLUMN($A$1), FALSE), VLOOKUP($A92,raw[],COLUMN(AR$1)-COLUMN($A$1),FALSE))</f>
        <v>3.1036167623641205E-2</v>
      </c>
      <c r="AR92" s="72">
        <f>IF(VLOOKUP($A92,raw[],COLUMN(AS$1)-COLUMN($A$1),FALSE)=0, VLOOKUP($D92, regions[], COLUMN(AS$1)-COLUMN($A$1), FALSE), VLOOKUP($A92,raw[],COLUMN(AS$1)-COLUMN($A$1),FALSE))</f>
        <v>5.0489738733381799E-2</v>
      </c>
      <c r="AS92" s="72">
        <f>IF(VLOOKUP($A92,raw[],COLUMN(AT$1)-COLUMN($A$1),FALSE)=0, VLOOKUP($D92, regions[], COLUMN(AT$1)-COLUMN($A$1), FALSE), VLOOKUP($A92,raw[],COLUMN(AT$1)-COLUMN($A$1),FALSE))</f>
        <v>7.9389329796988248E-2</v>
      </c>
      <c r="AT92" s="72">
        <f>IF(VLOOKUP($A92,raw[],COLUMN(AU$1)-COLUMN($A$1),FALSE)=0, VLOOKUP($D92, regions[], COLUMN(AU$1)-COLUMN($A$1), FALSE), VLOOKUP($A92,raw[],COLUMN(AU$1)-COLUMN($A$1),FALSE))</f>
        <v>0.11621435000409117</v>
      </c>
      <c r="AU92" s="72">
        <f>IF(VLOOKUP($A92,raw[],COLUMN(AV$1)-COLUMN($A$1),FALSE)=0, VLOOKUP($D92, regions[], COLUMN(AV$1)-COLUMN($A$1), FALSE), VLOOKUP($A92,raw[],COLUMN(AV$1)-COLUMN($A$1),FALSE))</f>
        <v>0.15114298296929471</v>
      </c>
      <c r="AV92" s="72">
        <f>IF(VLOOKUP($A92,raw[],COLUMN(AW$1)-COLUMN($A$1),FALSE)=0, VLOOKUP($D92, regions[], COLUMN(AW$1)-COLUMN($A$1), FALSE), VLOOKUP($A92,raw[],COLUMN(AW$1)-COLUMN($A$1),FALSE))</f>
        <v>0.17523559165317509</v>
      </c>
      <c r="AW92" s="72">
        <f>IF(VLOOKUP($A92,raw[],COLUMN(AX$1)-COLUMN($A$1),FALSE)=0, VLOOKUP($D92, regions[], COLUMN(AX$1)-COLUMN($A$1), FALSE), VLOOKUP($A92,raw[],COLUMN(AX$1)-COLUMN($A$1),FALSE))</f>
        <v>0.18628638500862074</v>
      </c>
      <c r="AX92" s="72">
        <f>IF(VLOOKUP($A92,raw[],COLUMN(AY$1)-COLUMN($A$1),FALSE)=0, VLOOKUP($D92, regions[], COLUMN(AY$1)-COLUMN($A$1), FALSE), VLOOKUP($A92,raw[],COLUMN(AY$1)-COLUMN($A$1),FALSE))</f>
        <v>61.798999999999999</v>
      </c>
      <c r="AY92" t="str">
        <f t="shared" si="2"/>
        <v>Yes</v>
      </c>
    </row>
    <row r="93" spans="1:51" x14ac:dyDescent="0.25">
      <c r="A93" s="55" t="s">
        <v>406</v>
      </c>
      <c r="B93" s="56" t="s">
        <v>407</v>
      </c>
      <c r="C93" s="56">
        <v>566</v>
      </c>
      <c r="D93" s="56" t="s">
        <v>207</v>
      </c>
      <c r="E93" s="56" t="s">
        <v>235</v>
      </c>
      <c r="F93" s="56" t="s">
        <v>211</v>
      </c>
      <c r="G93" s="56" t="s">
        <v>212</v>
      </c>
      <c r="H93" s="74">
        <f>VLOOKUP(lmics[[#This Row],[setting]],raw[],8,FALSE)</f>
        <v>206139587</v>
      </c>
      <c r="I93" s="74">
        <f>VLOOKUP(lmics[[#This Row],[setting]],raw[],9,FALSE)</f>
        <v>7853505.9855260001</v>
      </c>
      <c r="J93" s="67">
        <f>IF(VLOOKUP($A93,raw[],COLUMN(J$1),FALSE)=0, VLOOKUP($D93, regions[], COLUMN(J$1), FALSE), VLOOKUP($A93,raw[],COLUMN(J$1),FALSE))</f>
        <v>0.39399999999999996</v>
      </c>
      <c r="K93" s="77">
        <f>VLOOKUP($A93, raw[], 11, FALSE)</f>
        <v>0</v>
      </c>
      <c r="L93" s="77">
        <f>VLOOKUP($A93, raw[], 12, FALSE)</f>
        <v>0.56999999999999995</v>
      </c>
      <c r="M93" s="77">
        <f>IF(VLOOKUP($A93,raw[],COLUMN(M$1),FALSE)=0, VLOOKUP($D93, regions[], COLUMN(M$1), FALSE), VLOOKUP($A93,raw[],COLUMN(M$1),FALSE))</f>
        <v>5.67E-2</v>
      </c>
      <c r="N93" s="68">
        <f>IF(VLOOKUP($A93,raw[],COLUMN(N$1),FALSE)=0, VLOOKUP($D93, regions[], COLUMN(N$1), FALSE), VLOOKUP($A93,raw[],COLUMN(N$1),FALSE))</f>
        <v>0.28911156143757499</v>
      </c>
      <c r="O93" s="67">
        <f>IF(VLOOKUP($A93,raw[],COLUMN(O$1),FALSE)=0, VLOOKUP($D93, regions[], COLUMN(O$1), FALSE), VLOOKUP($A93,raw[],COLUMN(O$1),FALSE))</f>
        <v>0.38300000000000001</v>
      </c>
      <c r="P93" s="68">
        <f>IF(VLOOKUP($A93,raw[],COLUMN(P$1),FALSE)=0, VLOOKUP($D93, regions[], COLUMN(P$1), FALSE), VLOOKUP($A93,raw[],COLUMN(P$1),FALSE))</f>
        <v>4.8000000000000001E-2</v>
      </c>
      <c r="Q93" s="70">
        <f>IF(VLOOKUP($A93,raw[],COLUMN(Q$1),FALSE)=0, VLOOKUP($D93, regions[], COLUMN(Q$1), FALSE), VLOOKUP($A93,raw[],COLUMN(Q$1),FALSE))</f>
        <v>4.1091533609958502</v>
      </c>
      <c r="R93" s="70">
        <f>IF(VLOOKUP($A93,raw[],COLUMN(R$1),FALSE)=0, VLOOKUP($D93, regions[], COLUMN(R$1), FALSE), VLOOKUP($A93,raw[],COLUMN(R$1),FALSE))</f>
        <v>26.434533360995854</v>
      </c>
      <c r="S93" s="70">
        <f>IF(VLOOKUP($A93,raw[],COLUMN(S$1),FALSE)=0, VLOOKUP($D93, regions[], COLUMN(S$1), FALSE), VLOOKUP($A93,raw[],COLUMN(S$1),FALSE))</f>
        <v>59.840013459129636</v>
      </c>
      <c r="T93" s="70">
        <f>IF(VLOOKUP($A93,raw[],COLUMN(U$1)-COLUMN($A$1),FALSE)=0, VLOOKUP($D93, regions[], COLUMN(U$1)-COLUMN($A$1), FALSE), VLOOKUP($A93,raw[],COLUMN(U$1)-COLUMN($A$1),FALSE))</f>
        <v>62.018409562876137</v>
      </c>
      <c r="U93" s="70">
        <f>IF(VLOOKUP($A93,raw[],COLUMN(V$1)-COLUMN($A$1),FALSE)=0, VLOOKUP($D93, regions[], COLUMN(V$1)-COLUMN($A$1), FALSE), VLOOKUP($A93,raw[],COLUMN(V$1)-COLUMN($A$1),FALSE))</f>
        <v>61.018136117463413</v>
      </c>
      <c r="V93" s="70">
        <f>IF(VLOOKUP($A93,raw[],COLUMN(W$1)-COLUMN($A$1),FALSE)=0, VLOOKUP($D93, regions[], COLUMN(W$1)-COLUMN($A$1), FALSE), VLOOKUP($A93,raw[],COLUMN(W$1)-COLUMN($A$1),FALSE))</f>
        <v>1.0631672301987669</v>
      </c>
      <c r="W93" s="70">
        <f>IF(VLOOKUP($A93,raw[],COLUMN(X$1)-COLUMN($A$1),FALSE)=0, VLOOKUP($D93, regions[], COLUMN(X$1)-COLUMN($A$1), FALSE), VLOOKUP($A93,raw[],COLUMN(X$1)-COLUMN($A$1),FALSE))</f>
        <v>5.8931672301987668</v>
      </c>
      <c r="X93" s="70">
        <f>IF(VLOOKUP($A93,raw[],COLUMN(Y$1)-COLUMN($A$1),FALSE)=0, VLOOKUP($D93, regions[], COLUMN(Y$1)-COLUMN($A$1), FALSE), VLOOKUP($A93,raw[],COLUMN(Y$1)-COLUMN($A$1),FALSE))</f>
        <v>0.64984275082839837</v>
      </c>
      <c r="Y93" s="70">
        <f>IF(VLOOKUP($A93,raw[],COLUMN(Z$1)-COLUMN($A$1),FALSE)=0, VLOOKUP($D93, regions[], COLUMN(Z$1)-COLUMN($A$1), FALSE), VLOOKUP($A93,raw[],COLUMN(Z$1)-COLUMN($A$1),FALSE))</f>
        <v>5.4798427508283982</v>
      </c>
      <c r="Z93" s="70">
        <f>IF(VLOOKUP($A93,raw[],COLUMN(AA$1)-COLUMN($A$1),FALSE)=0, VLOOKUP($D93, regions[], COLUMN(AA$1)-COLUMN($A$1), FALSE), VLOOKUP($A93,raw[],COLUMN(AA$1)-COLUMN($A$1),FALSE))</f>
        <v>5.4748749269607284</v>
      </c>
      <c r="AA93" s="70">
        <f>IF(VLOOKUP($A93,raw[],COLUMN(AB$1)-COLUMN($A$1),FALSE)=0, VLOOKUP($D93, regions[], COLUMN(AB$1)-COLUMN($A$1), FALSE), VLOOKUP($A93,raw[],COLUMN(AB$1)-COLUMN($A$1),FALSE))</f>
        <v>1.2692863189896608</v>
      </c>
      <c r="AB93" s="70">
        <f>IF(VLOOKUP($A93,raw[],COLUMN(AC$1)-COLUMN($A$1),FALSE)=0, VLOOKUP($D93, regions[], COLUMN(AC$1)-COLUMN($A$1), FALSE), VLOOKUP($A93,raw[],COLUMN(AC$1)-COLUMN($A$1),FALSE))</f>
        <v>6.0992863189896607</v>
      </c>
      <c r="AC93" s="72">
        <f>IF(VLOOKUP($A93,raw[],COLUMN(AD$1)-COLUMN($A$1),FALSE)=0, VLOOKUP($D93, regions[], COLUMN(AD$1)-COLUMN($A$1), FALSE), VLOOKUP($A93,raw[],COLUMN(AD$1)-COLUMN($A$1),FALSE))</f>
        <v>6.215649000000005E-2</v>
      </c>
      <c r="AD93" s="72">
        <f>IF(VLOOKUP($A93,raw[],COLUMN(AE$1)-COLUMN($A$1),FALSE)=0, VLOOKUP($D93, regions[], COLUMN(AE$1)-COLUMN($A$1), FALSE), VLOOKUP($A93,raw[],COLUMN(AE$1)-COLUMN($A$1),FALSE))</f>
        <v>1.0555281765504772E-2</v>
      </c>
      <c r="AE93" s="72">
        <f>IF(VLOOKUP($A93,raw[],COLUMN(AF$1)-COLUMN($A$1),FALSE)=0, VLOOKUP($D93, regions[], COLUMN(AF$1)-COLUMN($A$1), FALSE), VLOOKUP($A93,raw[],COLUMN(AF$1)-COLUMN($A$1),FALSE))</f>
        <v>5.9101558625263987E-3</v>
      </c>
      <c r="AF93" s="72">
        <f>IF(VLOOKUP($A93,raw[],COLUMN(AG$1)-COLUMN($A$1),FALSE)=0, VLOOKUP($D93, regions[], COLUMN(AG$1)-COLUMN($A$1), FALSE), VLOOKUP($A93,raw[],COLUMN(AG$1)-COLUMN($A$1),FALSE))</f>
        <v>3.2158941876073606E-3</v>
      </c>
      <c r="AG93" s="72">
        <f>IF(VLOOKUP($A93,raw[],COLUMN(AH$1)-COLUMN($A$1),FALSE)=0, VLOOKUP($D93, regions[], COLUMN(AH$1)-COLUMN($A$1), FALSE), VLOOKUP($A93,raw[],COLUMN(AH$1)-COLUMN($A$1),FALSE))</f>
        <v>5.0626435919828025E-3</v>
      </c>
      <c r="AH93" s="72">
        <f>IF(VLOOKUP($A93,raw[],COLUMN(AI$1)-COLUMN($A$1),FALSE)=0, VLOOKUP($D93, regions[], COLUMN(AI$1)-COLUMN($A$1), FALSE), VLOOKUP($A93,raw[],COLUMN(AI$1)-COLUMN($A$1),FALSE))</f>
        <v>6.1061216041154503E-3</v>
      </c>
      <c r="AI93" s="72">
        <f>IF(VLOOKUP($A93,raw[],COLUMN(AJ$1)-COLUMN($A$1),FALSE)=0, VLOOKUP($D93, regions[], COLUMN(AJ$1)-COLUMN($A$1), FALSE), VLOOKUP($A93,raw[],COLUMN(AJ$1)-COLUMN($A$1),FALSE))</f>
        <v>6.7146600112912083E-3</v>
      </c>
      <c r="AJ93" s="72">
        <f>IF(VLOOKUP($A93,raw[],COLUMN(AK$1)-COLUMN($A$1),FALSE)=0, VLOOKUP($D93, regions[], COLUMN(AK$1)-COLUMN($A$1), FALSE), VLOOKUP($A93,raw[],COLUMN(AK$1)-COLUMN($A$1),FALSE))</f>
        <v>7.034360265270395E-3</v>
      </c>
      <c r="AK93" s="72">
        <f>IF(VLOOKUP($A93,raw[],COLUMN(AL$1)-COLUMN($A$1),FALSE)=0, VLOOKUP($D93, regions[], COLUMN(AL$1)-COLUMN($A$1), FALSE), VLOOKUP($A93,raw[],COLUMN(AL$1)-COLUMN($A$1),FALSE))</f>
        <v>7.7019431423796317E-3</v>
      </c>
      <c r="AL93" s="72">
        <f>IF(VLOOKUP($A93,raw[],COLUMN(AM$1)-COLUMN($A$1),FALSE)=0, VLOOKUP($D93, regions[], COLUMN(AM$1)-COLUMN($A$1), FALSE), VLOOKUP($A93,raw[],COLUMN(AM$1)-COLUMN($A$1),FALSE))</f>
        <v>8.7502968131791831E-3</v>
      </c>
      <c r="AM93" s="72">
        <f>IF(VLOOKUP($A93,raw[],COLUMN(AN$1)-COLUMN($A$1),FALSE)=0, VLOOKUP($D93, regions[], COLUMN(AN$1)-COLUMN($A$1), FALSE), VLOOKUP($A93,raw[],COLUMN(AN$1)-COLUMN($A$1),FALSE))</f>
        <v>1.013224062784799E-2</v>
      </c>
      <c r="AN93" s="72">
        <f>IF(VLOOKUP($A93,raw[],COLUMN(AO$1)-COLUMN($A$1),FALSE)=0, VLOOKUP($D93, regions[], COLUMN(AO$1)-COLUMN($A$1), FALSE), VLOOKUP($A93,raw[],COLUMN(AO$1)-COLUMN($A$1),FALSE))</f>
        <v>1.3380716895601642E-2</v>
      </c>
      <c r="AO93" s="72">
        <f>IF(VLOOKUP($A93,raw[],COLUMN(AP$1)-COLUMN($A$1),FALSE)=0, VLOOKUP($D93, regions[], COLUMN(AP$1)-COLUMN($A$1), FALSE), VLOOKUP($A93,raw[],COLUMN(AP$1)-COLUMN($A$1),FALSE))</f>
        <v>1.8313369924512542E-2</v>
      </c>
      <c r="AP93" s="72">
        <f>IF(VLOOKUP($A93,raw[],COLUMN(AQ$1)-COLUMN($A$1),FALSE)=0, VLOOKUP($D93, regions[], COLUMN(AQ$1)-COLUMN($A$1), FALSE), VLOOKUP($A93,raw[],COLUMN(AQ$1)-COLUMN($A$1),FALSE))</f>
        <v>2.8183308143927499E-2</v>
      </c>
      <c r="AQ93" s="72">
        <f>IF(VLOOKUP($A93,raw[],COLUMN(AR$1)-COLUMN($A$1),FALSE)=0, VLOOKUP($D93, regions[], COLUMN(AR$1)-COLUMN($A$1), FALSE), VLOOKUP($A93,raw[],COLUMN(AR$1)-COLUMN($A$1),FALSE))</f>
        <v>4.241118343083778E-2</v>
      </c>
      <c r="AR93" s="72">
        <f>IF(VLOOKUP($A93,raw[],COLUMN(AS$1)-COLUMN($A$1),FALSE)=0, VLOOKUP($D93, regions[], COLUMN(AS$1)-COLUMN($A$1), FALSE), VLOOKUP($A93,raw[],COLUMN(AS$1)-COLUMN($A$1),FALSE))</f>
        <v>6.5708830847072533E-2</v>
      </c>
      <c r="AS93" s="72">
        <f>IF(VLOOKUP($A93,raw[],COLUMN(AT$1)-COLUMN($A$1),FALSE)=0, VLOOKUP($D93, regions[], COLUMN(AT$1)-COLUMN($A$1), FALSE), VLOOKUP($A93,raw[],COLUMN(AT$1)-COLUMN($A$1),FALSE))</f>
        <v>9.6904467648308887E-2</v>
      </c>
      <c r="AT93" s="72">
        <f>IF(VLOOKUP($A93,raw[],COLUMN(AU$1)-COLUMN($A$1),FALSE)=0, VLOOKUP($D93, regions[], COLUMN(AU$1)-COLUMN($A$1), FALSE), VLOOKUP($A93,raw[],COLUMN(AU$1)-COLUMN($A$1),FALSE))</f>
        <v>0.13262526670478461</v>
      </c>
      <c r="AU93" s="72">
        <f>IF(VLOOKUP($A93,raw[],COLUMN(AV$1)-COLUMN($A$1),FALSE)=0, VLOOKUP($D93, regions[], COLUMN(AV$1)-COLUMN($A$1), FALSE), VLOOKUP($A93,raw[],COLUMN(AV$1)-COLUMN($A$1),FALSE))</f>
        <v>0.16254099182753556</v>
      </c>
      <c r="AV93" s="72">
        <f>IF(VLOOKUP($A93,raw[],COLUMN(AW$1)-COLUMN($A$1),FALSE)=0, VLOOKUP($D93, regions[], COLUMN(AW$1)-COLUMN($A$1), FALSE), VLOOKUP($A93,raw[],COLUMN(AW$1)-COLUMN($A$1),FALSE))</f>
        <v>0.18085950585047419</v>
      </c>
      <c r="AW93" s="72">
        <f>IF(VLOOKUP($A93,raw[],COLUMN(AX$1)-COLUMN($A$1),FALSE)=0, VLOOKUP($D93, regions[], COLUMN(AX$1)-COLUMN($A$1), FALSE), VLOOKUP($A93,raw[],COLUMN(AX$1)-COLUMN($A$1),FALSE))</f>
        <v>0.18640937296393495</v>
      </c>
      <c r="AX93" s="72">
        <f>IF(VLOOKUP($A93,raw[],COLUMN(AY$1)-COLUMN($A$1),FALSE)=0, VLOOKUP($D93, regions[], COLUMN(AY$1)-COLUMN($A$1), FALSE), VLOOKUP($A93,raw[],COLUMN(AY$1)-COLUMN($A$1),FALSE))</f>
        <v>54.176000000000002</v>
      </c>
      <c r="AY93" t="str">
        <f t="shared" si="2"/>
        <v>Yes</v>
      </c>
    </row>
    <row r="94" spans="1:51" x14ac:dyDescent="0.25">
      <c r="A94" s="53" t="s">
        <v>408</v>
      </c>
      <c r="B94" s="54" t="s">
        <v>409</v>
      </c>
      <c r="C94" s="54">
        <v>807</v>
      </c>
      <c r="D94" s="54" t="s">
        <v>201</v>
      </c>
      <c r="E94" s="54" t="s">
        <v>202</v>
      </c>
      <c r="F94" s="54" t="s">
        <v>203</v>
      </c>
      <c r="G94" s="54" t="s">
        <v>204</v>
      </c>
      <c r="H94" s="73">
        <f>VLOOKUP(lmics[[#This Row],[setting]],raw[],8,FALSE)</f>
        <v>2083380</v>
      </c>
      <c r="I94" s="73">
        <f>VLOOKUP(lmics[[#This Row],[setting]],raw[],9,FALSE)</f>
        <v>22679.67468</v>
      </c>
      <c r="J94" s="67">
        <f>IF(VLOOKUP($A94,raw[],COLUMN(J$1),FALSE)=0, VLOOKUP($D94, regions[], COLUMN(J$1), FALSE), VLOOKUP($A94,raw[],COLUMN(J$1),FALSE))</f>
        <v>0.99099999999999999</v>
      </c>
      <c r="K94" s="77">
        <f>VLOOKUP($A94, raw[], 11, FALSE)</f>
        <v>0.97</v>
      </c>
      <c r="L94" s="77">
        <f>VLOOKUP($A94, raw[], 12, FALSE)</f>
        <v>0.84</v>
      </c>
      <c r="M94" s="77">
        <f>IF(VLOOKUP($A94,raw[],COLUMN(M$1),FALSE)=0, VLOOKUP($D94, regions[], COLUMN(M$1), FALSE), VLOOKUP($A94,raw[],COLUMN(M$1),FALSE))</f>
        <v>2.87E-2</v>
      </c>
      <c r="N94" s="68">
        <f>IF(VLOOKUP($A94,raw[],COLUMN(N$1),FALSE)=0, VLOOKUP($D94, regions[], COLUMN(N$1), FALSE), VLOOKUP($A94,raw[],COLUMN(N$1),FALSE))</f>
        <v>0.28785778546712798</v>
      </c>
      <c r="O94" s="67">
        <f>IF(VLOOKUP($A94,raw[],COLUMN(O$1),FALSE)=0, VLOOKUP($D94, regions[], COLUMN(O$1), FALSE), VLOOKUP($A94,raw[],COLUMN(O$1),FALSE))</f>
        <v>0.8</v>
      </c>
      <c r="P94" s="68">
        <f>IF(VLOOKUP($A94,raw[],COLUMN(P$1),FALSE)=0, VLOOKUP($D94, regions[], COLUMN(P$1), FALSE), VLOOKUP($A94,raw[],COLUMN(P$1),FALSE))</f>
        <v>0.17499999999999999</v>
      </c>
      <c r="Q94" s="70">
        <f>IF(VLOOKUP($A94,raw[],COLUMN(Q$1),FALSE)=0, VLOOKUP($D94, regions[], COLUMN(Q$1), FALSE), VLOOKUP($A94,raw[],COLUMN(Q$1),FALSE))</f>
        <v>9.0279689474066007</v>
      </c>
      <c r="R94" s="70">
        <f>IF(VLOOKUP($A94,raw[],COLUMN(R$1),FALSE)=0, VLOOKUP($D94, regions[], COLUMN(R$1), FALSE), VLOOKUP($A94,raw[],COLUMN(R$1),FALSE))</f>
        <v>31.353348947406602</v>
      </c>
      <c r="S94" s="70">
        <f>IF(VLOOKUP($A94,raw[],COLUMN(S$1),FALSE)=0, VLOOKUP($D94, regions[], COLUMN(S$1), FALSE), VLOOKUP($A94,raw[],COLUMN(S$1),FALSE))</f>
        <v>85.204233093560504</v>
      </c>
      <c r="T94" s="70">
        <f>IF(VLOOKUP($A94,raw[],COLUMN(U$1)-COLUMN($A$1),FALSE)=0, VLOOKUP($D94, regions[], COLUMN(U$1)-COLUMN($A$1), FALSE), VLOOKUP($A94,raw[],COLUMN(U$1)-COLUMN($A$1),FALSE))</f>
        <v>98.023747413969502</v>
      </c>
      <c r="U94" s="70">
        <f>IF(VLOOKUP($A94,raw[],COLUMN(V$1)-COLUMN($A$1),FALSE)=0, VLOOKUP($D94, regions[], COLUMN(V$1)-COLUMN($A$1), FALSE), VLOOKUP($A94,raw[],COLUMN(V$1)-COLUMN($A$1),FALSE))</f>
        <v>92.137297408050131</v>
      </c>
      <c r="V94" s="70">
        <f>IF(VLOOKUP($A94,raw[],COLUMN(W$1)-COLUMN($A$1),FALSE)=0, VLOOKUP($D94, regions[], COLUMN(W$1)-COLUMN($A$1), FALSE), VLOOKUP($A94,raw[],COLUMN(W$1)-COLUMN($A$1),FALSE))</f>
        <v>6.218442680426314</v>
      </c>
      <c r="W94" s="70">
        <f>IF(VLOOKUP($A94,raw[],COLUMN(X$1)-COLUMN($A$1),FALSE)=0, VLOOKUP($D94, regions[], COLUMN(X$1)-COLUMN($A$1), FALSE), VLOOKUP($A94,raw[],COLUMN(X$1)-COLUMN($A$1),FALSE))</f>
        <v>10.288442680426314</v>
      </c>
      <c r="X94" s="70">
        <f>IF(VLOOKUP($A94,raw[],COLUMN(Y$1)-COLUMN($A$1),FALSE)=0, VLOOKUP($D94, regions[], COLUMN(Y$1)-COLUMN($A$1), FALSE), VLOOKUP($A94,raw[],COLUMN(Y$1)-COLUMN($A$1),FALSE))</f>
        <v>5.7984300649565563</v>
      </c>
      <c r="Y94" s="70">
        <f>IF(VLOOKUP($A94,raw[],COLUMN(Z$1)-COLUMN($A$1),FALSE)=0, VLOOKUP($D94, regions[], COLUMN(Z$1)-COLUMN($A$1), FALSE), VLOOKUP($A94,raw[],COLUMN(Z$1)-COLUMN($A$1),FALSE))</f>
        <v>9.8684300649565557</v>
      </c>
      <c r="Z94" s="70">
        <f>IF(VLOOKUP($A94,raw[],COLUMN(AA$1)-COLUMN($A$1),FALSE)=0, VLOOKUP($D94, regions[], COLUMN(AA$1)-COLUMN($A$1), FALSE), VLOOKUP($A94,raw[],COLUMN(AA$1)-COLUMN($A$1),FALSE))</f>
        <v>9.8606879991119563</v>
      </c>
      <c r="AA94" s="70">
        <f>IF(VLOOKUP($A94,raw[],COLUMN(AB$1)-COLUMN($A$1),FALSE)=0, VLOOKUP($D94, regions[], COLUMN(AB$1)-COLUMN($A$1), FALSE), VLOOKUP($A94,raw[],COLUMN(AB$1)-COLUMN($A$1),FALSE))</f>
        <v>6.4269462351309024</v>
      </c>
      <c r="AB94" s="70">
        <f>IF(VLOOKUP($A94,raw[],COLUMN(AC$1)-COLUMN($A$1),FALSE)=0, VLOOKUP($D94, regions[], COLUMN(AC$1)-COLUMN($A$1), FALSE), VLOOKUP($A94,raw[],COLUMN(AC$1)-COLUMN($A$1),FALSE))</f>
        <v>10.496946235130903</v>
      </c>
      <c r="AC94" s="72">
        <f>IF(VLOOKUP($A94,raw[],COLUMN(AD$1)-COLUMN($A$1),FALSE)=0, VLOOKUP($D94, regions[], COLUMN(AD$1)-COLUMN($A$1), FALSE), VLOOKUP($A94,raw[],COLUMN(AD$1)-COLUMN($A$1),FALSE))</f>
        <v>1.0689299999999929E-2</v>
      </c>
      <c r="AD94" s="72">
        <f>IF(VLOOKUP($A94,raw[],COLUMN(AE$1)-COLUMN($A$1),FALSE)=0, VLOOKUP($D94, regions[], COLUMN(AE$1)-COLUMN($A$1), FALSE), VLOOKUP($A94,raw[],COLUMN(AE$1)-COLUMN($A$1),FALSE))</f>
        <v>2.8470833278163265E-4</v>
      </c>
      <c r="AE94" s="72">
        <f>IF(VLOOKUP($A94,raw[],COLUMN(AF$1)-COLUMN($A$1),FALSE)=0, VLOOKUP($D94, regions[], COLUMN(AF$1)-COLUMN($A$1), FALSE), VLOOKUP($A94,raw[],COLUMN(AF$1)-COLUMN($A$1),FALSE))</f>
        <v>1.3947401943468035E-4</v>
      </c>
      <c r="AF94" s="72">
        <f>IF(VLOOKUP($A94,raw[],COLUMN(AG$1)-COLUMN($A$1),FALSE)=0, VLOOKUP($D94, regions[], COLUMN(AG$1)-COLUMN($A$1), FALSE), VLOOKUP($A94,raw[],COLUMN(AG$1)-COLUMN($A$1),FALSE))</f>
        <v>1.8519791661506717E-4</v>
      </c>
      <c r="AG94" s="72">
        <f>IF(VLOOKUP($A94,raw[],COLUMN(AH$1)-COLUMN($A$1),FALSE)=0, VLOOKUP($D94, regions[], COLUMN(AH$1)-COLUMN($A$1), FALSE), VLOOKUP($A94,raw[],COLUMN(AH$1)-COLUMN($A$1),FALSE))</f>
        <v>2.9154437980480287E-4</v>
      </c>
      <c r="AH94" s="72">
        <f>IF(VLOOKUP($A94,raw[],COLUMN(AI$1)-COLUMN($A$1),FALSE)=0, VLOOKUP($D94, regions[], COLUMN(AI$1)-COLUMN($A$1), FALSE), VLOOKUP($A94,raw[],COLUMN(AI$1)-COLUMN($A$1),FALSE))</f>
        <v>3.1370898138433545E-4</v>
      </c>
      <c r="AI94" s="72">
        <f>IF(VLOOKUP($A94,raw[],COLUMN(AJ$1)-COLUMN($A$1),FALSE)=0, VLOOKUP($D94, regions[], COLUMN(AJ$1)-COLUMN($A$1), FALSE), VLOOKUP($A94,raw[],COLUMN(AJ$1)-COLUMN($A$1),FALSE))</f>
        <v>4.6769149685376116E-4</v>
      </c>
      <c r="AJ94" s="72">
        <f>IF(VLOOKUP($A94,raw[],COLUMN(AK$1)-COLUMN($A$1),FALSE)=0, VLOOKUP($D94, regions[], COLUMN(AK$1)-COLUMN($A$1), FALSE), VLOOKUP($A94,raw[],COLUMN(AK$1)-COLUMN($A$1),FALSE))</f>
        <v>5.5872788768333251E-4</v>
      </c>
      <c r="AK94" s="72">
        <f>IF(VLOOKUP($A94,raw[],COLUMN(AL$1)-COLUMN($A$1),FALSE)=0, VLOOKUP($D94, regions[], COLUMN(AL$1)-COLUMN($A$1), FALSE), VLOOKUP($A94,raw[],COLUMN(AL$1)-COLUMN($A$1),FALSE))</f>
        <v>8.9107250634433259E-4</v>
      </c>
      <c r="AL94" s="72">
        <f>IF(VLOOKUP($A94,raw[],COLUMN(AM$1)-COLUMN($A$1),FALSE)=0, VLOOKUP($D94, regions[], COLUMN(AM$1)-COLUMN($A$1), FALSE), VLOOKUP($A94,raw[],COLUMN(AM$1)-COLUMN($A$1),FALSE))</f>
        <v>1.6274428777812763E-3</v>
      </c>
      <c r="AM94" s="72">
        <f>IF(VLOOKUP($A94,raw[],COLUMN(AN$1)-COLUMN($A$1),FALSE)=0, VLOOKUP($D94, regions[], COLUMN(AN$1)-COLUMN($A$1), FALSE), VLOOKUP($A94,raw[],COLUMN(AN$1)-COLUMN($A$1),FALSE))</f>
        <v>2.5136345377276231E-3</v>
      </c>
      <c r="AN94" s="72">
        <f>IF(VLOOKUP($A94,raw[],COLUMN(AO$1)-COLUMN($A$1),FALSE)=0, VLOOKUP($D94, regions[], COLUMN(AO$1)-COLUMN($A$1), FALSE), VLOOKUP($A94,raw[],COLUMN(AO$1)-COLUMN($A$1),FALSE))</f>
        <v>4.6889487105831202E-3</v>
      </c>
      <c r="AO94" s="72">
        <f>IF(VLOOKUP($A94,raw[],COLUMN(AP$1)-COLUMN($A$1),FALSE)=0, VLOOKUP($D94, regions[], COLUMN(AP$1)-COLUMN($A$1), FALSE), VLOOKUP($A94,raw[],COLUMN(AP$1)-COLUMN($A$1),FALSE))</f>
        <v>7.9706071269026232E-3</v>
      </c>
      <c r="AP94" s="72">
        <f>IF(VLOOKUP($A94,raw[],COLUMN(AQ$1)-COLUMN($A$1),FALSE)=0, VLOOKUP($D94, regions[], COLUMN(AQ$1)-COLUMN($A$1), FALSE), VLOOKUP($A94,raw[],COLUMN(AQ$1)-COLUMN($A$1),FALSE))</f>
        <v>1.3170471970922691E-2</v>
      </c>
      <c r="AQ94" s="72">
        <f>IF(VLOOKUP($A94,raw[],COLUMN(AR$1)-COLUMN($A$1),FALSE)=0, VLOOKUP($D94, regions[], COLUMN(AR$1)-COLUMN($A$1), FALSE), VLOOKUP($A94,raw[],COLUMN(AR$1)-COLUMN($A$1),FALSE))</f>
        <v>2.0383363398228289E-2</v>
      </c>
      <c r="AR94" s="72">
        <f>IF(VLOOKUP($A94,raw[],COLUMN(AS$1)-COLUMN($A$1),FALSE)=0, VLOOKUP($D94, regions[], COLUMN(AS$1)-COLUMN($A$1), FALSE), VLOOKUP($A94,raw[],COLUMN(AS$1)-COLUMN($A$1),FALSE))</f>
        <v>3.2018214713456158E-2</v>
      </c>
      <c r="AS94" s="72">
        <f>IF(VLOOKUP($A94,raw[],COLUMN(AT$1)-COLUMN($A$1),FALSE)=0, VLOOKUP($D94, regions[], COLUMN(AT$1)-COLUMN($A$1), FALSE), VLOOKUP($A94,raw[],COLUMN(AT$1)-COLUMN($A$1),FALSE))</f>
        <v>5.6817453075315598E-2</v>
      </c>
      <c r="AT94" s="72">
        <f>IF(VLOOKUP($A94,raw[],COLUMN(AU$1)-COLUMN($A$1),FALSE)=0, VLOOKUP($D94, regions[], COLUMN(AU$1)-COLUMN($A$1), FALSE), VLOOKUP($A94,raw[],COLUMN(AU$1)-COLUMN($A$1),FALSE))</f>
        <v>9.1528949975634752E-2</v>
      </c>
      <c r="AU94" s="72">
        <f>IF(VLOOKUP($A94,raw[],COLUMN(AV$1)-COLUMN($A$1),FALSE)=0, VLOOKUP($D94, regions[], COLUMN(AV$1)-COLUMN($A$1), FALSE), VLOOKUP($A94,raw[],COLUMN(AV$1)-COLUMN($A$1),FALSE))</f>
        <v>0.12972083487733699</v>
      </c>
      <c r="AV94" s="72">
        <f>IF(VLOOKUP($A94,raw[],COLUMN(AW$1)-COLUMN($A$1),FALSE)=0, VLOOKUP($D94, regions[], COLUMN(AW$1)-COLUMN($A$1), FALSE), VLOOKUP($A94,raw[],COLUMN(AW$1)-COLUMN($A$1),FALSE))</f>
        <v>0.16675336952493727</v>
      </c>
      <c r="AW94" s="72">
        <f>IF(VLOOKUP($A94,raw[],COLUMN(AX$1)-COLUMN($A$1),FALSE)=0, VLOOKUP($D94, regions[], COLUMN(AX$1)-COLUMN($A$1), FALSE), VLOOKUP($A94,raw[],COLUMN(AX$1)-COLUMN($A$1),FALSE))</f>
        <v>0.18624753508657874</v>
      </c>
      <c r="AX94" s="72">
        <f>IF(VLOOKUP($A94,raw[],COLUMN(AY$1)-COLUMN($A$1),FALSE)=0, VLOOKUP($D94, regions[], COLUMN(AY$1)-COLUMN($A$1), FALSE), VLOOKUP($A94,raw[],COLUMN(AY$1)-COLUMN($A$1),FALSE))</f>
        <v>75.602999999999994</v>
      </c>
      <c r="AY94" t="str">
        <f t="shared" si="2"/>
        <v>No</v>
      </c>
    </row>
    <row r="95" spans="1:51" x14ac:dyDescent="0.25">
      <c r="A95" s="55" t="s">
        <v>410</v>
      </c>
      <c r="B95" s="56" t="s">
        <v>411</v>
      </c>
      <c r="C95" s="56">
        <v>586</v>
      </c>
      <c r="D95" s="56" t="s">
        <v>196</v>
      </c>
      <c r="E95" s="56" t="s">
        <v>226</v>
      </c>
      <c r="F95" s="56" t="s">
        <v>226</v>
      </c>
      <c r="G95" s="56" t="s">
        <v>212</v>
      </c>
      <c r="H95" s="74">
        <f>VLOOKUP(lmics[[#This Row],[setting]],raw[],8,FALSE)</f>
        <v>220892331</v>
      </c>
      <c r="I95" s="74">
        <f>VLOOKUP(lmics[[#This Row],[setting]],raw[],9,FALSE)</f>
        <v>6300291.0647820001</v>
      </c>
      <c r="J95" s="67">
        <f>IF(VLOOKUP($A95,raw[],COLUMN(J$1),FALSE)=0, VLOOKUP($D95, regions[], COLUMN(J$1), FALSE), VLOOKUP($A95,raw[],COLUMN(J$1),FALSE))</f>
        <v>0.66200000000000003</v>
      </c>
      <c r="K95" s="77">
        <f>VLOOKUP($A95, raw[], 11, FALSE)</f>
        <v>0</v>
      </c>
      <c r="L95" s="77">
        <f>VLOOKUP($A95, raw[], 12, FALSE)</f>
        <v>0.77</v>
      </c>
      <c r="M95" s="77">
        <f>IF(VLOOKUP($A95,raw[],COLUMN(M$1),FALSE)=0, VLOOKUP($D95, regions[], COLUMN(M$1), FALSE), VLOOKUP($A95,raw[],COLUMN(M$1),FALSE))</f>
        <v>3.0099999999999998E-2</v>
      </c>
      <c r="N95" s="68">
        <f>IF(VLOOKUP($A95,raw[],COLUMN(N$1),FALSE)=0, VLOOKUP($D95, regions[], COLUMN(N$1), FALSE), VLOOKUP($A95,raw[],COLUMN(N$1),FALSE))</f>
        <v>0.26507967012826261</v>
      </c>
      <c r="O95" s="67">
        <f>IF(VLOOKUP($A95,raw[],COLUMN(O$1),FALSE)=0, VLOOKUP($D95, regions[], COLUMN(O$1), FALSE), VLOOKUP($A95,raw[],COLUMN(O$1),FALSE))</f>
        <v>0.8</v>
      </c>
      <c r="P95" s="68">
        <f>IF(VLOOKUP($A95,raw[],COLUMN(P$1),FALSE)=0, VLOOKUP($D95, regions[], COLUMN(P$1), FALSE), VLOOKUP($A95,raw[],COLUMN(P$1),FALSE))</f>
        <v>0.17499999999999999</v>
      </c>
      <c r="Q95" s="70">
        <f>IF(VLOOKUP($A95,raw[],COLUMN(Q$1),FALSE)=0, VLOOKUP($D95, regions[], COLUMN(Q$1), FALSE), VLOOKUP($A95,raw[],COLUMN(Q$1),FALSE))</f>
        <v>3.2125396178344001</v>
      </c>
      <c r="R95" s="70">
        <f>IF(VLOOKUP($A95,raw[],COLUMN(R$1),FALSE)=0, VLOOKUP($D95, regions[], COLUMN(R$1), FALSE), VLOOKUP($A95,raw[],COLUMN(R$1),FALSE))</f>
        <v>25.537919617834401</v>
      </c>
      <c r="S95" s="70">
        <f>IF(VLOOKUP($A95,raw[],COLUMN(S$1),FALSE)=0, VLOOKUP($D95, regions[], COLUMN(S$1), FALSE), VLOOKUP($A95,raw[],COLUMN(S$1),FALSE))</f>
        <v>57.344633537608793</v>
      </c>
      <c r="T95" s="70">
        <f>IF(VLOOKUP($A95,raw[],COLUMN(U$1)-COLUMN($A$1),FALSE)=0, VLOOKUP($D95, regions[], COLUMN(U$1)-COLUMN($A$1), FALSE), VLOOKUP($A95,raw[],COLUMN(U$1)-COLUMN($A$1),FALSE))</f>
        <v>58.690927724231699</v>
      </c>
      <c r="U95" s="70">
        <f>IF(VLOOKUP($A95,raw[],COLUMN(V$1)-COLUMN($A$1),FALSE)=0, VLOOKUP($D95, regions[], COLUMN(V$1)-COLUMN($A$1), FALSE), VLOOKUP($A95,raw[],COLUMN(V$1)-COLUMN($A$1),FALSE))</f>
        <v>58.072737890768273</v>
      </c>
      <c r="V95" s="70">
        <f>IF(VLOOKUP($A95,raw[],COLUMN(W$1)-COLUMN($A$1),FALSE)=0, VLOOKUP($D95, regions[], COLUMN(W$1)-COLUMN($A$1), FALSE), VLOOKUP($A95,raw[],COLUMN(W$1)-COLUMN($A$1),FALSE))</f>
        <v>1.3426230307108009</v>
      </c>
      <c r="W95" s="70">
        <f>IF(VLOOKUP($A95,raw[],COLUMN(X$1)-COLUMN($A$1),FALSE)=0, VLOOKUP($D95, regions[], COLUMN(X$1)-COLUMN($A$1), FALSE), VLOOKUP($A95,raw[],COLUMN(X$1)-COLUMN($A$1),FALSE))</f>
        <v>3.1524704917190651</v>
      </c>
      <c r="X95" s="70">
        <f>IF(VLOOKUP($A95,raw[],COLUMN(Y$1)-COLUMN($A$1),FALSE)=0, VLOOKUP($D95, regions[], COLUMN(Y$1)-COLUMN($A$1), FALSE), VLOOKUP($A95,raw[],COLUMN(Y$1)-COLUMN($A$1),FALSE))</f>
        <v>0.93414247864913547</v>
      </c>
      <c r="Y95" s="70">
        <f>IF(VLOOKUP($A95,raw[],COLUMN(Z$1)-COLUMN($A$1),FALSE)=0, VLOOKUP($D95, regions[], COLUMN(Z$1)-COLUMN($A$1), FALSE), VLOOKUP($A95,raw[],COLUMN(Z$1)-COLUMN($A$1),FALSE))</f>
        <v>2.7439899396573999</v>
      </c>
      <c r="Z95" s="70">
        <f>IF(VLOOKUP($A95,raw[],COLUMN(AA$1)-COLUMN($A$1),FALSE)=0, VLOOKUP($D95, regions[], COLUMN(AA$1)-COLUMN($A$1), FALSE), VLOOKUP($A95,raw[],COLUMN(AA$1)-COLUMN($A$1),FALSE))</f>
        <v>2.7407338810647843</v>
      </c>
      <c r="AA95" s="70">
        <f>IF(VLOOKUP($A95,raw[],COLUMN(AB$1)-COLUMN($A$1),FALSE)=0, VLOOKUP($D95, regions[], COLUMN(AB$1)-COLUMN($A$1), FALSE), VLOOKUP($A95,raw[],COLUMN(AB$1)-COLUMN($A$1),FALSE))</f>
        <v>1.5470151541133745</v>
      </c>
      <c r="AB95" s="70">
        <f>IF(VLOOKUP($A95,raw[],COLUMN(AC$1)-COLUMN($A$1),FALSE)=0, VLOOKUP($D95, regions[], COLUMN(AC$1)-COLUMN($A$1), FALSE), VLOOKUP($A95,raw[],COLUMN(AC$1)-COLUMN($A$1),FALSE))</f>
        <v>3.3568626151216385</v>
      </c>
      <c r="AC95" s="72">
        <f>IF(VLOOKUP($A95,raw[],COLUMN(AD$1)-COLUMN($A$1),FALSE)=0, VLOOKUP($D95, regions[], COLUMN(AD$1)-COLUMN($A$1), FALSE), VLOOKUP($A95,raw[],COLUMN(AD$1)-COLUMN($A$1),FALSE))</f>
        <v>6.1333549999999959E-2</v>
      </c>
      <c r="AD95" s="72">
        <f>IF(VLOOKUP($A95,raw[],COLUMN(AE$1)-COLUMN($A$1),FALSE)=0, VLOOKUP($D95, regions[], COLUMN(AE$1)-COLUMN($A$1), FALSE), VLOOKUP($A95,raw[],COLUMN(AE$1)-COLUMN($A$1),FALSE))</f>
        <v>3.6129553794108892E-3</v>
      </c>
      <c r="AE95" s="72">
        <f>IF(VLOOKUP($A95,raw[],COLUMN(AF$1)-COLUMN($A$1),FALSE)=0, VLOOKUP($D95, regions[], COLUMN(AF$1)-COLUMN($A$1), FALSE), VLOOKUP($A95,raw[],COLUMN(AF$1)-COLUMN($A$1),FALSE))</f>
        <v>1.0619705193057707E-3</v>
      </c>
      <c r="AF95" s="72">
        <f>IF(VLOOKUP($A95,raw[],COLUMN(AG$1)-COLUMN($A$1),FALSE)=0, VLOOKUP($D95, regions[], COLUMN(AG$1)-COLUMN($A$1), FALSE), VLOOKUP($A95,raw[],COLUMN(AG$1)-COLUMN($A$1),FALSE))</f>
        <v>6.8420954367996202E-4</v>
      </c>
      <c r="AG95" s="72">
        <f>IF(VLOOKUP($A95,raw[],COLUMN(AH$1)-COLUMN($A$1),FALSE)=0, VLOOKUP($D95, regions[], COLUMN(AH$1)-COLUMN($A$1), FALSE), VLOOKUP($A95,raw[],COLUMN(AH$1)-COLUMN($A$1),FALSE))</f>
        <v>9.0135788389363882E-4</v>
      </c>
      <c r="AH95" s="72">
        <f>IF(VLOOKUP($A95,raw[],COLUMN(AI$1)-COLUMN($A$1),FALSE)=0, VLOOKUP($D95, regions[], COLUMN(AI$1)-COLUMN($A$1), FALSE), VLOOKUP($A95,raw[],COLUMN(AI$1)-COLUMN($A$1),FALSE))</f>
        <v>1.2077077563812004E-3</v>
      </c>
      <c r="AI95" s="72">
        <f>IF(VLOOKUP($A95,raw[],COLUMN(AJ$1)-COLUMN($A$1),FALSE)=0, VLOOKUP($D95, regions[], COLUMN(AJ$1)-COLUMN($A$1), FALSE), VLOOKUP($A95,raw[],COLUMN(AJ$1)-COLUMN($A$1),FALSE))</f>
        <v>1.3477014775401645E-3</v>
      </c>
      <c r="AJ95" s="72">
        <f>IF(VLOOKUP($A95,raw[],COLUMN(AK$1)-COLUMN($A$1),FALSE)=0, VLOOKUP($D95, regions[], COLUMN(AK$1)-COLUMN($A$1), FALSE), VLOOKUP($A95,raw[],COLUMN(AK$1)-COLUMN($A$1),FALSE))</f>
        <v>1.6936719012837615E-3</v>
      </c>
      <c r="AK95" s="72">
        <f>IF(VLOOKUP($A95,raw[],COLUMN(AL$1)-COLUMN($A$1),FALSE)=0, VLOOKUP($D95, regions[], COLUMN(AL$1)-COLUMN($A$1), FALSE), VLOOKUP($A95,raw[],COLUMN(AL$1)-COLUMN($A$1),FALSE))</f>
        <v>2.2590628339365332E-3</v>
      </c>
      <c r="AL95" s="72">
        <f>IF(VLOOKUP($A95,raw[],COLUMN(AM$1)-COLUMN($A$1),FALSE)=0, VLOOKUP($D95, regions[], COLUMN(AM$1)-COLUMN($A$1), FALSE), VLOOKUP($A95,raw[],COLUMN(AM$1)-COLUMN($A$1),FALSE))</f>
        <v>3.1841570458575586E-3</v>
      </c>
      <c r="AM95" s="72">
        <f>IF(VLOOKUP($A95,raw[],COLUMN(AN$1)-COLUMN($A$1),FALSE)=0, VLOOKUP($D95, regions[], COLUMN(AN$1)-COLUMN($A$1), FALSE), VLOOKUP($A95,raw[],COLUMN(AN$1)-COLUMN($A$1),FALSE))</f>
        <v>4.6948988446102128E-3</v>
      </c>
      <c r="AN95" s="72">
        <f>IF(VLOOKUP($A95,raw[],COLUMN(AO$1)-COLUMN($A$1),FALSE)=0, VLOOKUP($D95, regions[], COLUMN(AO$1)-COLUMN($A$1), FALSE), VLOOKUP($A95,raw[],COLUMN(AO$1)-COLUMN($A$1),FALSE))</f>
        <v>7.1550045387534346E-3</v>
      </c>
      <c r="AO95" s="72">
        <f>IF(VLOOKUP($A95,raw[],COLUMN(AP$1)-COLUMN($A$1),FALSE)=0, VLOOKUP($D95, regions[], COLUMN(AP$1)-COLUMN($A$1), FALSE), VLOOKUP($A95,raw[],COLUMN(AP$1)-COLUMN($A$1),FALSE))</f>
        <v>1.1082944675981268E-2</v>
      </c>
      <c r="AP95" s="72">
        <f>IF(VLOOKUP($A95,raw[],COLUMN(AQ$1)-COLUMN($A$1),FALSE)=0, VLOOKUP($D95, regions[], COLUMN(AQ$1)-COLUMN($A$1), FALSE), VLOOKUP($A95,raw[],COLUMN(AQ$1)-COLUMN($A$1),FALSE))</f>
        <v>1.7741453448018207E-2</v>
      </c>
      <c r="AQ95" s="72">
        <f>IF(VLOOKUP($A95,raw[],COLUMN(AR$1)-COLUMN($A$1),FALSE)=0, VLOOKUP($D95, regions[], COLUMN(AR$1)-COLUMN($A$1), FALSE), VLOOKUP($A95,raw[],COLUMN(AR$1)-COLUMN($A$1),FALSE))</f>
        <v>2.7639274904056904E-2</v>
      </c>
      <c r="AR95" s="72">
        <f>IF(VLOOKUP($A95,raw[],COLUMN(AS$1)-COLUMN($A$1),FALSE)=0, VLOOKUP($D95, regions[], COLUMN(AS$1)-COLUMN($A$1), FALSE), VLOOKUP($A95,raw[],COLUMN(AS$1)-COLUMN($A$1),FALSE))</f>
        <v>4.2169339516370995E-2</v>
      </c>
      <c r="AS95" s="72">
        <f>IF(VLOOKUP($A95,raw[],COLUMN(AT$1)-COLUMN($A$1),FALSE)=0, VLOOKUP($D95, regions[], COLUMN(AT$1)-COLUMN($A$1), FALSE), VLOOKUP($A95,raw[],COLUMN(AT$1)-COLUMN($A$1),FALSE))</f>
        <v>6.3864951916216758E-2</v>
      </c>
      <c r="AT95" s="72">
        <f>IF(VLOOKUP($A95,raw[],COLUMN(AU$1)-COLUMN($A$1),FALSE)=0, VLOOKUP($D95, regions[], COLUMN(AU$1)-COLUMN($A$1), FALSE), VLOOKUP($A95,raw[],COLUMN(AU$1)-COLUMN($A$1),FALSE))</f>
        <v>9.4417697921603955E-2</v>
      </c>
      <c r="AU95" s="72">
        <f>IF(VLOOKUP($A95,raw[],COLUMN(AV$1)-COLUMN($A$1),FALSE)=0, VLOOKUP($D95, regions[], COLUMN(AV$1)-COLUMN($A$1), FALSE), VLOOKUP($A95,raw[],COLUMN(AV$1)-COLUMN($A$1),FALSE))</f>
        <v>0.13203036500012194</v>
      </c>
      <c r="AV95" s="72">
        <f>IF(VLOOKUP($A95,raw[],COLUMN(AW$1)-COLUMN($A$1),FALSE)=0, VLOOKUP($D95, regions[], COLUMN(AW$1)-COLUMN($A$1), FALSE), VLOOKUP($A95,raw[],COLUMN(AW$1)-COLUMN($A$1),FALSE))</f>
        <v>0.16360120386365906</v>
      </c>
      <c r="AW95" s="72">
        <f>IF(VLOOKUP($A95,raw[],COLUMN(AX$1)-COLUMN($A$1),FALSE)=0, VLOOKUP($D95, regions[], COLUMN(AX$1)-COLUMN($A$1), FALSE), VLOOKUP($A95,raw[],COLUMN(AX$1)-COLUMN($A$1),FALSE))</f>
        <v>0.18117845350801109</v>
      </c>
      <c r="AX95" s="72">
        <f>IF(VLOOKUP($A95,raw[],COLUMN(AY$1)-COLUMN($A$1),FALSE)=0, VLOOKUP($D95, regions[], COLUMN(AY$1)-COLUMN($A$1), FALSE), VLOOKUP($A95,raw[],COLUMN(AY$1)-COLUMN($A$1),FALSE))</f>
        <v>67.016999999999996</v>
      </c>
      <c r="AY95" t="str">
        <f t="shared" si="2"/>
        <v>Yes</v>
      </c>
    </row>
    <row r="96" spans="1:51" x14ac:dyDescent="0.25">
      <c r="A96" s="53" t="s">
        <v>412</v>
      </c>
      <c r="B96" s="54" t="s">
        <v>413</v>
      </c>
      <c r="C96" s="54">
        <v>275</v>
      </c>
      <c r="D96" s="54" t="s">
        <v>196</v>
      </c>
      <c r="E96" s="54" t="s">
        <v>197</v>
      </c>
      <c r="F96" s="54" t="s">
        <v>197</v>
      </c>
      <c r="G96" s="54" t="s">
        <v>212</v>
      </c>
      <c r="H96" s="73">
        <f>VLOOKUP(lmics[[#This Row],[setting]],raw[],8,FALSE)</f>
        <v>5101416</v>
      </c>
      <c r="I96" s="73">
        <f>VLOOKUP(lmics[[#This Row],[setting]],raw[],9,FALSE)</f>
        <v>150114.26721600001</v>
      </c>
      <c r="J96" s="67">
        <f>IF(VLOOKUP($A96,raw[],COLUMN(J$1),FALSE)=0, VLOOKUP($D96, regions[], COLUMN(J$1), FALSE), VLOOKUP($A96,raw[],COLUMN(J$1),FALSE))</f>
        <v>0.99299999999999999</v>
      </c>
      <c r="K96" s="77">
        <f>VLOOKUP($A96, raw[], 11, FALSE)</f>
        <v>0.99</v>
      </c>
      <c r="L96" s="77">
        <f>VLOOKUP($A96, raw[], 12, FALSE)</f>
        <v>0.99</v>
      </c>
      <c r="M96" s="77">
        <f>IF(VLOOKUP($A96,raw[],COLUMN(M$1),FALSE)=0, VLOOKUP($D96, regions[], COLUMN(M$1), FALSE), VLOOKUP($A96,raw[],COLUMN(M$1),FALSE))</f>
        <v>1.4906349426139241E-2</v>
      </c>
      <c r="N96" s="68">
        <f>IF(VLOOKUP($A96,raw[],COLUMN(N$1),FALSE)=0, VLOOKUP($D96, regions[], COLUMN(N$1), FALSE), VLOOKUP($A96,raw[],COLUMN(N$1),FALSE))</f>
        <v>0.26343380739789773</v>
      </c>
      <c r="O96" s="67">
        <f>IF(VLOOKUP($A96,raw[],COLUMN(O$1),FALSE)=0, VLOOKUP($D96, regions[], COLUMN(O$1), FALSE), VLOOKUP($A96,raw[],COLUMN(O$1),FALSE))</f>
        <v>0.8</v>
      </c>
      <c r="P96" s="68">
        <f>IF(VLOOKUP($A96,raw[],COLUMN(P$1),FALSE)=0, VLOOKUP($D96, regions[], COLUMN(P$1), FALSE), VLOOKUP($A96,raw[],COLUMN(P$1),FALSE))</f>
        <v>0.17499999999999999</v>
      </c>
      <c r="Q96" s="70">
        <f>IF(VLOOKUP($A96,raw[],COLUMN(Q$1),FALSE)=0, VLOOKUP($D96, regions[], COLUMN(Q$1), FALSE), VLOOKUP($A96,raw[],COLUMN(Q$1),FALSE))</f>
        <v>6.662674060488075</v>
      </c>
      <c r="R96" s="70">
        <f>IF(VLOOKUP($A96,raw[],COLUMN(R$1),FALSE)=0, VLOOKUP($D96, regions[], COLUMN(R$1), FALSE), VLOOKUP($A96,raw[],COLUMN(R$1),FALSE))</f>
        <v>28.988054060488075</v>
      </c>
      <c r="S96" s="70">
        <f>IF(VLOOKUP($A96,raw[],COLUMN(S$1),FALSE)=0, VLOOKUP($D96, regions[], COLUMN(S$1), FALSE), VLOOKUP($A96,raw[],COLUMN(S$1),FALSE))</f>
        <v>74.09061840550558</v>
      </c>
      <c r="T96" s="70">
        <f>IF(VLOOKUP($A96,raw[],COLUMN(U$1)-COLUMN($A$1),FALSE)=0, VLOOKUP($D96, regions[], COLUMN(U$1)-COLUMN($A$1), FALSE), VLOOKUP($A96,raw[],COLUMN(U$1)-COLUMN($A$1),FALSE))</f>
        <v>82.356938033238592</v>
      </c>
      <c r="U96" s="70">
        <f>IF(VLOOKUP($A96,raw[],COLUMN(V$1)-COLUMN($A$1),FALSE)=0, VLOOKUP($D96, regions[], COLUMN(V$1)-COLUMN($A$1), FALSE), VLOOKUP($A96,raw[],COLUMN(V$1)-COLUMN($A$1),FALSE))</f>
        <v>78.561218787921035</v>
      </c>
      <c r="V96" s="70">
        <f>IF(VLOOKUP($A96,raw[],COLUMN(W$1)-COLUMN($A$1),FALSE)=0, VLOOKUP($D96, regions[], COLUMN(W$1)-COLUMN($A$1), FALSE), VLOOKUP($A96,raw[],COLUMN(W$1)-COLUMN($A$1),FALSE))</f>
        <v>2.892260556556697</v>
      </c>
      <c r="W96" s="70">
        <f>IF(VLOOKUP($A96,raw[],COLUMN(X$1)-COLUMN($A$1),FALSE)=0, VLOOKUP($D96, regions[], COLUMN(X$1)-COLUMN($A$1), FALSE), VLOOKUP($A96,raw[],COLUMN(X$1)-COLUMN($A$1),FALSE))</f>
        <v>3.3841771396962566</v>
      </c>
      <c r="X96" s="70">
        <f>IF(VLOOKUP($A96,raw[],COLUMN(Y$1)-COLUMN($A$1),FALSE)=0, VLOOKUP($D96, regions[], COLUMN(Y$1)-COLUMN($A$1), FALSE), VLOOKUP($A96,raw[],COLUMN(Y$1)-COLUMN($A$1),FALSE))</f>
        <v>2.4756051567650035</v>
      </c>
      <c r="Y96" s="70">
        <f>IF(VLOOKUP($A96,raw[],COLUMN(Z$1)-COLUMN($A$1),FALSE)=0, VLOOKUP($D96, regions[], COLUMN(Z$1)-COLUMN($A$1), FALSE), VLOOKUP($A96,raw[],COLUMN(Z$1)-COLUMN($A$1),FALSE))</f>
        <v>2.967521739904563</v>
      </c>
      <c r="Z96" s="70">
        <f>IF(VLOOKUP($A96,raw[],COLUMN(AA$1)-COLUMN($A$1),FALSE)=0, VLOOKUP($D96, regions[], COLUMN(AA$1)-COLUMN($A$1), FALSE), VLOOKUP($A96,raw[],COLUMN(AA$1)-COLUMN($A$1),FALSE))</f>
        <v>2.9610755711711456</v>
      </c>
      <c r="AA96" s="70">
        <f>IF(VLOOKUP($A96,raw[],COLUMN(AB$1)-COLUMN($A$1),FALSE)=0, VLOOKUP($D96, regions[], COLUMN(AB$1)-COLUMN($A$1), FALSE), VLOOKUP($A96,raw[],COLUMN(AB$1)-COLUMN($A$1),FALSE))</f>
        <v>3.0995671908891067</v>
      </c>
      <c r="AB96" s="70">
        <f>IF(VLOOKUP($A96,raw[],COLUMN(AC$1)-COLUMN($A$1),FALSE)=0, VLOOKUP($D96, regions[], COLUMN(AC$1)-COLUMN($A$1), FALSE), VLOOKUP($A96,raw[],COLUMN(AC$1)-COLUMN($A$1),FALSE))</f>
        <v>3.5914837740286658</v>
      </c>
      <c r="AC96" s="72">
        <f>IF(VLOOKUP($A96,raw[],COLUMN(AD$1)-COLUMN($A$1),FALSE)=0, VLOOKUP($D96, regions[], COLUMN(AD$1)-COLUMN($A$1), FALSE), VLOOKUP($A96,raw[],COLUMN(AD$1)-COLUMN($A$1),FALSE))</f>
        <v>1.7460470000000058E-2</v>
      </c>
      <c r="AD96" s="72">
        <f>IF(VLOOKUP($A96,raw[],COLUMN(AE$1)-COLUMN($A$1),FALSE)=0, VLOOKUP($D96, regions[], COLUMN(AE$1)-COLUMN($A$1), FALSE), VLOOKUP($A96,raw[],COLUMN(AE$1)-COLUMN($A$1),FALSE))</f>
        <v>7.4073864488685887E-4</v>
      </c>
      <c r="AE96" s="72">
        <f>IF(VLOOKUP($A96,raw[],COLUMN(AF$1)-COLUMN($A$1),FALSE)=0, VLOOKUP($D96, regions[], COLUMN(AF$1)-COLUMN($A$1), FALSE), VLOOKUP($A96,raw[],COLUMN(AF$1)-COLUMN($A$1),FALSE))</f>
        <v>3.4575358484691089E-4</v>
      </c>
      <c r="AF96" s="72">
        <f>IF(VLOOKUP($A96,raw[],COLUMN(AG$1)-COLUMN($A$1),FALSE)=0, VLOOKUP($D96, regions[], COLUMN(AG$1)-COLUMN($A$1), FALSE), VLOOKUP($A96,raw[],COLUMN(AG$1)-COLUMN($A$1),FALSE))</f>
        <v>2.8989254866038777E-4</v>
      </c>
      <c r="AG96" s="72">
        <f>IF(VLOOKUP($A96,raw[],COLUMN(AH$1)-COLUMN($A$1),FALSE)=0, VLOOKUP($D96, regions[], COLUMN(AH$1)-COLUMN($A$1), FALSE), VLOOKUP($A96,raw[],COLUMN(AH$1)-COLUMN($A$1),FALSE))</f>
        <v>5.3542933720537921E-4</v>
      </c>
      <c r="AH96" s="72">
        <f>IF(VLOOKUP($A96,raw[],COLUMN(AI$1)-COLUMN($A$1),FALSE)=0, VLOOKUP($D96, regions[], COLUMN(AI$1)-COLUMN($A$1), FALSE), VLOOKUP($A96,raw[],COLUMN(AI$1)-COLUMN($A$1),FALSE))</f>
        <v>7.4845441486471589E-4</v>
      </c>
      <c r="AI96" s="72">
        <f>IF(VLOOKUP($A96,raw[],COLUMN(AJ$1)-COLUMN($A$1),FALSE)=0, VLOOKUP($D96, regions[], COLUMN(AJ$1)-COLUMN($A$1), FALSE), VLOOKUP($A96,raw[],COLUMN(AJ$1)-COLUMN($A$1),FALSE))</f>
        <v>8.0682837486210641E-4</v>
      </c>
      <c r="AJ96" s="72">
        <f>IF(VLOOKUP($A96,raw[],COLUMN(AK$1)-COLUMN($A$1),FALSE)=0, VLOOKUP($D96, regions[], COLUMN(AK$1)-COLUMN($A$1), FALSE), VLOOKUP($A96,raw[],COLUMN(AK$1)-COLUMN($A$1),FALSE))</f>
        <v>9.5173952660739143E-4</v>
      </c>
      <c r="AK96" s="72">
        <f>IF(VLOOKUP($A96,raw[],COLUMN(AL$1)-COLUMN($A$1),FALSE)=0, VLOOKUP($D96, regions[], COLUMN(AL$1)-COLUMN($A$1), FALSE), VLOOKUP($A96,raw[],COLUMN(AL$1)-COLUMN($A$1),FALSE))</f>
        <v>1.2720951211125267E-3</v>
      </c>
      <c r="AL96" s="72">
        <f>IF(VLOOKUP($A96,raw[],COLUMN(AM$1)-COLUMN($A$1),FALSE)=0, VLOOKUP($D96, regions[], COLUMN(AM$1)-COLUMN($A$1), FALSE), VLOOKUP($A96,raw[],COLUMN(AM$1)-COLUMN($A$1),FALSE))</f>
        <v>1.9246599931460912E-3</v>
      </c>
      <c r="AM96" s="72">
        <f>IF(VLOOKUP($A96,raw[],COLUMN(AN$1)-COLUMN($A$1),FALSE)=0, VLOOKUP($D96, regions[], COLUMN(AN$1)-COLUMN($A$1), FALSE), VLOOKUP($A96,raw[],COLUMN(AN$1)-COLUMN($A$1),FALSE))</f>
        <v>3.212954825090839E-3</v>
      </c>
      <c r="AN96" s="72">
        <f>IF(VLOOKUP($A96,raw[],COLUMN(AO$1)-COLUMN($A$1),FALSE)=0, VLOOKUP($D96, regions[], COLUMN(AO$1)-COLUMN($A$1), FALSE), VLOOKUP($A96,raw[],COLUMN(AO$1)-COLUMN($A$1),FALSE))</f>
        <v>5.2190032385301894E-3</v>
      </c>
      <c r="AO96" s="72">
        <f>IF(VLOOKUP($A96,raw[],COLUMN(AP$1)-COLUMN($A$1),FALSE)=0, VLOOKUP($D96, regions[], COLUMN(AP$1)-COLUMN($A$1), FALSE), VLOOKUP($A96,raw[],COLUMN(AP$1)-COLUMN($A$1),FALSE))</f>
        <v>8.5994648304891976E-3</v>
      </c>
      <c r="AP96" s="72">
        <f>IF(VLOOKUP($A96,raw[],COLUMN(AQ$1)-COLUMN($A$1),FALSE)=0, VLOOKUP($D96, regions[], COLUMN(AQ$1)-COLUMN($A$1), FALSE), VLOOKUP($A96,raw[],COLUMN(AQ$1)-COLUMN($A$1),FALSE))</f>
        <v>1.3737244480887655E-2</v>
      </c>
      <c r="AQ96" s="72">
        <f>IF(VLOOKUP($A96,raw[],COLUMN(AR$1)-COLUMN($A$1),FALSE)=0, VLOOKUP($D96, regions[], COLUMN(AR$1)-COLUMN($A$1), FALSE), VLOOKUP($A96,raw[],COLUMN(AR$1)-COLUMN($A$1),FALSE))</f>
        <v>2.272003479426319E-2</v>
      </c>
      <c r="AR96" s="72">
        <f>IF(VLOOKUP($A96,raw[],COLUMN(AS$1)-COLUMN($A$1),FALSE)=0, VLOOKUP($D96, regions[], COLUMN(AS$1)-COLUMN($A$1), FALSE), VLOOKUP($A96,raw[],COLUMN(AS$1)-COLUMN($A$1),FALSE))</f>
        <v>3.7139162675311227E-2</v>
      </c>
      <c r="AS96" s="72">
        <f>IF(VLOOKUP($A96,raw[],COLUMN(AT$1)-COLUMN($A$1),FALSE)=0, VLOOKUP($D96, regions[], COLUMN(AT$1)-COLUMN($A$1), FALSE), VLOOKUP($A96,raw[],COLUMN(AT$1)-COLUMN($A$1),FALSE))</f>
        <v>5.8500772115384979E-2</v>
      </c>
      <c r="AT96" s="72">
        <f>IF(VLOOKUP($A96,raw[],COLUMN(AU$1)-COLUMN($A$1),FALSE)=0, VLOOKUP($D96, regions[], COLUMN(AU$1)-COLUMN($A$1), FALSE), VLOOKUP($A96,raw[],COLUMN(AU$1)-COLUMN($A$1),FALSE))</f>
        <v>8.9398134198135609E-2</v>
      </c>
      <c r="AU96" s="72">
        <f>IF(VLOOKUP($A96,raw[],COLUMN(AV$1)-COLUMN($A$1),FALSE)=0, VLOOKUP($D96, regions[], COLUMN(AV$1)-COLUMN($A$1), FALSE), VLOOKUP($A96,raw[],COLUMN(AV$1)-COLUMN($A$1),FALSE))</f>
        <v>0.12462482607452673</v>
      </c>
      <c r="AV96" s="72">
        <f>IF(VLOOKUP($A96,raw[],COLUMN(AW$1)-COLUMN($A$1),FALSE)=0, VLOOKUP($D96, regions[], COLUMN(AW$1)-COLUMN($A$1), FALSE), VLOOKUP($A96,raw[],COLUMN(AW$1)-COLUMN($A$1),FALSE))</f>
        <v>0.15492547024658945</v>
      </c>
      <c r="AW96" s="72">
        <f>IF(VLOOKUP($A96,raw[],COLUMN(AX$1)-COLUMN($A$1),FALSE)=0, VLOOKUP($D96, regions[], COLUMN(AX$1)-COLUMN($A$1), FALSE), VLOOKUP($A96,raw[],COLUMN(AX$1)-COLUMN($A$1),FALSE))</f>
        <v>0.17603319334635315</v>
      </c>
      <c r="AX96" s="72">
        <f>IF(VLOOKUP($A96,raw[],COLUMN(AY$1)-COLUMN($A$1),FALSE)=0, VLOOKUP($D96, regions[], COLUMN(AY$1)-COLUMN($A$1), FALSE), VLOOKUP($A96,raw[],COLUMN(AY$1)-COLUMN($A$1),FALSE))</f>
        <v>73.816000000000003</v>
      </c>
      <c r="AY96" t="str">
        <f t="shared" si="2"/>
        <v>No</v>
      </c>
    </row>
    <row r="97" spans="1:51" x14ac:dyDescent="0.25">
      <c r="A97" s="55" t="s">
        <v>414</v>
      </c>
      <c r="B97" s="56" t="s">
        <v>415</v>
      </c>
      <c r="C97" s="56">
        <v>598</v>
      </c>
      <c r="D97" s="56" t="s">
        <v>260</v>
      </c>
      <c r="E97" s="56" t="s">
        <v>309</v>
      </c>
      <c r="F97" s="56" t="s">
        <v>262</v>
      </c>
      <c r="G97" s="56" t="s">
        <v>212</v>
      </c>
      <c r="H97" s="74">
        <f>VLOOKUP(lmics[[#This Row],[setting]],raw[],8,FALSE)</f>
        <v>8947027</v>
      </c>
      <c r="I97" s="74">
        <f>VLOOKUP(lmics[[#This Row],[setting]],raw[],9,FALSE)</f>
        <v>243618.59818299999</v>
      </c>
      <c r="J97" s="67">
        <f>IF(VLOOKUP($A97,raw[],COLUMN(J$1),FALSE)=0, VLOOKUP($D97, regions[], COLUMN(J$1), FALSE), VLOOKUP($A97,raw[],COLUMN(J$1),FALSE))</f>
        <v>0.54700000000000004</v>
      </c>
      <c r="K97" s="77">
        <f>VLOOKUP($A97, raw[], 11, FALSE)</f>
        <v>0.24</v>
      </c>
      <c r="L97" s="77">
        <f>VLOOKUP($A97, raw[], 12, FALSE)</f>
        <v>0.39</v>
      </c>
      <c r="M97" s="77">
        <f>IF(VLOOKUP($A97,raw[],COLUMN(M$1),FALSE)=0, VLOOKUP($D97, regions[], COLUMN(M$1), FALSE), VLOOKUP($A97,raw[],COLUMN(M$1),FALSE))</f>
        <v>5.8700000000000002E-2</v>
      </c>
      <c r="N97" s="68">
        <f>IF(VLOOKUP($A97,raw[],COLUMN(N$1),FALSE)=0, VLOOKUP($D97, regions[], COLUMN(N$1), FALSE), VLOOKUP($A97,raw[],COLUMN(N$1),FALSE))</f>
        <v>0.32942031694951168</v>
      </c>
      <c r="O97" s="67">
        <f>IF(VLOOKUP($A97,raw[],COLUMN(O$1),FALSE)=0, VLOOKUP($D97, regions[], COLUMN(O$1), FALSE), VLOOKUP($A97,raw[],COLUMN(O$1),FALSE))</f>
        <v>0.8</v>
      </c>
      <c r="P97" s="68">
        <f>IF(VLOOKUP($A97,raw[],COLUMN(P$1),FALSE)=0, VLOOKUP($D97, regions[], COLUMN(P$1), FALSE), VLOOKUP($A97,raw[],COLUMN(P$1),FALSE))</f>
        <v>0.17499999999999999</v>
      </c>
      <c r="Q97" s="70">
        <f>IF(VLOOKUP($A97,raw[],COLUMN(Q$1),FALSE)=0, VLOOKUP($D97, regions[], COLUMN(Q$1), FALSE), VLOOKUP($A97,raw[],COLUMN(Q$1),FALSE))</f>
        <v>5.2108866666666698</v>
      </c>
      <c r="R97" s="70">
        <f>IF(VLOOKUP($A97,raw[],COLUMN(R$1),FALSE)=0, VLOOKUP($D97, regions[], COLUMN(R$1), FALSE), VLOOKUP($A97,raw[],COLUMN(R$1),FALSE))</f>
        <v>27.536266666666673</v>
      </c>
      <c r="S97" s="70">
        <f>IF(VLOOKUP($A97,raw[],COLUMN(S$1),FALSE)=0, VLOOKUP($D97, regions[], COLUMN(S$1), FALSE), VLOOKUP($A97,raw[],COLUMN(S$1),FALSE))</f>
        <v>63.170494856349762</v>
      </c>
      <c r="T97" s="70">
        <f>IF(VLOOKUP($A97,raw[],COLUMN(U$1)-COLUMN($A$1),FALSE)=0, VLOOKUP($D97, regions[], COLUMN(U$1)-COLUMN($A$1), FALSE), VLOOKUP($A97,raw[],COLUMN(U$1)-COLUMN($A$1),FALSE))</f>
        <v>66.508876444444439</v>
      </c>
      <c r="U97" s="70">
        <f>IF(VLOOKUP($A97,raw[],COLUMN(V$1)-COLUMN($A$1),FALSE)=0, VLOOKUP($D97, regions[], COLUMN(V$1)-COLUMN($A$1), FALSE), VLOOKUP($A97,raw[],COLUMN(V$1)-COLUMN($A$1),FALSE))</f>
        <v>64.975962183588564</v>
      </c>
      <c r="V97" s="70">
        <f>IF(VLOOKUP($A97,raw[],COLUMN(W$1)-COLUMN($A$1),FALSE)=0, VLOOKUP($D97, regions[], COLUMN(W$1)-COLUMN($A$1), FALSE), VLOOKUP($A97,raw[],COLUMN(W$1)-COLUMN($A$1),FALSE))</f>
        <v>1.8324275104887422</v>
      </c>
      <c r="W97" s="70">
        <f>IF(VLOOKUP($A97,raw[],COLUMN(X$1)-COLUMN($A$1),FALSE)=0, VLOOKUP($D97, regions[], COLUMN(X$1)-COLUMN($A$1), FALSE), VLOOKUP($A97,raw[],COLUMN(X$1)-COLUMN($A$1),FALSE))</f>
        <v>2.4624275104887423</v>
      </c>
      <c r="X97" s="70">
        <f>IF(VLOOKUP($A97,raw[],COLUMN(Y$1)-COLUMN($A$1),FALSE)=0, VLOOKUP($D97, regions[], COLUMN(Y$1)-COLUMN($A$1), FALSE), VLOOKUP($A97,raw[],COLUMN(Y$1)-COLUMN($A$1),FALSE))</f>
        <v>1.4155859021506672</v>
      </c>
      <c r="Y97" s="70">
        <f>IF(VLOOKUP($A97,raw[],COLUMN(Z$1)-COLUMN($A$1),FALSE)=0, VLOOKUP($D97, regions[], COLUMN(Z$1)-COLUMN($A$1), FALSE), VLOOKUP($A97,raw[],COLUMN(Z$1)-COLUMN($A$1),FALSE))</f>
        <v>2.045585902150667</v>
      </c>
      <c r="Z97" s="70">
        <f>IF(VLOOKUP($A97,raw[],COLUMN(AA$1)-COLUMN($A$1),FALSE)=0, VLOOKUP($D97, regions[], COLUMN(AA$1)-COLUMN($A$1), FALSE), VLOOKUP($A97,raw[],COLUMN(AA$1)-COLUMN($A$1),FALSE))</f>
        <v>2.0393770567503706</v>
      </c>
      <c r="AA97" s="70">
        <f>IF(VLOOKUP($A97,raw[],COLUMN(AB$1)-COLUMN($A$1),FALSE)=0, VLOOKUP($D97, regions[], COLUMN(AB$1)-COLUMN($A$1), FALSE), VLOOKUP($A97,raw[],COLUMN(AB$1)-COLUMN($A$1),FALSE))</f>
        <v>2.0398005322159491</v>
      </c>
      <c r="AB97" s="70">
        <f>IF(VLOOKUP($A97,raw[],COLUMN(AC$1)-COLUMN($A$1),FALSE)=0, VLOOKUP($D97, regions[], COLUMN(AC$1)-COLUMN($A$1), FALSE), VLOOKUP($A97,raw[],COLUMN(AC$1)-COLUMN($A$1),FALSE))</f>
        <v>2.669800532215949</v>
      </c>
      <c r="AC97" s="72">
        <f>IF(VLOOKUP($A97,raw[],COLUMN(AD$1)-COLUMN($A$1),FALSE)=0, VLOOKUP($D97, regions[], COLUMN(AD$1)-COLUMN($A$1), FALSE), VLOOKUP($A97,raw[],COLUMN(AD$1)-COLUMN($A$1),FALSE))</f>
        <v>4.1960449999999982E-2</v>
      </c>
      <c r="AD97" s="72">
        <f>IF(VLOOKUP($A97,raw[],COLUMN(AE$1)-COLUMN($A$1),FALSE)=0, VLOOKUP($D97, regions[], COLUMN(AE$1)-COLUMN($A$1), FALSE), VLOOKUP($A97,raw[],COLUMN(AE$1)-COLUMN($A$1),FALSE))</f>
        <v>2.8868510699793046E-3</v>
      </c>
      <c r="AE97" s="72">
        <f>IF(VLOOKUP($A97,raw[],COLUMN(AF$1)-COLUMN($A$1),FALSE)=0, VLOOKUP($D97, regions[], COLUMN(AF$1)-COLUMN($A$1), FALSE), VLOOKUP($A97,raw[],COLUMN(AF$1)-COLUMN($A$1),FALSE))</f>
        <v>1.1712305312523608E-3</v>
      </c>
      <c r="AF97" s="72">
        <f>IF(VLOOKUP($A97,raw[],COLUMN(AG$1)-COLUMN($A$1),FALSE)=0, VLOOKUP($D97, regions[], COLUMN(AG$1)-COLUMN($A$1), FALSE), VLOOKUP($A97,raw[],COLUMN(AG$1)-COLUMN($A$1),FALSE))</f>
        <v>9.248048587818115E-4</v>
      </c>
      <c r="AG97" s="72">
        <f>IF(VLOOKUP($A97,raw[],COLUMN(AH$1)-COLUMN($A$1),FALSE)=0, VLOOKUP($D97, regions[], COLUMN(AH$1)-COLUMN($A$1), FALSE), VLOOKUP($A97,raw[],COLUMN(AH$1)-COLUMN($A$1),FALSE))</f>
        <v>1.6757583340141643E-3</v>
      </c>
      <c r="AH97" s="72">
        <f>IF(VLOOKUP($A97,raw[],COLUMN(AI$1)-COLUMN($A$1),FALSE)=0, VLOOKUP($D97, regions[], COLUMN(AI$1)-COLUMN($A$1), FALSE), VLOOKUP($A97,raw[],COLUMN(AI$1)-COLUMN($A$1),FALSE))</f>
        <v>2.2605603074540904E-3</v>
      </c>
      <c r="AI97" s="72">
        <f>IF(VLOOKUP($A97,raw[],COLUMN(AJ$1)-COLUMN($A$1),FALSE)=0, VLOOKUP($D97, regions[], COLUMN(AJ$1)-COLUMN($A$1), FALSE), VLOOKUP($A97,raw[],COLUMN(AJ$1)-COLUMN($A$1),FALSE))</f>
        <v>2.4566479965569413E-3</v>
      </c>
      <c r="AJ97" s="72">
        <f>IF(VLOOKUP($A97,raw[],COLUMN(AK$1)-COLUMN($A$1),FALSE)=0, VLOOKUP($D97, regions[], COLUMN(AK$1)-COLUMN($A$1), FALSE), VLOOKUP($A97,raw[],COLUMN(AK$1)-COLUMN($A$1),FALSE))</f>
        <v>2.8560635238641728E-3</v>
      </c>
      <c r="AK97" s="72">
        <f>IF(VLOOKUP($A97,raw[],COLUMN(AL$1)-COLUMN($A$1),FALSE)=0, VLOOKUP($D97, regions[], COLUMN(AL$1)-COLUMN($A$1), FALSE), VLOOKUP($A97,raw[],COLUMN(AL$1)-COLUMN($A$1),FALSE))</f>
        <v>3.6425364864785927E-3</v>
      </c>
      <c r="AL97" s="72">
        <f>IF(VLOOKUP($A97,raw[],COLUMN(AM$1)-COLUMN($A$1),FALSE)=0, VLOOKUP($D97, regions[], COLUMN(AM$1)-COLUMN($A$1), FALSE), VLOOKUP($A97,raw[],COLUMN(AM$1)-COLUMN($A$1),FALSE))</f>
        <v>4.8603904915195039E-3</v>
      </c>
      <c r="AM97" s="72">
        <f>IF(VLOOKUP($A97,raw[],COLUMN(AN$1)-COLUMN($A$1),FALSE)=0, VLOOKUP($D97, regions[], COLUMN(AN$1)-COLUMN($A$1), FALSE), VLOOKUP($A97,raw[],COLUMN(AN$1)-COLUMN($A$1),FALSE))</f>
        <v>6.8645362056300981E-3</v>
      </c>
      <c r="AN97" s="72">
        <f>IF(VLOOKUP($A97,raw[],COLUMN(AO$1)-COLUMN($A$1),FALSE)=0, VLOOKUP($D97, regions[], COLUMN(AO$1)-COLUMN($A$1), FALSE), VLOOKUP($A97,raw[],COLUMN(AO$1)-COLUMN($A$1),FALSE))</f>
        <v>9.99024337893069E-3</v>
      </c>
      <c r="AO97" s="72">
        <f>IF(VLOOKUP($A97,raw[],COLUMN(AP$1)-COLUMN($A$1),FALSE)=0, VLOOKUP($D97, regions[], COLUMN(AP$1)-COLUMN($A$1), FALSE), VLOOKUP($A97,raw[],COLUMN(AP$1)-COLUMN($A$1),FALSE))</f>
        <v>1.4667525481532696E-2</v>
      </c>
      <c r="AP97" s="72">
        <f>IF(VLOOKUP($A97,raw[],COLUMN(AQ$1)-COLUMN($A$1),FALSE)=0, VLOOKUP($D97, regions[], COLUMN(AQ$1)-COLUMN($A$1), FALSE), VLOOKUP($A97,raw[],COLUMN(AQ$1)-COLUMN($A$1),FALSE))</f>
        <v>2.42748708132936E-2</v>
      </c>
      <c r="AQ97" s="72">
        <f>IF(VLOOKUP($A97,raw[],COLUMN(AR$1)-COLUMN($A$1),FALSE)=0, VLOOKUP($D97, regions[], COLUMN(AR$1)-COLUMN($A$1), FALSE), VLOOKUP($A97,raw[],COLUMN(AR$1)-COLUMN($A$1),FALSE))</f>
        <v>3.9886843246269926E-2</v>
      </c>
      <c r="AR97" s="72">
        <f>IF(VLOOKUP($A97,raw[],COLUMN(AS$1)-COLUMN($A$1),FALSE)=0, VLOOKUP($D97, regions[], COLUMN(AS$1)-COLUMN($A$1), FALSE), VLOOKUP($A97,raw[],COLUMN(AS$1)-COLUMN($A$1),FALSE))</f>
        <v>6.1973035660190877E-2</v>
      </c>
      <c r="AS97" s="72">
        <f>IF(VLOOKUP($A97,raw[],COLUMN(AT$1)-COLUMN($A$1),FALSE)=0, VLOOKUP($D97, regions[], COLUMN(AT$1)-COLUMN($A$1), FALSE), VLOOKUP($A97,raw[],COLUMN(AT$1)-COLUMN($A$1),FALSE))</f>
        <v>8.9624425079758457E-2</v>
      </c>
      <c r="AT97" s="72">
        <f>IF(VLOOKUP($A97,raw[],COLUMN(AU$1)-COLUMN($A$1),FALSE)=0, VLOOKUP($D97, regions[], COLUMN(AU$1)-COLUMN($A$1), FALSE), VLOOKUP($A97,raw[],COLUMN(AU$1)-COLUMN($A$1),FALSE))</f>
        <v>0.12175499341576297</v>
      </c>
      <c r="AU97" s="72">
        <f>IF(VLOOKUP($A97,raw[],COLUMN(AV$1)-COLUMN($A$1),FALSE)=0, VLOOKUP($D97, regions[], COLUMN(AV$1)-COLUMN($A$1), FALSE), VLOOKUP($A97,raw[],COLUMN(AV$1)-COLUMN($A$1),FALSE))</f>
        <v>0.15312804646691991</v>
      </c>
      <c r="AV97" s="72">
        <f>IF(VLOOKUP($A97,raw[],COLUMN(AW$1)-COLUMN($A$1),FALSE)=0, VLOOKUP($D97, regions[], COLUMN(AW$1)-COLUMN($A$1), FALSE), VLOOKUP($A97,raw[],COLUMN(AW$1)-COLUMN($A$1),FALSE))</f>
        <v>0.17494144093367678</v>
      </c>
      <c r="AW97" s="72">
        <f>IF(VLOOKUP($A97,raw[],COLUMN(AX$1)-COLUMN($A$1),FALSE)=0, VLOOKUP($D97, regions[], COLUMN(AX$1)-COLUMN($A$1), FALSE), VLOOKUP($A97,raw[],COLUMN(AX$1)-COLUMN($A$1),FALSE))</f>
        <v>0.18642112453012549</v>
      </c>
      <c r="AX97" s="72">
        <f>IF(VLOOKUP($A97,raw[],COLUMN(AY$1)-COLUMN($A$1),FALSE)=0, VLOOKUP($D97, regions[], COLUMN(AY$1)-COLUMN($A$1), FALSE), VLOOKUP($A97,raw[],COLUMN(AY$1)-COLUMN($A$1),FALSE))</f>
        <v>64.150999999999996</v>
      </c>
      <c r="AY97" t="str">
        <f t="shared" si="2"/>
        <v>No</v>
      </c>
    </row>
    <row r="98" spans="1:51" x14ac:dyDescent="0.25">
      <c r="A98" s="53" t="s">
        <v>416</v>
      </c>
      <c r="B98" s="54" t="s">
        <v>417</v>
      </c>
      <c r="C98" s="54">
        <v>600</v>
      </c>
      <c r="D98" s="54" t="s">
        <v>215</v>
      </c>
      <c r="E98" s="54" t="s">
        <v>248</v>
      </c>
      <c r="F98" s="54" t="s">
        <v>217</v>
      </c>
      <c r="G98" s="54" t="s">
        <v>204</v>
      </c>
      <c r="H98" s="73">
        <f>VLOOKUP(lmics[[#This Row],[setting]],raw[],8,FALSE)</f>
        <v>7132530</v>
      </c>
      <c r="I98" s="73">
        <f>VLOOKUP(lmics[[#This Row],[setting]],raw[],9,FALSE)</f>
        <v>147757.49148</v>
      </c>
      <c r="J98" s="67">
        <f>IF(VLOOKUP($A98,raw[],COLUMN(J$1),FALSE)=0, VLOOKUP($D98, regions[], COLUMN(J$1), FALSE), VLOOKUP($A98,raw[],COLUMN(J$1),FALSE))</f>
        <v>0.93200000000000005</v>
      </c>
      <c r="K98" s="77">
        <f>VLOOKUP($A98, raw[], 11, FALSE)</f>
        <v>0</v>
      </c>
      <c r="L98" s="77">
        <f>VLOOKUP($A98, raw[], 12, FALSE)</f>
        <v>0.79</v>
      </c>
      <c r="M98" s="77">
        <f>IF(VLOOKUP($A98,raw[],COLUMN(M$1),FALSE)=0, VLOOKUP($D98, regions[], COLUMN(M$1), FALSE), VLOOKUP($A98,raw[],COLUMN(M$1),FALSE))</f>
        <v>2.0899999999999998E-2</v>
      </c>
      <c r="N98" s="68">
        <f>IF(VLOOKUP($A98,raw[],COLUMN(N$1),FALSE)=0, VLOOKUP($D98, regions[], COLUMN(N$1), FALSE), VLOOKUP($A98,raw[],COLUMN(N$1),FALSE))</f>
        <v>0.30916794199950548</v>
      </c>
      <c r="O98" s="67">
        <f>IF(VLOOKUP($A98,raw[],COLUMN(O$1),FALSE)=0, VLOOKUP($D98, regions[], COLUMN(O$1), FALSE), VLOOKUP($A98,raw[],COLUMN(O$1),FALSE))</f>
        <v>0.8</v>
      </c>
      <c r="P98" s="68">
        <f>IF(VLOOKUP($A98,raw[],COLUMN(P$1),FALSE)=0, VLOOKUP($D98, regions[], COLUMN(P$1), FALSE), VLOOKUP($A98,raw[],COLUMN(P$1),FALSE))</f>
        <v>0.17499999999999999</v>
      </c>
      <c r="Q98" s="70">
        <f>IF(VLOOKUP($A98,raw[],COLUMN(Q$1),FALSE)=0, VLOOKUP($D98, regions[], COLUMN(Q$1), FALSE), VLOOKUP($A98,raw[],COLUMN(Q$1),FALSE))</f>
        <v>6.6632907355435602</v>
      </c>
      <c r="R98" s="70">
        <f>IF(VLOOKUP($A98,raw[],COLUMN(R$1),FALSE)=0, VLOOKUP($D98, regions[], COLUMN(R$1), FALSE), VLOOKUP($A98,raw[],COLUMN(R$1),FALSE))</f>
        <v>28.988670735543565</v>
      </c>
      <c r="S98" s="70">
        <f>IF(VLOOKUP($A98,raw[],COLUMN(S$1),FALSE)=0, VLOOKUP($D98, regions[], COLUMN(S$1), FALSE), VLOOKUP($A98,raw[],COLUMN(S$1),FALSE))</f>
        <v>71.19219946501471</v>
      </c>
      <c r="T98" s="70">
        <f>IF(VLOOKUP($A98,raw[],COLUMN(U$1)-COLUMN($A$1),FALSE)=0, VLOOKUP($D98, regions[], COLUMN(U$1)-COLUMN($A$1), FALSE), VLOOKUP($A98,raw[],COLUMN(U$1)-COLUMN($A$1),FALSE))</f>
        <v>77.94967237947715</v>
      </c>
      <c r="U98" s="70">
        <f>IF(VLOOKUP($A98,raw[],COLUMN(V$1)-COLUMN($A$1),FALSE)=0, VLOOKUP($D98, regions[], COLUMN(V$1)-COLUMN($A$1), FALSE), VLOOKUP($A98,raw[],COLUMN(V$1)-COLUMN($A$1),FALSE))</f>
        <v>74.846783651936931</v>
      </c>
      <c r="V98" s="70">
        <f>IF(VLOOKUP($A98,raw[],COLUMN(W$1)-COLUMN($A$1),FALSE)=0, VLOOKUP($D98, regions[], COLUMN(W$1)-COLUMN($A$1), FALSE), VLOOKUP($A98,raw[],COLUMN(W$1)-COLUMN($A$1),FALSE))</f>
        <v>4.4919126219436567</v>
      </c>
      <c r="W98" s="70">
        <f>IF(VLOOKUP($A98,raw[],COLUMN(X$1)-COLUMN($A$1),FALSE)=0, VLOOKUP($D98, regions[], COLUMN(X$1)-COLUMN($A$1), FALSE), VLOOKUP($A98,raw[],COLUMN(X$1)-COLUMN($A$1),FALSE))</f>
        <v>4.5119126219436563</v>
      </c>
      <c r="X98" s="70">
        <f>IF(VLOOKUP($A98,raw[],COLUMN(Y$1)-COLUMN($A$1),FALSE)=0, VLOOKUP($D98, regions[], COLUMN(Y$1)-COLUMN($A$1), FALSE), VLOOKUP($A98,raw[],COLUMN(Y$1)-COLUMN($A$1),FALSE))</f>
        <v>4.0747854921079769</v>
      </c>
      <c r="Y98" s="70">
        <f>IF(VLOOKUP($A98,raw[],COLUMN(Z$1)-COLUMN($A$1),FALSE)=0, VLOOKUP($D98, regions[], COLUMN(Z$1)-COLUMN($A$1), FALSE), VLOOKUP($A98,raw[],COLUMN(Z$1)-COLUMN($A$1),FALSE))</f>
        <v>4.0947854921079765</v>
      </c>
      <c r="Z98" s="70">
        <f>IF(VLOOKUP($A98,raw[],COLUMN(AA$1)-COLUMN($A$1),FALSE)=0, VLOOKUP($D98, regions[], COLUMN(AA$1)-COLUMN($A$1), FALSE), VLOOKUP($A98,raw[],COLUMN(AA$1)-COLUMN($A$1),FALSE))</f>
        <v>4.0881890924187125</v>
      </c>
      <c r="AA98" s="70">
        <f>IF(VLOOKUP($A98,raw[],COLUMN(AB$1)-COLUMN($A$1),FALSE)=0, VLOOKUP($D98, regions[], COLUMN(AB$1)-COLUMN($A$1), FALSE), VLOOKUP($A98,raw[],COLUMN(AB$1)-COLUMN($A$1),FALSE))</f>
        <v>4.6993874382917484</v>
      </c>
      <c r="AB98" s="70">
        <f>IF(VLOOKUP($A98,raw[],COLUMN(AC$1)-COLUMN($A$1),FALSE)=0, VLOOKUP($D98, regions[], COLUMN(AC$1)-COLUMN($A$1), FALSE), VLOOKUP($A98,raw[],COLUMN(AC$1)-COLUMN($A$1),FALSE))</f>
        <v>4.719387438291748</v>
      </c>
      <c r="AC98" s="72">
        <f>IF(VLOOKUP($A98,raw[],COLUMN(AD$1)-COLUMN($A$1),FALSE)=0, VLOOKUP($D98, regions[], COLUMN(AD$1)-COLUMN($A$1), FALSE), VLOOKUP($A98,raw[],COLUMN(AD$1)-COLUMN($A$1),FALSE))</f>
        <v>1.9024909999999947E-2</v>
      </c>
      <c r="AD98" s="72">
        <f>IF(VLOOKUP($A98,raw[],COLUMN(AE$1)-COLUMN($A$1),FALSE)=0, VLOOKUP($D98, regions[], COLUMN(AE$1)-COLUMN($A$1), FALSE), VLOOKUP($A98,raw[],COLUMN(AE$1)-COLUMN($A$1),FALSE))</f>
        <v>6.278472371811307E-4</v>
      </c>
      <c r="AE98" s="72">
        <f>IF(VLOOKUP($A98,raw[],COLUMN(AF$1)-COLUMN($A$1),FALSE)=0, VLOOKUP($D98, regions[], COLUMN(AF$1)-COLUMN($A$1), FALSE), VLOOKUP($A98,raw[],COLUMN(AF$1)-COLUMN($A$1),FALSE))</f>
        <v>5.5158882755264598E-4</v>
      </c>
      <c r="AF98" s="72">
        <f>IF(VLOOKUP($A98,raw[],COLUMN(AG$1)-COLUMN($A$1),FALSE)=0, VLOOKUP($D98, regions[], COLUMN(AG$1)-COLUMN($A$1), FALSE), VLOOKUP($A98,raw[],COLUMN(AG$1)-COLUMN($A$1),FALSE))</f>
        <v>4.4901030197594676E-4</v>
      </c>
      <c r="AG98" s="72">
        <f>IF(VLOOKUP($A98,raw[],COLUMN(AH$1)-COLUMN($A$1),FALSE)=0, VLOOKUP($D98, regions[], COLUMN(AH$1)-COLUMN($A$1), FALSE), VLOOKUP($A98,raw[],COLUMN(AH$1)-COLUMN($A$1),FALSE))</f>
        <v>1.0518106076171873E-3</v>
      </c>
      <c r="AH98" s="72">
        <f>IF(VLOOKUP($A98,raw[],COLUMN(AI$1)-COLUMN($A$1),FALSE)=0, VLOOKUP($D98, regions[], COLUMN(AI$1)-COLUMN($A$1), FALSE), VLOOKUP($A98,raw[],COLUMN(AI$1)-COLUMN($A$1),FALSE))</f>
        <v>1.5998030442320856E-3</v>
      </c>
      <c r="AI98" s="72">
        <f>IF(VLOOKUP($A98,raw[],COLUMN(AJ$1)-COLUMN($A$1),FALSE)=0, VLOOKUP($D98, regions[], COLUMN(AJ$1)-COLUMN($A$1), FALSE), VLOOKUP($A98,raw[],COLUMN(AJ$1)-COLUMN($A$1),FALSE))</f>
        <v>1.9494092279500465E-3</v>
      </c>
      <c r="AJ98" s="72">
        <f>IF(VLOOKUP($A98,raw[],COLUMN(AK$1)-COLUMN($A$1),FALSE)=0, VLOOKUP($D98, regions[], COLUMN(AK$1)-COLUMN($A$1), FALSE), VLOOKUP($A98,raw[],COLUMN(AK$1)-COLUMN($A$1),FALSE))</f>
        <v>1.9855513743289219E-3</v>
      </c>
      <c r="AK98" s="72">
        <f>IF(VLOOKUP($A98,raw[],COLUMN(AL$1)-COLUMN($A$1),FALSE)=0, VLOOKUP($D98, regions[], COLUMN(AL$1)-COLUMN($A$1), FALSE), VLOOKUP($A98,raw[],COLUMN(AL$1)-COLUMN($A$1),FALSE))</f>
        <v>2.3511564587472703E-3</v>
      </c>
      <c r="AL98" s="72">
        <f>IF(VLOOKUP($A98,raw[],COLUMN(AM$1)-COLUMN($A$1),FALSE)=0, VLOOKUP($D98, regions[], COLUMN(AM$1)-COLUMN($A$1), FALSE), VLOOKUP($A98,raw[],COLUMN(AM$1)-COLUMN($A$1),FALSE))</f>
        <v>2.8780787796453219E-3</v>
      </c>
      <c r="AM98" s="72">
        <f>IF(VLOOKUP($A98,raw[],COLUMN(AN$1)-COLUMN($A$1),FALSE)=0, VLOOKUP($D98, regions[], COLUMN(AN$1)-COLUMN($A$1), FALSE), VLOOKUP($A98,raw[],COLUMN(AN$1)-COLUMN($A$1),FALSE))</f>
        <v>4.2017750305114133E-3</v>
      </c>
      <c r="AN98" s="72">
        <f>IF(VLOOKUP($A98,raw[],COLUMN(AO$1)-COLUMN($A$1),FALSE)=0, VLOOKUP($D98, regions[], COLUMN(AO$1)-COLUMN($A$1), FALSE), VLOOKUP($A98,raw[],COLUMN(AO$1)-COLUMN($A$1),FALSE))</f>
        <v>6.0993079365806143E-3</v>
      </c>
      <c r="AO98" s="72">
        <f>IF(VLOOKUP($A98,raw[],COLUMN(AP$1)-COLUMN($A$1),FALSE)=0, VLOOKUP($D98, regions[], COLUMN(AP$1)-COLUMN($A$1), FALSE), VLOOKUP($A98,raw[],COLUMN(AP$1)-COLUMN($A$1),FALSE))</f>
        <v>8.5341548530337569E-3</v>
      </c>
      <c r="AP98" s="72">
        <f>IF(VLOOKUP($A98,raw[],COLUMN(AQ$1)-COLUMN($A$1),FALSE)=0, VLOOKUP($D98, regions[], COLUMN(AQ$1)-COLUMN($A$1), FALSE), VLOOKUP($A98,raw[],COLUMN(AQ$1)-COLUMN($A$1),FALSE))</f>
        <v>1.3219074302824709E-2</v>
      </c>
      <c r="AQ98" s="72">
        <f>IF(VLOOKUP($A98,raw[],COLUMN(AR$1)-COLUMN($A$1),FALSE)=0, VLOOKUP($D98, regions[], COLUMN(AR$1)-COLUMN($A$1), FALSE), VLOOKUP($A98,raw[],COLUMN(AR$1)-COLUMN($A$1),FALSE))</f>
        <v>1.9267994677544E-2</v>
      </c>
      <c r="AR98" s="72">
        <f>IF(VLOOKUP($A98,raw[],COLUMN(AS$1)-COLUMN($A$1),FALSE)=0, VLOOKUP($D98, regions[], COLUMN(AS$1)-COLUMN($A$1), FALSE), VLOOKUP($A98,raw[],COLUMN(AS$1)-COLUMN($A$1),FALSE))</f>
        <v>2.770434970007523E-2</v>
      </c>
      <c r="AS98" s="72">
        <f>IF(VLOOKUP($A98,raw[],COLUMN(AT$1)-COLUMN($A$1),FALSE)=0, VLOOKUP($D98, regions[], COLUMN(AT$1)-COLUMN($A$1), FALSE), VLOOKUP($A98,raw[],COLUMN(AT$1)-COLUMN($A$1),FALSE))</f>
        <v>3.8953956844954209E-2</v>
      </c>
      <c r="AT98" s="72">
        <f>IF(VLOOKUP($A98,raw[],COLUMN(AU$1)-COLUMN($A$1),FALSE)=0, VLOOKUP($D98, regions[], COLUMN(AU$1)-COLUMN($A$1), FALSE), VLOOKUP($A98,raw[],COLUMN(AU$1)-COLUMN($A$1),FALSE))</f>
        <v>6.9897340351625897E-2</v>
      </c>
      <c r="AU98" s="72">
        <f>IF(VLOOKUP($A98,raw[],COLUMN(AV$1)-COLUMN($A$1),FALSE)=0, VLOOKUP($D98, regions[], COLUMN(AV$1)-COLUMN($A$1), FALSE), VLOOKUP($A98,raw[],COLUMN(AV$1)-COLUMN($A$1),FALSE))</f>
        <v>9.9908909951128749E-2</v>
      </c>
      <c r="AV98" s="72">
        <f>IF(VLOOKUP($A98,raw[],COLUMN(AW$1)-COLUMN($A$1),FALSE)=0, VLOOKUP($D98, regions[], COLUMN(AW$1)-COLUMN($A$1), FALSE), VLOOKUP($A98,raw[],COLUMN(AW$1)-COLUMN($A$1),FALSE))</f>
        <v>0.12902920587158662</v>
      </c>
      <c r="AW98" s="72">
        <f>IF(VLOOKUP($A98,raw[],COLUMN(AX$1)-COLUMN($A$1),FALSE)=0, VLOOKUP($D98, regions[], COLUMN(AX$1)-COLUMN($A$1), FALSE), VLOOKUP($A98,raw[],COLUMN(AX$1)-COLUMN($A$1),FALSE))</f>
        <v>0.15310330880431902</v>
      </c>
      <c r="AX98" s="72">
        <f>IF(VLOOKUP($A98,raw[],COLUMN(AY$1)-COLUMN($A$1),FALSE)=0, VLOOKUP($D98, regions[], COLUMN(AY$1)-COLUMN($A$1), FALSE), VLOOKUP($A98,raw[],COLUMN(AY$1)-COLUMN($A$1),FALSE))</f>
        <v>74.081999999999994</v>
      </c>
      <c r="AY98" t="str">
        <f t="shared" ref="AY98:AY129" si="3">IF($K98=0,"Yes", "No")</f>
        <v>Yes</v>
      </c>
    </row>
    <row r="99" spans="1:51" x14ac:dyDescent="0.25">
      <c r="A99" s="55" t="s">
        <v>418</v>
      </c>
      <c r="B99" s="56" t="s">
        <v>419</v>
      </c>
      <c r="C99" s="56">
        <v>604</v>
      </c>
      <c r="D99" s="56" t="s">
        <v>215</v>
      </c>
      <c r="E99" s="56" t="s">
        <v>240</v>
      </c>
      <c r="F99" s="56" t="s">
        <v>217</v>
      </c>
      <c r="G99" s="56" t="s">
        <v>204</v>
      </c>
      <c r="H99" s="74">
        <f>VLOOKUP(lmics[[#This Row],[setting]],raw[],8,FALSE)</f>
        <v>32971845.999999996</v>
      </c>
      <c r="I99" s="74">
        <f>VLOOKUP(lmics[[#This Row],[setting]],raw[],9,FALSE)</f>
        <v>596724.46890799992</v>
      </c>
      <c r="J99" s="67">
        <f>IF(VLOOKUP($A99,raw[],COLUMN(J$1),FALSE)=0, VLOOKUP($D99, regions[], COLUMN(J$1), FALSE), VLOOKUP($A99,raw[],COLUMN(J$1),FALSE))</f>
        <v>0.91</v>
      </c>
      <c r="K99" s="77">
        <f>VLOOKUP($A99, raw[], 11, FALSE)</f>
        <v>0.75</v>
      </c>
      <c r="L99" s="77">
        <f>VLOOKUP($A99, raw[], 12, FALSE)</f>
        <v>0.72</v>
      </c>
      <c r="M99" s="77">
        <f>IF(VLOOKUP($A99,raw[],COLUMN(M$1),FALSE)=0, VLOOKUP($D99, regions[], COLUMN(M$1), FALSE), VLOOKUP($A99,raw[],COLUMN(M$1),FALSE))</f>
        <v>1.1599999999999999E-2</v>
      </c>
      <c r="N99" s="68">
        <f>IF(VLOOKUP($A99,raw[],COLUMN(N$1),FALSE)=0, VLOOKUP($D99, regions[], COLUMN(N$1), FALSE), VLOOKUP($A99,raw[],COLUMN(N$1),FALSE))</f>
        <v>0.29833830716733062</v>
      </c>
      <c r="O99" s="67">
        <f>IF(VLOOKUP($A99,raw[],COLUMN(O$1),FALSE)=0, VLOOKUP($D99, regions[], COLUMN(O$1), FALSE), VLOOKUP($A99,raw[],COLUMN(O$1),FALSE))</f>
        <v>0.8</v>
      </c>
      <c r="P99" s="68">
        <f>IF(VLOOKUP($A99,raw[],COLUMN(P$1),FALSE)=0, VLOOKUP($D99, regions[], COLUMN(P$1), FALSE), VLOOKUP($A99,raw[],COLUMN(P$1),FALSE))</f>
        <v>0.17499999999999999</v>
      </c>
      <c r="Q99" s="70">
        <f>IF(VLOOKUP($A99,raw[],COLUMN(Q$1),FALSE)=0, VLOOKUP($D99, regions[], COLUMN(Q$1), FALSE), VLOOKUP($A99,raw[],COLUMN(Q$1),FALSE))</f>
        <v>10.15812683390547</v>
      </c>
      <c r="R99" s="70">
        <f>IF(VLOOKUP($A99,raw[],COLUMN(R$1),FALSE)=0, VLOOKUP($D99, regions[], COLUMN(R$1), FALSE), VLOOKUP($A99,raw[],COLUMN(R$1),FALSE))</f>
        <v>32.483506833905473</v>
      </c>
      <c r="S99" s="70">
        <f>IF(VLOOKUP($A99,raw[],COLUMN(S$1),FALSE)=0, VLOOKUP($D99, regions[], COLUMN(S$1), FALSE), VLOOKUP($A99,raw[],COLUMN(S$1),FALSE))</f>
        <v>88.591907212121839</v>
      </c>
      <c r="T99" s="70">
        <f>IF(VLOOKUP($A99,raw[],COLUMN(U$1)-COLUMN($A$1),FALSE)=0, VLOOKUP($D99, regions[], COLUMN(U$1)-COLUMN($A$1), FALSE), VLOOKUP($A99,raw[],COLUMN(U$1)-COLUMN($A$1),FALSE))</f>
        <v>102.58637982853659</v>
      </c>
      <c r="U99" s="70">
        <f>IF(VLOOKUP($A99,raw[],COLUMN(V$1)-COLUMN($A$1),FALSE)=0, VLOOKUP($D99, regions[], COLUMN(V$1)-COLUMN($A$1), FALSE), VLOOKUP($A99,raw[],COLUMN(V$1)-COLUMN($A$1),FALSE))</f>
        <v>96.160413808545854</v>
      </c>
      <c r="V99" s="70">
        <f>IF(VLOOKUP($A99,raw[],COLUMN(W$1)-COLUMN($A$1),FALSE)=0, VLOOKUP($D99, regions[], COLUMN(W$1)-COLUMN($A$1), FALSE), VLOOKUP($A99,raw[],COLUMN(W$1)-COLUMN($A$1),FALSE))</f>
        <v>3.1891122875000093</v>
      </c>
      <c r="W99" s="70">
        <f>IF(VLOOKUP($A99,raw[],COLUMN(X$1)-COLUMN($A$1),FALSE)=0, VLOOKUP($D99, regions[], COLUMN(X$1)-COLUMN($A$1), FALSE), VLOOKUP($A99,raw[],COLUMN(X$1)-COLUMN($A$1),FALSE))</f>
        <v>3.2091122875000093</v>
      </c>
      <c r="X99" s="70">
        <f>IF(VLOOKUP($A99,raw[],COLUMN(Y$1)-COLUMN($A$1),FALSE)=0, VLOOKUP($D99, regions[], COLUMN(Y$1)-COLUMN($A$1), FALSE), VLOOKUP($A99,raw[],COLUMN(Y$1)-COLUMN($A$1),FALSE))</f>
        <v>2.7687628547106442</v>
      </c>
      <c r="Y99" s="70">
        <f>IF(VLOOKUP($A99,raw[],COLUMN(Z$1)-COLUMN($A$1),FALSE)=0, VLOOKUP($D99, regions[], COLUMN(Z$1)-COLUMN($A$1), FALSE), VLOOKUP($A99,raw[],COLUMN(Z$1)-COLUMN($A$1),FALSE))</f>
        <v>2.7887628547106442</v>
      </c>
      <c r="Z99" s="70">
        <f>IF(VLOOKUP($A99,raw[],COLUMN(AA$1)-COLUMN($A$1),FALSE)=0, VLOOKUP($D99, regions[], COLUMN(AA$1)-COLUMN($A$1), FALSE), VLOOKUP($A99,raw[],COLUMN(AA$1)-COLUMN($A$1),FALSE))</f>
        <v>2.7810435926625172</v>
      </c>
      <c r="AA99" s="70">
        <f>IF(VLOOKUP($A99,raw[],COLUMN(AB$1)-COLUMN($A$1),FALSE)=0, VLOOKUP($D99, regions[], COLUMN(AB$1)-COLUMN($A$1), FALSE), VLOOKUP($A99,raw[],COLUMN(AB$1)-COLUMN($A$1),FALSE))</f>
        <v>3.3977359249011538</v>
      </c>
      <c r="AB99" s="70">
        <f>IF(VLOOKUP($A99,raw[],COLUMN(AC$1)-COLUMN($A$1),FALSE)=0, VLOOKUP($D99, regions[], COLUMN(AC$1)-COLUMN($A$1), FALSE), VLOOKUP($A99,raw[],COLUMN(AC$1)-COLUMN($A$1),FALSE))</f>
        <v>3.4177359249011539</v>
      </c>
      <c r="AC99" s="72">
        <f>IF(VLOOKUP($A99,raw[],COLUMN(AD$1)-COLUMN($A$1),FALSE)=0, VLOOKUP($D99, regions[], COLUMN(AD$1)-COLUMN($A$1), FALSE), VLOOKUP($A99,raw[],COLUMN(AD$1)-COLUMN($A$1),FALSE))</f>
        <v>1.2787390000000015E-2</v>
      </c>
      <c r="AD99" s="72">
        <f>IF(VLOOKUP($A99,raw[],COLUMN(AE$1)-COLUMN($A$1),FALSE)=0, VLOOKUP($D99, regions[], COLUMN(AE$1)-COLUMN($A$1), FALSE), VLOOKUP($A99,raw[],COLUMN(AE$1)-COLUMN($A$1),FALSE))</f>
        <v>8.7522433490795247E-4</v>
      </c>
      <c r="AE99" s="72">
        <f>IF(VLOOKUP($A99,raw[],COLUMN(AF$1)-COLUMN($A$1),FALSE)=0, VLOOKUP($D99, regions[], COLUMN(AF$1)-COLUMN($A$1), FALSE), VLOOKUP($A99,raw[],COLUMN(AF$1)-COLUMN($A$1),FALSE))</f>
        <v>4.9495175879300042E-4</v>
      </c>
      <c r="AF99" s="72">
        <f>IF(VLOOKUP($A99,raw[],COLUMN(AG$1)-COLUMN($A$1),FALSE)=0, VLOOKUP($D99, regions[], COLUMN(AG$1)-COLUMN($A$1), FALSE), VLOOKUP($A99,raw[],COLUMN(AG$1)-COLUMN($A$1),FALSE))</f>
        <v>3.3588977610933221E-4</v>
      </c>
      <c r="AG99" s="72">
        <f>IF(VLOOKUP($A99,raw[],COLUMN(AH$1)-COLUMN($A$1),FALSE)=0, VLOOKUP($D99, regions[], COLUMN(AH$1)-COLUMN($A$1), FALSE), VLOOKUP($A99,raw[],COLUMN(AH$1)-COLUMN($A$1),FALSE))</f>
        <v>7.9450728213790762E-4</v>
      </c>
      <c r="AH99" s="72">
        <f>IF(VLOOKUP($A99,raw[],COLUMN(AI$1)-COLUMN($A$1),FALSE)=0, VLOOKUP($D99, regions[], COLUMN(AI$1)-COLUMN($A$1), FALSE), VLOOKUP($A99,raw[],COLUMN(AI$1)-COLUMN($A$1),FALSE))</f>
        <v>1.1802881596356459E-3</v>
      </c>
      <c r="AI99" s="72">
        <f>IF(VLOOKUP($A99,raw[],COLUMN(AJ$1)-COLUMN($A$1),FALSE)=0, VLOOKUP($D99, regions[], COLUMN(AJ$1)-COLUMN($A$1), FALSE), VLOOKUP($A99,raw[],COLUMN(AJ$1)-COLUMN($A$1),FALSE))</f>
        <v>1.5314102741404792E-3</v>
      </c>
      <c r="AJ99" s="72">
        <f>IF(VLOOKUP($A99,raw[],COLUMN(AK$1)-COLUMN($A$1),FALSE)=0, VLOOKUP($D99, regions[], COLUMN(AK$1)-COLUMN($A$1), FALSE), VLOOKUP($A99,raw[],COLUMN(AK$1)-COLUMN($A$1),FALSE))</f>
        <v>1.6834351931294556E-3</v>
      </c>
      <c r="AK99" s="72">
        <f>IF(VLOOKUP($A99,raw[],COLUMN(AL$1)-COLUMN($A$1),FALSE)=0, VLOOKUP($D99, regions[], COLUMN(AL$1)-COLUMN($A$1), FALSE), VLOOKUP($A99,raw[],COLUMN(AL$1)-COLUMN($A$1),FALSE))</f>
        <v>2.0130924493192257E-3</v>
      </c>
      <c r="AL99" s="72">
        <f>IF(VLOOKUP($A99,raw[],COLUMN(AM$1)-COLUMN($A$1),FALSE)=0, VLOOKUP($D99, regions[], COLUMN(AM$1)-COLUMN($A$1), FALSE), VLOOKUP($A99,raw[],COLUMN(AM$1)-COLUMN($A$1),FALSE))</f>
        <v>2.5656252273752395E-3</v>
      </c>
      <c r="AM99" s="72">
        <f>IF(VLOOKUP($A99,raw[],COLUMN(AN$1)-COLUMN($A$1),FALSE)=0, VLOOKUP($D99, regions[], COLUMN(AN$1)-COLUMN($A$1), FALSE), VLOOKUP($A99,raw[],COLUMN(AN$1)-COLUMN($A$1),FALSE))</f>
        <v>3.422439258637406E-3</v>
      </c>
      <c r="AN99" s="72">
        <f>IF(VLOOKUP($A99,raw[],COLUMN(AO$1)-COLUMN($A$1),FALSE)=0, VLOOKUP($D99, regions[], COLUMN(AO$1)-COLUMN($A$1), FALSE), VLOOKUP($A99,raw[],COLUMN(AO$1)-COLUMN($A$1),FALSE))</f>
        <v>4.7595238704757313E-3</v>
      </c>
      <c r="AO99" s="72">
        <f>IF(VLOOKUP($A99,raw[],COLUMN(AP$1)-COLUMN($A$1),FALSE)=0, VLOOKUP($D99, regions[], COLUMN(AP$1)-COLUMN($A$1), FALSE), VLOOKUP($A99,raw[],COLUMN(AP$1)-COLUMN($A$1),FALSE))</f>
        <v>6.7924367911430502E-3</v>
      </c>
      <c r="AP99" s="72">
        <f>IF(VLOOKUP($A99,raw[],COLUMN(AQ$1)-COLUMN($A$1),FALSE)=0, VLOOKUP($D99, regions[], COLUMN(AQ$1)-COLUMN($A$1), FALSE), VLOOKUP($A99,raw[],COLUMN(AQ$1)-COLUMN($A$1),FALSE))</f>
        <v>1.0242694670813113E-2</v>
      </c>
      <c r="AQ99" s="72">
        <f>IF(VLOOKUP($A99,raw[],COLUMN(AR$1)-COLUMN($A$1),FALSE)=0, VLOOKUP($D99, regions[], COLUMN(AR$1)-COLUMN($A$1), FALSE), VLOOKUP($A99,raw[],COLUMN(AR$1)-COLUMN($A$1),FALSE))</f>
        <v>1.5274182462903733E-2</v>
      </c>
      <c r="AR99" s="72">
        <f>IF(VLOOKUP($A99,raw[],COLUMN(AS$1)-COLUMN($A$1),FALSE)=0, VLOOKUP($D99, regions[], COLUMN(AS$1)-COLUMN($A$1), FALSE), VLOOKUP($A99,raw[],COLUMN(AS$1)-COLUMN($A$1),FALSE))</f>
        <v>2.5769485758631069E-2</v>
      </c>
      <c r="AS99" s="72">
        <f>IF(VLOOKUP($A99,raw[],COLUMN(AT$1)-COLUMN($A$1),FALSE)=0, VLOOKUP($D99, regions[], COLUMN(AT$1)-COLUMN($A$1), FALSE), VLOOKUP($A99,raw[],COLUMN(AT$1)-COLUMN($A$1),FALSE))</f>
        <v>3.9878393519136877E-2</v>
      </c>
      <c r="AT99" s="72">
        <f>IF(VLOOKUP($A99,raw[],COLUMN(AU$1)-COLUMN($A$1),FALSE)=0, VLOOKUP($D99, regions[], COLUMN(AU$1)-COLUMN($A$1), FALSE), VLOOKUP($A99,raw[],COLUMN(AU$1)-COLUMN($A$1),FALSE))</f>
        <v>6.2565796568882795E-2</v>
      </c>
      <c r="AU99" s="72">
        <f>IF(VLOOKUP($A99,raw[],COLUMN(AV$1)-COLUMN($A$1),FALSE)=0, VLOOKUP($D99, regions[], COLUMN(AV$1)-COLUMN($A$1), FALSE), VLOOKUP($A99,raw[],COLUMN(AV$1)-COLUMN($A$1),FALSE))</f>
        <v>9.315916672397026E-2</v>
      </c>
      <c r="AV99" s="72">
        <f>IF(VLOOKUP($A99,raw[],COLUMN(AW$1)-COLUMN($A$1),FALSE)=0, VLOOKUP($D99, regions[], COLUMN(AW$1)-COLUMN($A$1), FALSE), VLOOKUP($A99,raw[],COLUMN(AW$1)-COLUMN($A$1),FALSE))</f>
        <v>0.12365207423575721</v>
      </c>
      <c r="AW99" s="72">
        <f>IF(VLOOKUP($A99,raw[],COLUMN(AX$1)-COLUMN($A$1),FALSE)=0, VLOOKUP($D99, regions[], COLUMN(AX$1)-COLUMN($A$1), FALSE), VLOOKUP($A99,raw[],COLUMN(AX$1)-COLUMN($A$1),FALSE))</f>
        <v>0.14992852678644919</v>
      </c>
      <c r="AX99" s="72">
        <f>IF(VLOOKUP($A99,raw[],COLUMN(AY$1)-COLUMN($A$1),FALSE)=0, VLOOKUP($D99, regions[], COLUMN(AY$1)-COLUMN($A$1), FALSE), VLOOKUP($A99,raw[],COLUMN(AY$1)-COLUMN($A$1),FALSE))</f>
        <v>76.409000000000006</v>
      </c>
      <c r="AY99" t="str">
        <f t="shared" si="3"/>
        <v>No</v>
      </c>
    </row>
    <row r="100" spans="1:51" x14ac:dyDescent="0.25">
      <c r="A100" s="53" t="s">
        <v>420</v>
      </c>
      <c r="B100" s="54" t="s">
        <v>421</v>
      </c>
      <c r="C100" s="54">
        <v>608</v>
      </c>
      <c r="D100" s="54" t="s">
        <v>260</v>
      </c>
      <c r="E100" s="54" t="s">
        <v>261</v>
      </c>
      <c r="F100" s="54" t="s">
        <v>262</v>
      </c>
      <c r="G100" s="54" t="s">
        <v>212</v>
      </c>
      <c r="H100" s="73">
        <f>VLOOKUP(lmics[[#This Row],[setting]],raw[],8,FALSE)</f>
        <v>109581085</v>
      </c>
      <c r="I100" s="73">
        <f>VLOOKUP(lmics[[#This Row],[setting]],raw[],9,FALSE)</f>
        <v>2254740.40496</v>
      </c>
      <c r="J100" s="67">
        <f>IF(VLOOKUP($A100,raw[],COLUMN(J$1),FALSE)=0, VLOOKUP($D100, regions[], COLUMN(J$1), FALSE), VLOOKUP($A100,raw[],COLUMN(J$1),FALSE))</f>
        <v>0.77700000000000002</v>
      </c>
      <c r="K100" s="77">
        <f>VLOOKUP($A100, raw[], 11, FALSE)</f>
        <v>0.53</v>
      </c>
      <c r="L100" s="77">
        <f>VLOOKUP($A100, raw[], 12, FALSE)</f>
        <v>0.71</v>
      </c>
      <c r="M100" s="77">
        <f>IF(VLOOKUP($A100,raw[],COLUMN(M$1),FALSE)=0, VLOOKUP($D100, regions[], COLUMN(M$1), FALSE), VLOOKUP($A100,raw[],COLUMN(M$1),FALSE))</f>
        <v>3.5000000000000003E-2</v>
      </c>
      <c r="N100" s="68">
        <f>IF(VLOOKUP($A100,raw[],COLUMN(N$1),FALSE)=0, VLOOKUP($D100, regions[], COLUMN(N$1), FALSE), VLOOKUP($A100,raw[],COLUMN(N$1),FALSE))</f>
        <v>0.3337</v>
      </c>
      <c r="O100" s="67">
        <f>IF(VLOOKUP($A100,raw[],COLUMN(O$1),FALSE)=0, VLOOKUP($D100, regions[], COLUMN(O$1), FALSE), VLOOKUP($A100,raw[],COLUMN(O$1),FALSE))</f>
        <v>0.8</v>
      </c>
      <c r="P100" s="68">
        <f>IF(VLOOKUP($A100,raw[],COLUMN(P$1),FALSE)=0, VLOOKUP($D100, regions[], COLUMN(P$1), FALSE), VLOOKUP($A100,raw[],COLUMN(P$1),FALSE))</f>
        <v>0.17499999999999999</v>
      </c>
      <c r="Q100" s="70">
        <f>IF(VLOOKUP($A100,raw[],COLUMN(Q$1),FALSE)=0, VLOOKUP($D100, regions[], COLUMN(Q$1), FALSE), VLOOKUP($A100,raw[],COLUMN(Q$1),FALSE))</f>
        <v>4.8014001046077199</v>
      </c>
      <c r="R100" s="70">
        <f>IF(VLOOKUP($A100,raw[],COLUMN(R$1),FALSE)=0, VLOOKUP($D100, regions[], COLUMN(R$1), FALSE), VLOOKUP($A100,raw[],COLUMN(R$1),FALSE))</f>
        <v>27.126780104607722</v>
      </c>
      <c r="S100" s="70">
        <f>IF(VLOOKUP($A100,raw[],COLUMN(S$1),FALSE)=0, VLOOKUP($D100, regions[], COLUMN(S$1), FALSE), VLOOKUP($A100,raw[],COLUMN(S$1),FALSE))</f>
        <v>63.102564361891346</v>
      </c>
      <c r="T100" s="70">
        <f>IF(VLOOKUP($A100,raw[],COLUMN(U$1)-COLUMN($A$1),FALSE)=0, VLOOKUP($D100, regions[], COLUMN(U$1)-COLUMN($A$1), FALSE), VLOOKUP($A100,raw[],COLUMN(U$1)-COLUMN($A$1),FALSE))</f>
        <v>66.618713945395626</v>
      </c>
      <c r="U100" s="70">
        <f>IF(VLOOKUP($A100,raw[],COLUMN(V$1)-COLUMN($A$1),FALSE)=0, VLOOKUP($D100, regions[], COLUMN(V$1)-COLUMN($A$1), FALSE), VLOOKUP($A100,raw[],COLUMN(V$1)-COLUMN($A$1),FALSE))</f>
        <v>65.0041723785844</v>
      </c>
      <c r="V100" s="70">
        <f>IF(VLOOKUP($A100,raw[],COLUMN(W$1)-COLUMN($A$1),FALSE)=0, VLOOKUP($D100, regions[], COLUMN(W$1)-COLUMN($A$1), FALSE), VLOOKUP($A100,raw[],COLUMN(W$1)-COLUMN($A$1),FALSE))</f>
        <v>1.4258606056861733</v>
      </c>
      <c r="W100" s="70">
        <f>IF(VLOOKUP($A100,raw[],COLUMN(X$1)-COLUMN($A$1),FALSE)=0, VLOOKUP($D100, regions[], COLUMN(X$1)-COLUMN($A$1), FALSE), VLOOKUP($A100,raw[],COLUMN(X$1)-COLUMN($A$1),FALSE))</f>
        <v>2.0558606056861732</v>
      </c>
      <c r="X100" s="70">
        <f>IF(VLOOKUP($A100,raw[],COLUMN(Y$1)-COLUMN($A$1),FALSE)=0, VLOOKUP($D100, regions[], COLUMN(Y$1)-COLUMN($A$1), FALSE), VLOOKUP($A100,raw[],COLUMN(Y$1)-COLUMN($A$1),FALSE))</f>
        <v>1.0060032533679539</v>
      </c>
      <c r="Y100" s="70">
        <f>IF(VLOOKUP($A100,raw[],COLUMN(Z$1)-COLUMN($A$1),FALSE)=0, VLOOKUP($D100, regions[], COLUMN(Z$1)-COLUMN($A$1), FALSE), VLOOKUP($A100,raw[],COLUMN(Z$1)-COLUMN($A$1),FALSE))</f>
        <v>1.6360032533679538</v>
      </c>
      <c r="Z100" s="70">
        <f>IF(VLOOKUP($A100,raw[],COLUMN(AA$1)-COLUMN($A$1),FALSE)=0, VLOOKUP($D100, regions[], COLUMN(AA$1)-COLUMN($A$1), FALSE), VLOOKUP($A100,raw[],COLUMN(AA$1)-COLUMN($A$1),FALSE))</f>
        <v>1.6286615943893681</v>
      </c>
      <c r="AA100" s="70">
        <f>IF(VLOOKUP($A100,raw[],COLUMN(AB$1)-COLUMN($A$1),FALSE)=0, VLOOKUP($D100, regions[], COLUMN(AB$1)-COLUMN($A$1), FALSE), VLOOKUP($A100,raw[],COLUMN(AB$1)-COLUMN($A$1),FALSE))</f>
        <v>1.634308805701953</v>
      </c>
      <c r="AB100" s="70">
        <f>IF(VLOOKUP($A100,raw[],COLUMN(AC$1)-COLUMN($A$1),FALSE)=0, VLOOKUP($D100, regions[], COLUMN(AC$1)-COLUMN($A$1), FALSE), VLOOKUP($A100,raw[],COLUMN(AC$1)-COLUMN($A$1),FALSE))</f>
        <v>2.2643088057019529</v>
      </c>
      <c r="AC100" s="72">
        <f>IF(VLOOKUP($A100,raw[],COLUMN(AD$1)-COLUMN($A$1),FALSE)=0, VLOOKUP($D100, regions[], COLUMN(AD$1)-COLUMN($A$1), FALSE), VLOOKUP($A100,raw[],COLUMN(AD$1)-COLUMN($A$1),FALSE))</f>
        <v>1.9655559999999968E-2</v>
      </c>
      <c r="AD100" s="72">
        <f>IF(VLOOKUP($A100,raw[],COLUMN(AE$1)-COLUMN($A$1),FALSE)=0, VLOOKUP($D100, regions[], COLUMN(AE$1)-COLUMN($A$1), FALSE), VLOOKUP($A100,raw[],COLUMN(AE$1)-COLUMN($A$1),FALSE))</f>
        <v>2.0443376003642061E-3</v>
      </c>
      <c r="AE100" s="72">
        <f>IF(VLOOKUP($A100,raw[],COLUMN(AF$1)-COLUMN($A$1),FALSE)=0, VLOOKUP($D100, regions[], COLUMN(AF$1)-COLUMN($A$1), FALSE), VLOOKUP($A100,raw[],COLUMN(AF$1)-COLUMN($A$1),FALSE))</f>
        <v>6.1298667768243517E-4</v>
      </c>
      <c r="AF100" s="72">
        <f>IF(VLOOKUP($A100,raw[],COLUMN(AG$1)-COLUMN($A$1),FALSE)=0, VLOOKUP($D100, regions[], COLUMN(AG$1)-COLUMN($A$1), FALSE), VLOOKUP($A100,raw[],COLUMN(AG$1)-COLUMN($A$1),FALSE))</f>
        <v>5.320691429917348E-4</v>
      </c>
      <c r="AG100" s="72">
        <f>IF(VLOOKUP($A100,raw[],COLUMN(AH$1)-COLUMN($A$1),FALSE)=0, VLOOKUP($D100, regions[], COLUMN(AH$1)-COLUMN($A$1), FALSE), VLOOKUP($A100,raw[],COLUMN(AH$1)-COLUMN($A$1),FALSE))</f>
        <v>1.1381458381625571E-3</v>
      </c>
      <c r="AH100" s="72">
        <f>IF(VLOOKUP($A100,raw[],COLUMN(AI$1)-COLUMN($A$1),FALSE)=0, VLOOKUP($D100, regions[], COLUMN(AI$1)-COLUMN($A$1), FALSE), VLOOKUP($A100,raw[],COLUMN(AI$1)-COLUMN($A$1),FALSE))</f>
        <v>1.5920150741009446E-3</v>
      </c>
      <c r="AI100" s="72">
        <f>IF(VLOOKUP($A100,raw[],COLUMN(AJ$1)-COLUMN($A$1),FALSE)=0, VLOOKUP($D100, regions[], COLUMN(AJ$1)-COLUMN($A$1), FALSE), VLOOKUP($A100,raw[],COLUMN(AJ$1)-COLUMN($A$1),FALSE))</f>
        <v>1.7398898876981228E-3</v>
      </c>
      <c r="AJ100" s="72">
        <f>IF(VLOOKUP($A100,raw[],COLUMN(AK$1)-COLUMN($A$1),FALSE)=0, VLOOKUP($D100, regions[], COLUMN(AK$1)-COLUMN($A$1), FALSE), VLOOKUP($A100,raw[],COLUMN(AK$1)-COLUMN($A$1),FALSE))</f>
        <v>2.0763306089954213E-3</v>
      </c>
      <c r="AK100" s="72">
        <f>IF(VLOOKUP($A100,raw[],COLUMN(AL$1)-COLUMN($A$1),FALSE)=0, VLOOKUP($D100, regions[], COLUMN(AL$1)-COLUMN($A$1), FALSE), VLOOKUP($A100,raw[],COLUMN(AL$1)-COLUMN($A$1),FALSE))</f>
        <v>2.7556563770900324E-3</v>
      </c>
      <c r="AL100" s="72">
        <f>IF(VLOOKUP($A100,raw[],COLUMN(AM$1)-COLUMN($A$1),FALSE)=0, VLOOKUP($D100, regions[], COLUMN(AM$1)-COLUMN($A$1), FALSE), VLOOKUP($A100,raw[],COLUMN(AM$1)-COLUMN($A$1),FALSE))</f>
        <v>3.8685630787111411E-3</v>
      </c>
      <c r="AM100" s="72">
        <f>IF(VLOOKUP($A100,raw[],COLUMN(AN$1)-COLUMN($A$1),FALSE)=0, VLOOKUP($D100, regions[], COLUMN(AN$1)-COLUMN($A$1), FALSE), VLOOKUP($A100,raw[],COLUMN(AN$1)-COLUMN($A$1),FALSE))</f>
        <v>5.7316624437884853E-3</v>
      </c>
      <c r="AN100" s="72">
        <f>IF(VLOOKUP($A100,raw[],COLUMN(AO$1)-COLUMN($A$1),FALSE)=0, VLOOKUP($D100, regions[], COLUMN(AO$1)-COLUMN($A$1), FALSE), VLOOKUP($A100,raw[],COLUMN(AO$1)-COLUMN($A$1),FALSE))</f>
        <v>8.5754099849576666E-3</v>
      </c>
      <c r="AO100" s="72">
        <f>IF(VLOOKUP($A100,raw[],COLUMN(AP$1)-COLUMN($A$1),FALSE)=0, VLOOKUP($D100, regions[], COLUMN(AP$1)-COLUMN($A$1), FALSE), VLOOKUP($A100,raw[],COLUMN(AP$1)-COLUMN($A$1),FALSE))</f>
        <v>1.2794705988173357E-2</v>
      </c>
      <c r="AP100" s="72">
        <f>IF(VLOOKUP($A100,raw[],COLUMN(AQ$1)-COLUMN($A$1),FALSE)=0, VLOOKUP($D100, regions[], COLUMN(AQ$1)-COLUMN($A$1), FALSE), VLOOKUP($A100,raw[],COLUMN(AQ$1)-COLUMN($A$1),FALSE))</f>
        <v>1.7438643523268835E-2</v>
      </c>
      <c r="AQ100" s="72">
        <f>IF(VLOOKUP($A100,raw[],COLUMN(AR$1)-COLUMN($A$1),FALSE)=0, VLOOKUP($D100, regions[], COLUMN(AR$1)-COLUMN($A$1), FALSE), VLOOKUP($A100,raw[],COLUMN(AR$1)-COLUMN($A$1),FALSE))</f>
        <v>2.3532339127382024E-2</v>
      </c>
      <c r="AR100" s="72">
        <f>IF(VLOOKUP($A100,raw[],COLUMN(AS$1)-COLUMN($A$1),FALSE)=0, VLOOKUP($D100, regions[], COLUMN(AS$1)-COLUMN($A$1), FALSE), VLOOKUP($A100,raw[],COLUMN(AS$1)-COLUMN($A$1),FALSE))</f>
        <v>3.3756875691732344E-2</v>
      </c>
      <c r="AS100" s="72">
        <f>IF(VLOOKUP($A100,raw[],COLUMN(AT$1)-COLUMN($A$1),FALSE)=0, VLOOKUP($D100, regions[], COLUMN(AT$1)-COLUMN($A$1), FALSE), VLOOKUP($A100,raw[],COLUMN(AT$1)-COLUMN($A$1),FALSE))</f>
        <v>5.1734961024254754E-2</v>
      </c>
      <c r="AT100" s="72">
        <f>IF(VLOOKUP($A100,raw[],COLUMN(AU$1)-COLUMN($A$1),FALSE)=0, VLOOKUP($D100, regions[], COLUMN(AU$1)-COLUMN($A$1), FALSE), VLOOKUP($A100,raw[],COLUMN(AU$1)-COLUMN($A$1),FALSE))</f>
        <v>7.5994633645582468E-2</v>
      </c>
      <c r="AU100" s="72">
        <f>IF(VLOOKUP($A100,raw[],COLUMN(AV$1)-COLUMN($A$1),FALSE)=0, VLOOKUP($D100, regions[], COLUMN(AV$1)-COLUMN($A$1), FALSE), VLOOKUP($A100,raw[],COLUMN(AV$1)-COLUMN($A$1),FALSE))</f>
        <v>0.10475854851534883</v>
      </c>
      <c r="AV100" s="72">
        <f>IF(VLOOKUP($A100,raw[],COLUMN(AW$1)-COLUMN($A$1),FALSE)=0, VLOOKUP($D100, regions[], COLUMN(AW$1)-COLUMN($A$1), FALSE), VLOOKUP($A100,raw[],COLUMN(AW$1)-COLUMN($A$1),FALSE))</f>
        <v>0.13224402180451308</v>
      </c>
      <c r="AW100" s="72">
        <f>IF(VLOOKUP($A100,raw[],COLUMN(AX$1)-COLUMN($A$1),FALSE)=0, VLOOKUP($D100, regions[], COLUMN(AX$1)-COLUMN($A$1), FALSE), VLOOKUP($A100,raw[],COLUMN(AX$1)-COLUMN($A$1),FALSE))</f>
        <v>0.15679146956316309</v>
      </c>
      <c r="AX100" s="72">
        <f>IF(VLOOKUP($A100,raw[],COLUMN(AY$1)-COLUMN($A$1),FALSE)=0, VLOOKUP($D100, regions[], COLUMN(AY$1)-COLUMN($A$1), FALSE), VLOOKUP($A100,raw[],COLUMN(AY$1)-COLUMN($A$1),FALSE))</f>
        <v>71.034999999999997</v>
      </c>
      <c r="AY100" t="str">
        <f t="shared" si="3"/>
        <v>No</v>
      </c>
    </row>
    <row r="101" spans="1:51" x14ac:dyDescent="0.25">
      <c r="A101" s="55" t="s">
        <v>422</v>
      </c>
      <c r="B101" s="56" t="s">
        <v>423</v>
      </c>
      <c r="C101" s="56">
        <v>642</v>
      </c>
      <c r="D101" s="56" t="s">
        <v>201</v>
      </c>
      <c r="E101" s="56" t="s">
        <v>202</v>
      </c>
      <c r="F101" s="56" t="s">
        <v>203</v>
      </c>
      <c r="G101" s="56" t="s">
        <v>204</v>
      </c>
      <c r="H101" s="74">
        <f>VLOOKUP(lmics[[#This Row],[setting]],raw[],8,FALSE)</f>
        <v>19237682</v>
      </c>
      <c r="I101" s="74">
        <f>VLOOKUP(lmics[[#This Row],[setting]],raw[],9,FALSE)</f>
        <v>188221.48068800001</v>
      </c>
      <c r="J101" s="67">
        <f>IF(VLOOKUP($A101,raw[],COLUMN(J$1),FALSE)=0, VLOOKUP($D101, regions[], COLUMN(J$1), FALSE), VLOOKUP($A101,raw[],COLUMN(J$1),FALSE))</f>
        <v>0.94900000000000007</v>
      </c>
      <c r="K101" s="77">
        <f>VLOOKUP($A101, raw[], 11, FALSE)</f>
        <v>0.97</v>
      </c>
      <c r="L101" s="77">
        <f>VLOOKUP($A101, raw[], 12, FALSE)</f>
        <v>0.87</v>
      </c>
      <c r="M101" s="77">
        <f>IF(VLOOKUP($A101,raw[],COLUMN(M$1),FALSE)=0, VLOOKUP($D101, regions[], COLUMN(M$1), FALSE), VLOOKUP($A101,raw[],COLUMN(M$1),FALSE))</f>
        <v>4.0999999999999995E-2</v>
      </c>
      <c r="N101" s="68">
        <f>IF(VLOOKUP($A101,raw[],COLUMN(N$1),FALSE)=0, VLOOKUP($D101, regions[], COLUMN(N$1), FALSE), VLOOKUP($A101,raw[],COLUMN(N$1),FALSE))</f>
        <v>0.29652203627996709</v>
      </c>
      <c r="O101" s="67">
        <f>IF(VLOOKUP($A101,raw[],COLUMN(O$1),FALSE)=0, VLOOKUP($D101, regions[], COLUMN(O$1), FALSE), VLOOKUP($A101,raw[],COLUMN(O$1),FALSE))</f>
        <v>0.8</v>
      </c>
      <c r="P101" s="68">
        <f>IF(VLOOKUP($A101,raw[],COLUMN(P$1),FALSE)=0, VLOOKUP($D101, regions[], COLUMN(P$1), FALSE), VLOOKUP($A101,raw[],COLUMN(P$1),FALSE))</f>
        <v>0.17499999999999999</v>
      </c>
      <c r="Q101" s="70">
        <f>IF(VLOOKUP($A101,raw[],COLUMN(Q$1),FALSE)=0, VLOOKUP($D101, regions[], COLUMN(Q$1), FALSE), VLOOKUP($A101,raw[],COLUMN(Q$1),FALSE))</f>
        <v>13.583431703703701</v>
      </c>
      <c r="R101" s="70">
        <f>IF(VLOOKUP($A101,raw[],COLUMN(R$1),FALSE)=0, VLOOKUP($D101, regions[], COLUMN(R$1), FALSE), VLOOKUP($A101,raw[],COLUMN(R$1),FALSE))</f>
        <v>35.908811703703705</v>
      </c>
      <c r="S101" s="70">
        <f>IF(VLOOKUP($A101,raw[],COLUMN(S$1),FALSE)=0, VLOOKUP($D101, regions[], COLUMN(S$1), FALSE), VLOOKUP($A101,raw[],COLUMN(S$1),FALSE))</f>
        <v>110.06974821114966</v>
      </c>
      <c r="T101" s="70">
        <f>IF(VLOOKUP($A101,raw[],COLUMN(U$1)-COLUMN($A$1),FALSE)=0, VLOOKUP($D101, regions[], COLUMN(U$1)-COLUMN($A$1), FALSE), VLOOKUP($A101,raw[],COLUMN(U$1)-COLUMN($A$1),FALSE))</f>
        <v>133.45993492597597</v>
      </c>
      <c r="U101" s="70">
        <f>IF(VLOOKUP($A101,raw[],COLUMN(V$1)-COLUMN($A$1),FALSE)=0, VLOOKUP($D101, regions[], COLUMN(V$1)-COLUMN($A$1), FALSE), VLOOKUP($A101,raw[],COLUMN(V$1)-COLUMN($A$1),FALSE))</f>
        <v>122.71965559208999</v>
      </c>
      <c r="V101" s="70">
        <f>IF(VLOOKUP($A101,raw[],COLUMN(W$1)-COLUMN($A$1),FALSE)=0, VLOOKUP($D101, regions[], COLUMN(W$1)-COLUMN($A$1), FALSE), VLOOKUP($A101,raw[],COLUMN(W$1)-COLUMN($A$1),FALSE))</f>
        <v>4.3723346525692088</v>
      </c>
      <c r="W101" s="70">
        <f>IF(VLOOKUP($A101,raw[],COLUMN(X$1)-COLUMN($A$1),FALSE)=0, VLOOKUP($D101, regions[], COLUMN(X$1)-COLUMN($A$1), FALSE), VLOOKUP($A101,raw[],COLUMN(X$1)-COLUMN($A$1),FALSE))</f>
        <v>8.4423346525692082</v>
      </c>
      <c r="X101" s="70">
        <f>IF(VLOOKUP($A101,raw[],COLUMN(Y$1)-COLUMN($A$1),FALSE)=0, VLOOKUP($D101, regions[], COLUMN(Y$1)-COLUMN($A$1), FALSE), VLOOKUP($A101,raw[],COLUMN(Y$1)-COLUMN($A$1),FALSE))</f>
        <v>3.9311170442037673</v>
      </c>
      <c r="Y101" s="70">
        <f>IF(VLOOKUP($A101,raw[],COLUMN(Z$1)-COLUMN($A$1),FALSE)=0, VLOOKUP($D101, regions[], COLUMN(Z$1)-COLUMN($A$1), FALSE), VLOOKUP($A101,raw[],COLUMN(Z$1)-COLUMN($A$1),FALSE))</f>
        <v>8.0011170442037667</v>
      </c>
      <c r="Z101" s="70">
        <f>IF(VLOOKUP($A101,raw[],COLUMN(AA$1)-COLUMN($A$1),FALSE)=0, VLOOKUP($D101, regions[], COLUMN(AA$1)-COLUMN($A$1), FALSE), VLOOKUP($A101,raw[],COLUMN(AA$1)-COLUMN($A$1),FALSE))</f>
        <v>7.9853305548730065</v>
      </c>
      <c r="AA101" s="70">
        <f>IF(VLOOKUP($A101,raw[],COLUMN(AB$1)-COLUMN($A$1),FALSE)=0, VLOOKUP($D101, regions[], COLUMN(AB$1)-COLUMN($A$1), FALSE), VLOOKUP($A101,raw[],COLUMN(AB$1)-COLUMN($A$1),FALSE))</f>
        <v>4.5883982482192156</v>
      </c>
      <c r="AB101" s="70">
        <f>IF(VLOOKUP($A101,raw[],COLUMN(AC$1)-COLUMN($A$1),FALSE)=0, VLOOKUP($D101, regions[], COLUMN(AC$1)-COLUMN($A$1), FALSE), VLOOKUP($A101,raw[],COLUMN(AC$1)-COLUMN($A$1),FALSE))</f>
        <v>8.6583982482192159</v>
      </c>
      <c r="AC101" s="72">
        <f>IF(VLOOKUP($A101,raw[],COLUMN(AD$1)-COLUMN($A$1),FALSE)=0, VLOOKUP($D101, regions[], COLUMN(AD$1)-COLUMN($A$1), FALSE), VLOOKUP($A101,raw[],COLUMN(AD$1)-COLUMN($A$1),FALSE))</f>
        <v>6.6842399999999906E-3</v>
      </c>
      <c r="AD101" s="72">
        <f>IF(VLOOKUP($A101,raw[],COLUMN(AE$1)-COLUMN($A$1),FALSE)=0, VLOOKUP($D101, regions[], COLUMN(AE$1)-COLUMN($A$1), FALSE), VLOOKUP($A101,raw[],COLUMN(AE$1)-COLUMN($A$1),FALSE))</f>
        <v>3.0318405498771953E-4</v>
      </c>
      <c r="AE101" s="72">
        <f>IF(VLOOKUP($A101,raw[],COLUMN(AF$1)-COLUMN($A$1),FALSE)=0, VLOOKUP($D101, regions[], COLUMN(AF$1)-COLUMN($A$1), FALSE), VLOOKUP($A101,raw[],COLUMN(AF$1)-COLUMN($A$1),FALSE))</f>
        <v>1.425041970852647E-4</v>
      </c>
      <c r="AF101" s="72">
        <f>IF(VLOOKUP($A101,raw[],COLUMN(AG$1)-COLUMN($A$1),FALSE)=0, VLOOKUP($D101, regions[], COLUMN(AG$1)-COLUMN($A$1), FALSE), VLOOKUP($A101,raw[],COLUMN(AG$1)-COLUMN($A$1),FALSE))</f>
        <v>1.9484080676153404E-4</v>
      </c>
      <c r="AG101" s="72">
        <f>IF(VLOOKUP($A101,raw[],COLUMN(AH$1)-COLUMN($A$1),FALSE)=0, VLOOKUP($D101, regions[], COLUMN(AH$1)-COLUMN($A$1), FALSE), VLOOKUP($A101,raw[],COLUMN(AH$1)-COLUMN($A$1),FALSE))</f>
        <v>3.6115118315283815E-4</v>
      </c>
      <c r="AH101" s="72">
        <f>IF(VLOOKUP($A101,raw[],COLUMN(AI$1)-COLUMN($A$1),FALSE)=0, VLOOKUP($D101, regions[], COLUMN(AI$1)-COLUMN($A$1), FALSE), VLOOKUP($A101,raw[],COLUMN(AI$1)-COLUMN($A$1),FALSE))</f>
        <v>4.6925407599540003E-4</v>
      </c>
      <c r="AI101" s="72">
        <f>IF(VLOOKUP($A101,raw[],COLUMN(AJ$1)-COLUMN($A$1),FALSE)=0, VLOOKUP($D101, regions[], COLUMN(AJ$1)-COLUMN($A$1), FALSE), VLOOKUP($A101,raw[],COLUMN(AJ$1)-COLUMN($A$1),FALSE))</f>
        <v>6.5122811246581824E-4</v>
      </c>
      <c r="AJ101" s="72">
        <f>IF(VLOOKUP($A101,raw[],COLUMN(AK$1)-COLUMN($A$1),FALSE)=0, VLOOKUP($D101, regions[], COLUMN(AK$1)-COLUMN($A$1), FALSE), VLOOKUP($A101,raw[],COLUMN(AK$1)-COLUMN($A$1),FALSE))</f>
        <v>7.452833973323812E-4</v>
      </c>
      <c r="AK101" s="72">
        <f>IF(VLOOKUP($A101,raw[],COLUMN(AL$1)-COLUMN($A$1),FALSE)=0, VLOOKUP($D101, regions[], COLUMN(AL$1)-COLUMN($A$1), FALSE), VLOOKUP($A101,raw[],COLUMN(AL$1)-COLUMN($A$1),FALSE))</f>
        <v>1.2024848958624565E-3</v>
      </c>
      <c r="AL101" s="72">
        <f>IF(VLOOKUP($A101,raw[],COLUMN(AM$1)-COLUMN($A$1),FALSE)=0, VLOOKUP($D101, regions[], COLUMN(AM$1)-COLUMN($A$1), FALSE), VLOOKUP($A101,raw[],COLUMN(AM$1)-COLUMN($A$1),FALSE))</f>
        <v>2.244420495152142E-3</v>
      </c>
      <c r="AM101" s="72">
        <f>IF(VLOOKUP($A101,raw[],COLUMN(AN$1)-COLUMN($A$1),FALSE)=0, VLOOKUP($D101, regions[], COLUMN(AN$1)-COLUMN($A$1), FALSE), VLOOKUP($A101,raw[],COLUMN(AN$1)-COLUMN($A$1),FALSE))</f>
        <v>3.5371117722346442E-3</v>
      </c>
      <c r="AN101" s="72">
        <f>IF(VLOOKUP($A101,raw[],COLUMN(AO$1)-COLUMN($A$1),FALSE)=0, VLOOKUP($D101, regions[], COLUMN(AO$1)-COLUMN($A$1), FALSE), VLOOKUP($A101,raw[],COLUMN(AO$1)-COLUMN($A$1),FALSE))</f>
        <v>6.3403521554464513E-3</v>
      </c>
      <c r="AO101" s="72">
        <f>IF(VLOOKUP($A101,raw[],COLUMN(AP$1)-COLUMN($A$1),FALSE)=0, VLOOKUP($D101, regions[], COLUMN(AP$1)-COLUMN($A$1), FALSE), VLOOKUP($A101,raw[],COLUMN(AP$1)-COLUMN($A$1),FALSE))</f>
        <v>1.0636469267600703E-2</v>
      </c>
      <c r="AP101" s="72">
        <f>IF(VLOOKUP($A101,raw[],COLUMN(AQ$1)-COLUMN($A$1),FALSE)=0, VLOOKUP($D101, regions[], COLUMN(AQ$1)-COLUMN($A$1), FALSE), VLOOKUP($A101,raw[],COLUMN(AQ$1)-COLUMN($A$1),FALSE))</f>
        <v>1.5360327551154048E-2</v>
      </c>
      <c r="AQ101" s="72">
        <f>IF(VLOOKUP($A101,raw[],COLUMN(AR$1)-COLUMN($A$1),FALSE)=0, VLOOKUP($D101, regions[], COLUMN(AR$1)-COLUMN($A$1), FALSE), VLOOKUP($A101,raw[],COLUMN(AR$1)-COLUMN($A$1),FALSE))</f>
        <v>1.9967948167314984E-2</v>
      </c>
      <c r="AR101" s="72">
        <f>IF(VLOOKUP($A101,raw[],COLUMN(AS$1)-COLUMN($A$1),FALSE)=0, VLOOKUP($D101, regions[], COLUMN(AS$1)-COLUMN($A$1), FALSE), VLOOKUP($A101,raw[],COLUMN(AS$1)-COLUMN($A$1),FALSE))</f>
        <v>2.892221027925896E-2</v>
      </c>
      <c r="AS101" s="72">
        <f>IF(VLOOKUP($A101,raw[],COLUMN(AT$1)-COLUMN($A$1),FALSE)=0, VLOOKUP($D101, regions[], COLUMN(AT$1)-COLUMN($A$1), FALSE), VLOOKUP($A101,raw[],COLUMN(AT$1)-COLUMN($A$1),FALSE))</f>
        <v>4.6247457209238875E-2</v>
      </c>
      <c r="AT101" s="72">
        <f>IF(VLOOKUP($A101,raw[],COLUMN(AU$1)-COLUMN($A$1),FALSE)=0, VLOOKUP($D101, regions[], COLUMN(AU$1)-COLUMN($A$1), FALSE), VLOOKUP($A101,raw[],COLUMN(AU$1)-COLUMN($A$1),FALSE))</f>
        <v>7.3521818180244697E-2</v>
      </c>
      <c r="AU101" s="72">
        <f>IF(VLOOKUP($A101,raw[],COLUMN(AV$1)-COLUMN($A$1),FALSE)=0, VLOOKUP($D101, regions[], COLUMN(AV$1)-COLUMN($A$1), FALSE), VLOOKUP($A101,raw[],COLUMN(AV$1)-COLUMN($A$1),FALSE))</f>
        <v>0.10865451213048771</v>
      </c>
      <c r="AV101" s="72">
        <f>IF(VLOOKUP($A101,raw[],COLUMN(AW$1)-COLUMN($A$1),FALSE)=0, VLOOKUP($D101, regions[], COLUMN(AW$1)-COLUMN($A$1), FALSE), VLOOKUP($A101,raw[],COLUMN(AW$1)-COLUMN($A$1),FALSE))</f>
        <v>0.1428225858078819</v>
      </c>
      <c r="AW101" s="72">
        <f>IF(VLOOKUP($A101,raw[],COLUMN(AX$1)-COLUMN($A$1),FALSE)=0, VLOOKUP($D101, regions[], COLUMN(AX$1)-COLUMN($A$1), FALSE), VLOOKUP($A101,raw[],COLUMN(AX$1)-COLUMN($A$1),FALSE))</f>
        <v>0.16836792437782133</v>
      </c>
      <c r="AX101" s="72">
        <f>IF(VLOOKUP($A101,raw[],COLUMN(AY$1)-COLUMN($A$1),FALSE)=0, VLOOKUP($D101, regions[], COLUMN(AY$1)-COLUMN($A$1), FALSE), VLOOKUP($A101,raw[],COLUMN(AY$1)-COLUMN($A$1),FALSE))</f>
        <v>75.826999999999998</v>
      </c>
      <c r="AY101" t="str">
        <f t="shared" si="3"/>
        <v>No</v>
      </c>
    </row>
    <row r="102" spans="1:51" x14ac:dyDescent="0.25">
      <c r="A102" s="53" t="s">
        <v>424</v>
      </c>
      <c r="B102" s="54" t="s">
        <v>425</v>
      </c>
      <c r="C102" s="54">
        <v>643</v>
      </c>
      <c r="D102" s="54" t="s">
        <v>201</v>
      </c>
      <c r="E102" s="54" t="s">
        <v>229</v>
      </c>
      <c r="F102" s="54" t="s">
        <v>203</v>
      </c>
      <c r="G102" s="54" t="s">
        <v>204</v>
      </c>
      <c r="H102" s="73">
        <f>VLOOKUP(lmics[[#This Row],[setting]],raw[],8,FALSE)</f>
        <v>145934460</v>
      </c>
      <c r="I102" s="73">
        <f>VLOOKUP(lmics[[#This Row],[setting]],raw[],9,FALSE)</f>
        <v>1863583.0541999999</v>
      </c>
      <c r="J102" s="67">
        <f>IF(VLOOKUP($A102,raw[],COLUMN(J$1),FALSE)=0, VLOOKUP($D102, regions[], COLUMN(J$1), FALSE), VLOOKUP($A102,raw[],COLUMN(J$1),FALSE))</f>
        <v>0.98699999999999999</v>
      </c>
      <c r="K102" s="77">
        <f>VLOOKUP($A102, raw[], 11, FALSE)</f>
        <v>0</v>
      </c>
      <c r="L102" s="77">
        <f>VLOOKUP($A102, raw[], 12, FALSE)</f>
        <v>0.97</v>
      </c>
      <c r="M102" s="77">
        <f>IF(VLOOKUP($A102,raw[],COLUMN(M$1),FALSE)=0, VLOOKUP($D102, regions[], COLUMN(M$1), FALSE), VLOOKUP($A102,raw[],COLUMN(M$1),FALSE))</f>
        <v>3.2000000000000001E-2</v>
      </c>
      <c r="N102" s="68">
        <f>IF(VLOOKUP($A102,raw[],COLUMN(N$1),FALSE)=0, VLOOKUP($D102, regions[], COLUMN(N$1), FALSE), VLOOKUP($A102,raw[],COLUMN(N$1),FALSE))</f>
        <v>0.28539878311890399</v>
      </c>
      <c r="O102" s="67">
        <f>IF(VLOOKUP($A102,raw[],COLUMN(O$1),FALSE)=0, VLOOKUP($D102, regions[], COLUMN(O$1), FALSE), VLOOKUP($A102,raw[],COLUMN(O$1),FALSE))</f>
        <v>0.8</v>
      </c>
      <c r="P102" s="68">
        <f>IF(VLOOKUP($A102,raw[],COLUMN(P$1),FALSE)=0, VLOOKUP($D102, regions[], COLUMN(P$1), FALSE), VLOOKUP($A102,raw[],COLUMN(P$1),FALSE))</f>
        <v>0.17499999999999999</v>
      </c>
      <c r="Q102" s="70">
        <f>IF(VLOOKUP($A102,raw[],COLUMN(Q$1),FALSE)=0, VLOOKUP($D102, regions[], COLUMN(Q$1), FALSE), VLOOKUP($A102,raw[],COLUMN(Q$1),FALSE))</f>
        <v>17.878843174790699</v>
      </c>
      <c r="R102" s="70">
        <f>IF(VLOOKUP($A102,raw[],COLUMN(R$1),FALSE)=0, VLOOKUP($D102, regions[], COLUMN(R$1), FALSE), VLOOKUP($A102,raw[],COLUMN(R$1),FALSE))</f>
        <v>40.204223174790705</v>
      </c>
      <c r="S102" s="70">
        <f>IF(VLOOKUP($A102,raw[],COLUMN(S$1),FALSE)=0, VLOOKUP($D102, regions[], COLUMN(S$1), FALSE), VLOOKUP($A102,raw[],COLUMN(S$1),FALSE))</f>
        <v>138.68971840835459</v>
      </c>
      <c r="T102" s="70">
        <f>IF(VLOOKUP($A102,raw[],COLUMN(U$1)-COLUMN($A$1),FALSE)=0, VLOOKUP($D102, regions[], COLUMN(U$1)-COLUMN($A$1), FALSE), VLOOKUP($A102,raw[],COLUMN(U$1)-COLUMN($A$1),FALSE))</f>
        <v>174.73998776888612</v>
      </c>
      <c r="U102" s="70">
        <f>IF(VLOOKUP($A102,raw[],COLUMN(V$1)-COLUMN($A$1),FALSE)=0, VLOOKUP($D102, regions[], COLUMN(V$1)-COLUMN($A$1), FALSE), VLOOKUP($A102,raw[],COLUMN(V$1)-COLUMN($A$1),FALSE))</f>
        <v>158.18646608414846</v>
      </c>
      <c r="V102" s="70">
        <f>IF(VLOOKUP($A102,raw[],COLUMN(W$1)-COLUMN($A$1),FALSE)=0, VLOOKUP($D102, regions[], COLUMN(W$1)-COLUMN($A$1), FALSE), VLOOKUP($A102,raw[],COLUMN(W$1)-COLUMN($A$1),FALSE))</f>
        <v>4.0883492383646933</v>
      </c>
      <c r="W102" s="70">
        <f>IF(VLOOKUP($A102,raw[],COLUMN(X$1)-COLUMN($A$1),FALSE)=0, VLOOKUP($D102, regions[], COLUMN(X$1)-COLUMN($A$1), FALSE), VLOOKUP($A102,raw[],COLUMN(X$1)-COLUMN($A$1),FALSE))</f>
        <v>8.1583492383646927</v>
      </c>
      <c r="X102" s="70">
        <f>IF(VLOOKUP($A102,raw[],COLUMN(Y$1)-COLUMN($A$1),FALSE)=0, VLOOKUP($D102, regions[], COLUMN(Y$1)-COLUMN($A$1), FALSE), VLOOKUP($A102,raw[],COLUMN(Y$1)-COLUMN($A$1),FALSE))</f>
        <v>3.655652659121837</v>
      </c>
      <c r="Y102" s="70">
        <f>IF(VLOOKUP($A102,raw[],COLUMN(Z$1)-COLUMN($A$1),FALSE)=0, VLOOKUP($D102, regions[], COLUMN(Z$1)-COLUMN($A$1), FALSE), VLOOKUP($A102,raw[],COLUMN(Z$1)-COLUMN($A$1),FALSE))</f>
        <v>7.7256526591218373</v>
      </c>
      <c r="Z102" s="70">
        <f>IF(VLOOKUP($A102,raw[],COLUMN(AA$1)-COLUMN($A$1),FALSE)=0, VLOOKUP($D102, regions[], COLUMN(AA$1)-COLUMN($A$1), FALSE), VLOOKUP($A102,raw[],COLUMN(AA$1)-COLUMN($A$1),FALSE))</f>
        <v>7.713152125203715</v>
      </c>
      <c r="AA102" s="70">
        <f>IF(VLOOKUP($A102,raw[],COLUMN(AB$1)-COLUMN($A$1),FALSE)=0, VLOOKUP($D102, regions[], COLUMN(AB$1)-COLUMN($A$1), FALSE), VLOOKUP($A102,raw[],COLUMN(AB$1)-COLUMN($A$1),FALSE))</f>
        <v>4.3013749018927347</v>
      </c>
      <c r="AB102" s="70">
        <f>IF(VLOOKUP($A102,raw[],COLUMN(AC$1)-COLUMN($A$1),FALSE)=0, VLOOKUP($D102, regions[], COLUMN(AC$1)-COLUMN($A$1), FALSE), VLOOKUP($A102,raw[],COLUMN(AC$1)-COLUMN($A$1),FALSE))</f>
        <v>8.3713749018927359</v>
      </c>
      <c r="AC102" s="72">
        <f>IF(VLOOKUP($A102,raw[],COLUMN(AD$1)-COLUMN($A$1),FALSE)=0, VLOOKUP($D102, regions[], COLUMN(AD$1)-COLUMN($A$1), FALSE), VLOOKUP($A102,raw[],COLUMN(AD$1)-COLUMN($A$1),FALSE))</f>
        <v>5.7585300000000282E-3</v>
      </c>
      <c r="AD102" s="72">
        <f>IF(VLOOKUP($A102,raw[],COLUMN(AE$1)-COLUMN($A$1),FALSE)=0, VLOOKUP($D102, regions[], COLUMN(AE$1)-COLUMN($A$1), FALSE), VLOOKUP($A102,raw[],COLUMN(AE$1)-COLUMN($A$1),FALSE))</f>
        <v>3.4070948579522677E-4</v>
      </c>
      <c r="AE102" s="72">
        <f>IF(VLOOKUP($A102,raw[],COLUMN(AF$1)-COLUMN($A$1),FALSE)=0, VLOOKUP($D102, regions[], COLUMN(AF$1)-COLUMN($A$1), FALSE), VLOOKUP($A102,raw[],COLUMN(AF$1)-COLUMN($A$1),FALSE))</f>
        <v>1.9714841922312582E-4</v>
      </c>
      <c r="AF102" s="72">
        <f>IF(VLOOKUP($A102,raw[],COLUMN(AG$1)-COLUMN($A$1),FALSE)=0, VLOOKUP($D102, regions[], COLUMN(AG$1)-COLUMN($A$1), FALSE), VLOOKUP($A102,raw[],COLUMN(AG$1)-COLUMN($A$1),FALSE))</f>
        <v>2.5998183802878542E-4</v>
      </c>
      <c r="AG102" s="72">
        <f>IF(VLOOKUP($A102,raw[],COLUMN(AH$1)-COLUMN($A$1),FALSE)=0, VLOOKUP($D102, regions[], COLUMN(AH$1)-COLUMN($A$1), FALSE), VLOOKUP($A102,raw[],COLUMN(AH$1)-COLUMN($A$1),FALSE))</f>
        <v>6.2632596472367275E-4</v>
      </c>
      <c r="AH102" s="72">
        <f>IF(VLOOKUP($A102,raw[],COLUMN(AI$1)-COLUMN($A$1),FALSE)=0, VLOOKUP($D102, regions[], COLUMN(AI$1)-COLUMN($A$1), FALSE), VLOOKUP($A102,raw[],COLUMN(AI$1)-COLUMN($A$1),FALSE))</f>
        <v>1.1106532732919165E-3</v>
      </c>
      <c r="AI102" s="72">
        <f>IF(VLOOKUP($A102,raw[],COLUMN(AJ$1)-COLUMN($A$1),FALSE)=0, VLOOKUP($D102, regions[], COLUMN(AJ$1)-COLUMN($A$1), FALSE), VLOOKUP($A102,raw[],COLUMN(AJ$1)-COLUMN($A$1),FALSE))</f>
        <v>1.7836849479177434E-3</v>
      </c>
      <c r="AJ102" s="72">
        <f>IF(VLOOKUP($A102,raw[],COLUMN(AK$1)-COLUMN($A$1),FALSE)=0, VLOOKUP($D102, regions[], COLUMN(AK$1)-COLUMN($A$1), FALSE), VLOOKUP($A102,raw[],COLUMN(AK$1)-COLUMN($A$1),FALSE))</f>
        <v>2.9934016833225176E-3</v>
      </c>
      <c r="AK102" s="72">
        <f>IF(VLOOKUP($A102,raw[],COLUMN(AL$1)-COLUMN($A$1),FALSE)=0, VLOOKUP($D102, regions[], COLUMN(AL$1)-COLUMN($A$1), FALSE), VLOOKUP($A102,raw[],COLUMN(AL$1)-COLUMN($A$1),FALSE))</f>
        <v>4.3898125745385399E-3</v>
      </c>
      <c r="AL102" s="72">
        <f>IF(VLOOKUP($A102,raw[],COLUMN(AM$1)-COLUMN($A$1),FALSE)=0, VLOOKUP($D102, regions[], COLUMN(AM$1)-COLUMN($A$1), FALSE), VLOOKUP($A102,raw[],COLUMN(AM$1)-COLUMN($A$1),FALSE))</f>
        <v>5.2677703075963362E-3</v>
      </c>
      <c r="AM102" s="72">
        <f>IF(VLOOKUP($A102,raw[],COLUMN(AN$1)-COLUMN($A$1),FALSE)=0, VLOOKUP($D102, regions[], COLUMN(AN$1)-COLUMN($A$1), FALSE), VLOOKUP($A102,raw[],COLUMN(AN$1)-COLUMN($A$1),FALSE))</f>
        <v>6.4730403752590159E-3</v>
      </c>
      <c r="AN102" s="72">
        <f>IF(VLOOKUP($A102,raw[],COLUMN(AO$1)-COLUMN($A$1),FALSE)=0, VLOOKUP($D102, regions[], COLUMN(AO$1)-COLUMN($A$1), FALSE), VLOOKUP($A102,raw[],COLUMN(AO$1)-COLUMN($A$1),FALSE))</f>
        <v>8.8325844058803841E-3</v>
      </c>
      <c r="AO102" s="72">
        <f>IF(VLOOKUP($A102,raw[],COLUMN(AP$1)-COLUMN($A$1),FALSE)=0, VLOOKUP($D102, regions[], COLUMN(AP$1)-COLUMN($A$1), FALSE), VLOOKUP($A102,raw[],COLUMN(AP$1)-COLUMN($A$1),FALSE))</f>
        <v>1.233125297976251E-2</v>
      </c>
      <c r="AP102" s="72">
        <f>IF(VLOOKUP($A102,raw[],COLUMN(AQ$1)-COLUMN($A$1),FALSE)=0, VLOOKUP($D102, regions[], COLUMN(AQ$1)-COLUMN($A$1), FALSE), VLOOKUP($A102,raw[],COLUMN(AQ$1)-COLUMN($A$1),FALSE))</f>
        <v>1.7735855405113039E-2</v>
      </c>
      <c r="AQ102" s="72">
        <f>IF(VLOOKUP($A102,raw[],COLUMN(AR$1)-COLUMN($A$1),FALSE)=0, VLOOKUP($D102, regions[], COLUMN(AR$1)-COLUMN($A$1), FALSE), VLOOKUP($A102,raw[],COLUMN(AR$1)-COLUMN($A$1),FALSE))</f>
        <v>2.3978999371009283E-2</v>
      </c>
      <c r="AR102" s="72">
        <f>IF(VLOOKUP($A102,raw[],COLUMN(AS$1)-COLUMN($A$1),FALSE)=0, VLOOKUP($D102, regions[], COLUMN(AS$1)-COLUMN($A$1), FALSE), VLOOKUP($A102,raw[],COLUMN(AS$1)-COLUMN($A$1),FALSE))</f>
        <v>3.3078415956344559E-2</v>
      </c>
      <c r="AS102" s="72">
        <f>IF(VLOOKUP($A102,raw[],COLUMN(AT$1)-COLUMN($A$1),FALSE)=0, VLOOKUP($D102, regions[], COLUMN(AT$1)-COLUMN($A$1), FALSE), VLOOKUP($A102,raw[],COLUMN(AT$1)-COLUMN($A$1),FALSE))</f>
        <v>4.968099062017043E-2</v>
      </c>
      <c r="AT102" s="72">
        <f>IF(VLOOKUP($A102,raw[],COLUMN(AU$1)-COLUMN($A$1),FALSE)=0, VLOOKUP($D102, regions[], COLUMN(AU$1)-COLUMN($A$1), FALSE), VLOOKUP($A102,raw[],COLUMN(AU$1)-COLUMN($A$1),FALSE))</f>
        <v>7.4722581691289675E-2</v>
      </c>
      <c r="AU102" s="72">
        <f>IF(VLOOKUP($A102,raw[],COLUMN(AV$1)-COLUMN($A$1),FALSE)=0, VLOOKUP($D102, regions[], COLUMN(AV$1)-COLUMN($A$1), FALSE), VLOOKUP($A102,raw[],COLUMN(AV$1)-COLUMN($A$1),FALSE))</f>
        <v>0.10067078718006313</v>
      </c>
      <c r="AV102" s="72">
        <f>IF(VLOOKUP($A102,raw[],COLUMN(AW$1)-COLUMN($A$1),FALSE)=0, VLOOKUP($D102, regions[], COLUMN(AW$1)-COLUMN($A$1), FALSE), VLOOKUP($A102,raw[],COLUMN(AW$1)-COLUMN($A$1),FALSE))</f>
        <v>0.13171700181276355</v>
      </c>
      <c r="AW102" s="72">
        <f>IF(VLOOKUP($A102,raw[],COLUMN(AX$1)-COLUMN($A$1),FALSE)=0, VLOOKUP($D102, regions[], COLUMN(AX$1)-COLUMN($A$1), FALSE), VLOOKUP($A102,raw[],COLUMN(AX$1)-COLUMN($A$1),FALSE))</f>
        <v>0.15851054982588345</v>
      </c>
      <c r="AX102" s="72">
        <f>IF(VLOOKUP($A102,raw[],COLUMN(AY$1)-COLUMN($A$1),FALSE)=0, VLOOKUP($D102, regions[], COLUMN(AY$1)-COLUMN($A$1), FALSE), VLOOKUP($A102,raw[],COLUMN(AY$1)-COLUMN($A$1),FALSE))</f>
        <v>72.289000000000001</v>
      </c>
      <c r="AY102" t="str">
        <f t="shared" si="3"/>
        <v>Yes</v>
      </c>
    </row>
    <row r="103" spans="1:51" x14ac:dyDescent="0.25">
      <c r="A103" s="55" t="s">
        <v>426</v>
      </c>
      <c r="B103" s="56" t="s">
        <v>427</v>
      </c>
      <c r="C103" s="56">
        <v>646</v>
      </c>
      <c r="D103" s="56" t="s">
        <v>207</v>
      </c>
      <c r="E103" s="56" t="s">
        <v>255</v>
      </c>
      <c r="F103" s="56" t="s">
        <v>211</v>
      </c>
      <c r="G103" s="56" t="s">
        <v>198</v>
      </c>
      <c r="H103" s="74">
        <f>VLOOKUP(lmics[[#This Row],[setting]],raw[],8,FALSE)</f>
        <v>12952209</v>
      </c>
      <c r="I103" s="74">
        <f>VLOOKUP(lmics[[#This Row],[setting]],raw[],9,FALSE)</f>
        <v>415688.19564600004</v>
      </c>
      <c r="J103" s="67">
        <f>IF(VLOOKUP($A103,raw[],COLUMN(J$1),FALSE)=0, VLOOKUP($D103, regions[], COLUMN(J$1), FALSE), VLOOKUP($A103,raw[],COLUMN(J$1),FALSE))</f>
        <v>0.90700000000000003</v>
      </c>
      <c r="K103" s="77">
        <f>VLOOKUP($A103, raw[], 11, FALSE)</f>
        <v>0</v>
      </c>
      <c r="L103" s="77">
        <f>VLOOKUP($A103, raw[], 12, FALSE)</f>
        <v>0.91</v>
      </c>
      <c r="M103" s="77">
        <f>IF(VLOOKUP($A103,raw[],COLUMN(M$1),FALSE)=0, VLOOKUP($D103, regions[], COLUMN(M$1), FALSE), VLOOKUP($A103,raw[],COLUMN(M$1),FALSE))</f>
        <v>2.3399999999999997E-2</v>
      </c>
      <c r="N103" s="68">
        <f>IF(VLOOKUP($A103,raw[],COLUMN(N$1),FALSE)=0, VLOOKUP($D103, regions[], COLUMN(N$1), FALSE), VLOOKUP($A103,raw[],COLUMN(N$1),FALSE))</f>
        <v>0.27387499123711445</v>
      </c>
      <c r="O103" s="67">
        <f>IF(VLOOKUP($A103,raw[],COLUMN(O$1),FALSE)=0, VLOOKUP($D103, regions[], COLUMN(O$1), FALSE), VLOOKUP($A103,raw[],COLUMN(O$1),FALSE))</f>
        <v>0.38300000000000001</v>
      </c>
      <c r="P103" s="68">
        <f>IF(VLOOKUP($A103,raw[],COLUMN(P$1),FALSE)=0, VLOOKUP($D103, regions[], COLUMN(P$1), FALSE), VLOOKUP($A103,raw[],COLUMN(P$1),FALSE))</f>
        <v>4.8000000000000001E-2</v>
      </c>
      <c r="Q103" s="70">
        <f>IF(VLOOKUP($A103,raw[],COLUMN(Q$1),FALSE)=0, VLOOKUP($D103, regions[], COLUMN(Q$1), FALSE), VLOOKUP($A103,raw[],COLUMN(Q$1),FALSE))</f>
        <v>3.0103232804232798</v>
      </c>
      <c r="R103" s="70">
        <f>IF(VLOOKUP($A103,raw[],COLUMN(R$1),FALSE)=0, VLOOKUP($D103, regions[], COLUMN(R$1), FALSE), VLOOKUP($A103,raw[],COLUMN(R$1),FALSE))</f>
        <v>25.335703280423282</v>
      </c>
      <c r="S103" s="70">
        <f>IF(VLOOKUP($A103,raw[],COLUMN(S$1),FALSE)=0, VLOOKUP($D103, regions[], COLUMN(S$1), FALSE), VLOOKUP($A103,raw[],COLUMN(S$1),FALSE))</f>
        <v>56.115851201083906</v>
      </c>
      <c r="T103" s="70">
        <f>IF(VLOOKUP($A103,raw[],COLUMN(U$1)-COLUMN($A$1),FALSE)=0, VLOOKUP($D103, regions[], COLUMN(U$1)-COLUMN($A$1), FALSE), VLOOKUP($A103,raw[],COLUMN(U$1)-COLUMN($A$1),FALSE))</f>
        <v>56.927853664827708</v>
      </c>
      <c r="U103" s="70">
        <f>IF(VLOOKUP($A103,raw[],COLUMN(V$1)-COLUMN($A$1),FALSE)=0, VLOOKUP($D103, regions[], COLUMN(V$1)-COLUMN($A$1), FALSE), VLOOKUP($A103,raw[],COLUMN(V$1)-COLUMN($A$1),FALSE))</f>
        <v>56.554999297022086</v>
      </c>
      <c r="V103" s="70">
        <f>IF(VLOOKUP($A103,raw[],COLUMN(W$1)-COLUMN($A$1),FALSE)=0, VLOOKUP($D103, regions[], COLUMN(W$1)-COLUMN($A$1), FALSE), VLOOKUP($A103,raw[],COLUMN(W$1)-COLUMN($A$1),FALSE))</f>
        <v>3.2482030944392233</v>
      </c>
      <c r="W103" s="70">
        <f>IF(VLOOKUP($A103,raw[],COLUMN(X$1)-COLUMN($A$1),FALSE)=0, VLOOKUP($D103, regions[], COLUMN(X$1)-COLUMN($A$1), FALSE), VLOOKUP($A103,raw[],COLUMN(X$1)-COLUMN($A$1),FALSE))</f>
        <v>8.0782030944392229</v>
      </c>
      <c r="X103" s="70">
        <f>IF(VLOOKUP($A103,raw[],COLUMN(Y$1)-COLUMN($A$1),FALSE)=0, VLOOKUP($D103, regions[], COLUMN(Y$1)-COLUMN($A$1), FALSE), VLOOKUP($A103,raw[],COLUMN(Y$1)-COLUMN($A$1),FALSE))</f>
        <v>2.8402700431690744</v>
      </c>
      <c r="Y103" s="70">
        <f>IF(VLOOKUP($A103,raw[],COLUMN(Z$1)-COLUMN($A$1),FALSE)=0, VLOOKUP($D103, regions[], COLUMN(Z$1)-COLUMN($A$1), FALSE), VLOOKUP($A103,raw[],COLUMN(Z$1)-COLUMN($A$1),FALSE))</f>
        <v>7.670270043169074</v>
      </c>
      <c r="Z103" s="70">
        <f>IF(VLOOKUP($A103,raw[],COLUMN(AA$1)-COLUMN($A$1),FALSE)=0, VLOOKUP($D103, regions[], COLUMN(AA$1)-COLUMN($A$1), FALSE), VLOOKUP($A103,raw[],COLUMN(AA$1)-COLUMN($A$1),FALSE))</f>
        <v>7.667612298956989</v>
      </c>
      <c r="AA103" s="70">
        <f>IF(VLOOKUP($A103,raw[],COLUMN(AB$1)-COLUMN($A$1),FALSE)=0, VLOOKUP($D103, regions[], COLUMN(AB$1)-COLUMN($A$1), FALSE), VLOOKUP($A103,raw[],COLUMN(AB$1)-COLUMN($A$1),FALSE))</f>
        <v>3.45240002190743</v>
      </c>
      <c r="AB103" s="70">
        <f>IF(VLOOKUP($A103,raw[],COLUMN(AC$1)-COLUMN($A$1),FALSE)=0, VLOOKUP($D103, regions[], COLUMN(AC$1)-COLUMN($A$1), FALSE), VLOOKUP($A103,raw[],COLUMN(AC$1)-COLUMN($A$1),FALSE))</f>
        <v>8.2824000219074296</v>
      </c>
      <c r="AC103" s="72">
        <f>IF(VLOOKUP($A103,raw[],COLUMN(AD$1)-COLUMN($A$1),FALSE)=0, VLOOKUP($D103, regions[], COLUMN(AD$1)-COLUMN($A$1), FALSE), VLOOKUP($A103,raw[],COLUMN(AD$1)-COLUMN($A$1),FALSE))</f>
        <v>2.9194640000000074E-2</v>
      </c>
      <c r="AD103" s="72">
        <f>IF(VLOOKUP($A103,raw[],COLUMN(AE$1)-COLUMN($A$1),FALSE)=0, VLOOKUP($D103, regions[], COLUMN(AE$1)-COLUMN($A$1), FALSE), VLOOKUP($A103,raw[],COLUMN(AE$1)-COLUMN($A$1),FALSE))</f>
        <v>2.372331875052668E-3</v>
      </c>
      <c r="AE103" s="72">
        <f>IF(VLOOKUP($A103,raw[],COLUMN(AF$1)-COLUMN($A$1),FALSE)=0, VLOOKUP($D103, regions[], COLUMN(AF$1)-COLUMN($A$1), FALSE), VLOOKUP($A103,raw[],COLUMN(AF$1)-COLUMN($A$1),FALSE))</f>
        <v>9.4840741728722004E-4</v>
      </c>
      <c r="AF103" s="72">
        <f>IF(VLOOKUP($A103,raw[],COLUMN(AG$1)-COLUMN($A$1),FALSE)=0, VLOOKUP($D103, regions[], COLUMN(AG$1)-COLUMN($A$1), FALSE), VLOOKUP($A103,raw[],COLUMN(AG$1)-COLUMN($A$1),FALSE))</f>
        <v>7.3420026532832936E-4</v>
      </c>
      <c r="AG103" s="72">
        <f>IF(VLOOKUP($A103,raw[],COLUMN(AH$1)-COLUMN($A$1),FALSE)=0, VLOOKUP($D103, regions[], COLUMN(AH$1)-COLUMN($A$1), FALSE), VLOOKUP($A103,raw[],COLUMN(AH$1)-COLUMN($A$1),FALSE))</f>
        <v>1.2829936877352555E-3</v>
      </c>
      <c r="AH103" s="72">
        <f>IF(VLOOKUP($A103,raw[],COLUMN(AI$1)-COLUMN($A$1),FALSE)=0, VLOOKUP($D103, regions[], COLUMN(AI$1)-COLUMN($A$1), FALSE), VLOOKUP($A103,raw[],COLUMN(AI$1)-COLUMN($A$1),FALSE))</f>
        <v>1.9313447668826878E-3</v>
      </c>
      <c r="AI103" s="72">
        <f>IF(VLOOKUP($A103,raw[],COLUMN(AJ$1)-COLUMN($A$1),FALSE)=0, VLOOKUP($D103, regions[], COLUMN(AJ$1)-COLUMN($A$1), FALSE), VLOOKUP($A103,raw[],COLUMN(AJ$1)-COLUMN($A$1),FALSE))</f>
        <v>2.3316237896617836E-3</v>
      </c>
      <c r="AJ103" s="72">
        <f>IF(VLOOKUP($A103,raw[],COLUMN(AK$1)-COLUMN($A$1),FALSE)=0, VLOOKUP($D103, regions[], COLUMN(AK$1)-COLUMN($A$1), FALSE), VLOOKUP($A103,raw[],COLUMN(AK$1)-COLUMN($A$1),FALSE))</f>
        <v>2.8054859400679106E-3</v>
      </c>
      <c r="AK103" s="72">
        <f>IF(VLOOKUP($A103,raw[],COLUMN(AL$1)-COLUMN($A$1),FALSE)=0, VLOOKUP($D103, regions[], COLUMN(AL$1)-COLUMN($A$1), FALSE), VLOOKUP($A103,raw[],COLUMN(AL$1)-COLUMN($A$1),FALSE))</f>
        <v>3.5180393340914426E-3</v>
      </c>
      <c r="AL103" s="72">
        <f>IF(VLOOKUP($A103,raw[],COLUMN(AM$1)-COLUMN($A$1),FALSE)=0, VLOOKUP($D103, regions[], COLUMN(AM$1)-COLUMN($A$1), FALSE), VLOOKUP($A103,raw[],COLUMN(AM$1)-COLUMN($A$1),FALSE))</f>
        <v>4.5168423672066116E-3</v>
      </c>
      <c r="AM103" s="72">
        <f>IF(VLOOKUP($A103,raw[],COLUMN(AN$1)-COLUMN($A$1),FALSE)=0, VLOOKUP($D103, regions[], COLUMN(AN$1)-COLUMN($A$1), FALSE), VLOOKUP($A103,raw[],COLUMN(AN$1)-COLUMN($A$1),FALSE))</f>
        <v>5.8228290131631779E-3</v>
      </c>
      <c r="AN103" s="72">
        <f>IF(VLOOKUP($A103,raw[],COLUMN(AO$1)-COLUMN($A$1),FALSE)=0, VLOOKUP($D103, regions[], COLUMN(AO$1)-COLUMN($A$1), FALSE), VLOOKUP($A103,raw[],COLUMN(AO$1)-COLUMN($A$1),FALSE))</f>
        <v>8.4163911525236435E-3</v>
      </c>
      <c r="AO103" s="72">
        <f>IF(VLOOKUP($A103,raw[],COLUMN(AP$1)-COLUMN($A$1),FALSE)=0, VLOOKUP($D103, regions[], COLUMN(AP$1)-COLUMN($A$1), FALSE), VLOOKUP($A103,raw[],COLUMN(AP$1)-COLUMN($A$1),FALSE))</f>
        <v>1.1338638347218911E-2</v>
      </c>
      <c r="AP103" s="72">
        <f>IF(VLOOKUP($A103,raw[],COLUMN(AQ$1)-COLUMN($A$1),FALSE)=0, VLOOKUP($D103, regions[], COLUMN(AQ$1)-COLUMN($A$1), FALSE), VLOOKUP($A103,raw[],COLUMN(AQ$1)-COLUMN($A$1),FALSE))</f>
        <v>1.6950235219521562E-2</v>
      </c>
      <c r="AQ103" s="72">
        <f>IF(VLOOKUP($A103,raw[],COLUMN(AR$1)-COLUMN($A$1),FALSE)=0, VLOOKUP($D103, regions[], COLUMN(AR$1)-COLUMN($A$1), FALSE), VLOOKUP($A103,raw[],COLUMN(AR$1)-COLUMN($A$1),FALSE))</f>
        <v>2.6078831522361286E-2</v>
      </c>
      <c r="AR103" s="72">
        <f>IF(VLOOKUP($A103,raw[],COLUMN(AS$1)-COLUMN($A$1),FALSE)=0, VLOOKUP($D103, regions[], COLUMN(AS$1)-COLUMN($A$1), FALSE), VLOOKUP($A103,raw[],COLUMN(AS$1)-COLUMN($A$1),FALSE))</f>
        <v>4.0339279421102249E-2</v>
      </c>
      <c r="AS103" s="72">
        <f>IF(VLOOKUP($A103,raw[],COLUMN(AT$1)-COLUMN($A$1),FALSE)=0, VLOOKUP($D103, regions[], COLUMN(AT$1)-COLUMN($A$1), FALSE), VLOOKUP($A103,raw[],COLUMN(AT$1)-COLUMN($A$1),FALSE))</f>
        <v>6.2420072920420594E-2</v>
      </c>
      <c r="AT103" s="72">
        <f>IF(VLOOKUP($A103,raw[],COLUMN(AU$1)-COLUMN($A$1),FALSE)=0, VLOOKUP($D103, regions[], COLUMN(AU$1)-COLUMN($A$1), FALSE), VLOOKUP($A103,raw[],COLUMN(AU$1)-COLUMN($A$1),FALSE))</f>
        <v>9.5041719036765657E-2</v>
      </c>
      <c r="AU103" s="72">
        <f>IF(VLOOKUP($A103,raw[],COLUMN(AV$1)-COLUMN($A$1),FALSE)=0, VLOOKUP($D103, regions[], COLUMN(AV$1)-COLUMN($A$1), FALSE), VLOOKUP($A103,raw[],COLUMN(AV$1)-COLUMN($A$1),FALSE))</f>
        <v>0.13453710787544573</v>
      </c>
      <c r="AV103" s="72">
        <f>IF(VLOOKUP($A103,raw[],COLUMN(AW$1)-COLUMN($A$1),FALSE)=0, VLOOKUP($D103, regions[], COLUMN(AW$1)-COLUMN($A$1), FALSE), VLOOKUP($A103,raw[],COLUMN(AW$1)-COLUMN($A$1),FALSE))</f>
        <v>0.17174648395894626</v>
      </c>
      <c r="AW103" s="72">
        <f>IF(VLOOKUP($A103,raw[],COLUMN(AX$1)-COLUMN($A$1),FALSE)=0, VLOOKUP($D103, regions[], COLUMN(AX$1)-COLUMN($A$1), FALSE), VLOOKUP($A103,raw[],COLUMN(AX$1)-COLUMN($A$1),FALSE))</f>
        <v>0.18710533626254214</v>
      </c>
      <c r="AX103" s="72">
        <f>IF(VLOOKUP($A103,raw[],COLUMN(AY$1)-COLUMN($A$1),FALSE)=0, VLOOKUP($D103, regions[], COLUMN(AY$1)-COLUMN($A$1), FALSE), VLOOKUP($A103,raw[],COLUMN(AY$1)-COLUMN($A$1),FALSE))</f>
        <v>68.438000000000002</v>
      </c>
      <c r="AY103" t="str">
        <f t="shared" si="3"/>
        <v>Yes</v>
      </c>
    </row>
    <row r="104" spans="1:51" x14ac:dyDescent="0.25">
      <c r="A104" s="53" t="s">
        <v>428</v>
      </c>
      <c r="B104" s="54" t="s">
        <v>429</v>
      </c>
      <c r="C104" s="54">
        <v>662</v>
      </c>
      <c r="D104" s="54" t="s">
        <v>215</v>
      </c>
      <c r="E104" s="54" t="s">
        <v>232</v>
      </c>
      <c r="F104" s="54" t="s">
        <v>217</v>
      </c>
      <c r="G104" s="54" t="s">
        <v>204</v>
      </c>
      <c r="H104" s="73">
        <f>VLOOKUP(lmics[[#This Row],[setting]],raw[],8,FALSE)</f>
        <v>183629</v>
      </c>
      <c r="I104" s="73">
        <f>VLOOKUP(lmics[[#This Row],[setting]],raw[],9,FALSE)</f>
        <v>2223.0126740000001</v>
      </c>
      <c r="J104" s="67">
        <f>IF(VLOOKUP($A104,raw[],COLUMN(J$1),FALSE)=0, VLOOKUP($D104, regions[], COLUMN(J$1), FALSE), VLOOKUP($A104,raw[],COLUMN(J$1),FALSE))</f>
        <v>0.999</v>
      </c>
      <c r="K104" s="77">
        <f>VLOOKUP($A104, raw[], 11, FALSE)</f>
        <v>0.86</v>
      </c>
      <c r="L104" s="77">
        <f>VLOOKUP($A104, raw[], 12, FALSE)</f>
        <v>0.86</v>
      </c>
      <c r="M104" s="77">
        <f>IF(VLOOKUP($A104,raw[],COLUMN(M$1),FALSE)=0, VLOOKUP($D104, regions[], COLUMN(M$1), FALSE), VLOOKUP($A104,raw[],COLUMN(M$1),FALSE))</f>
        <v>1.3600000000000001E-2</v>
      </c>
      <c r="N104" s="68">
        <f>IF(VLOOKUP($A104,raw[],COLUMN(N$1),FALSE)=0, VLOOKUP($D104, regions[], COLUMN(N$1), FALSE), VLOOKUP($A104,raw[],COLUMN(N$1),FALSE))</f>
        <v>0.30422186902267961</v>
      </c>
      <c r="O104" s="67">
        <f>IF(VLOOKUP($A104,raw[],COLUMN(O$1),FALSE)=0, VLOOKUP($D104, regions[], COLUMN(O$1), FALSE), VLOOKUP($A104,raw[],COLUMN(O$1),FALSE))</f>
        <v>0.8</v>
      </c>
      <c r="P104" s="68">
        <f>IF(VLOOKUP($A104,raw[],COLUMN(P$1),FALSE)=0, VLOOKUP($D104, regions[], COLUMN(P$1), FALSE), VLOOKUP($A104,raw[],COLUMN(P$1),FALSE))</f>
        <v>0.17499999999999999</v>
      </c>
      <c r="Q104" s="70">
        <f>IF(VLOOKUP($A104,raw[],COLUMN(Q$1),FALSE)=0, VLOOKUP($D104, regions[], COLUMN(Q$1), FALSE), VLOOKUP($A104,raw[],COLUMN(Q$1),FALSE))</f>
        <v>14.251496019828</v>
      </c>
      <c r="R104" s="70">
        <f>IF(VLOOKUP($A104,raw[],COLUMN(R$1),FALSE)=0, VLOOKUP($D104, regions[], COLUMN(R$1), FALSE), VLOOKUP($A104,raw[],COLUMN(R$1),FALSE))</f>
        <v>36.576876019827999</v>
      </c>
      <c r="S104" s="70">
        <f>IF(VLOOKUP($A104,raw[],COLUMN(S$1),FALSE)=0, VLOOKUP($D104, regions[], COLUMN(S$1), FALSE), VLOOKUP($A104,raw[],COLUMN(S$1),FALSE))</f>
        <v>108.50791396766374</v>
      </c>
      <c r="T104" s="70">
        <f>IF(VLOOKUP($A104,raw[],COLUMN(U$1)-COLUMN($A$1),FALSE)=0, VLOOKUP($D104, regions[], COLUMN(U$1)-COLUMN($A$1), FALSE), VLOOKUP($A104,raw[],COLUMN(U$1)-COLUMN($A$1),FALSE))</f>
        <v>130.73751641972635</v>
      </c>
      <c r="U104" s="70">
        <f>IF(VLOOKUP($A104,raw[],COLUMN(V$1)-COLUMN($A$1),FALSE)=0, VLOOKUP($D104, regions[], COLUMN(V$1)-COLUMN($A$1), FALSE), VLOOKUP($A104,raw[],COLUMN(V$1)-COLUMN($A$1),FALSE))</f>
        <v>120.53015284767534</v>
      </c>
      <c r="V104" s="70">
        <f>IF(VLOOKUP($A104,raw[],COLUMN(W$1)-COLUMN($A$1),FALSE)=0, VLOOKUP($D104, regions[], COLUMN(W$1)-COLUMN($A$1), FALSE), VLOOKUP($A104,raw[],COLUMN(W$1)-COLUMN($A$1),FALSE))</f>
        <v>14.106798735642009</v>
      </c>
      <c r="W104" s="70">
        <f>IF(VLOOKUP($A104,raw[],COLUMN(X$1)-COLUMN($A$1),FALSE)=0, VLOOKUP($D104, regions[], COLUMN(X$1)-COLUMN($A$1), FALSE), VLOOKUP($A104,raw[],COLUMN(X$1)-COLUMN($A$1),FALSE))</f>
        <v>14.126798735642009</v>
      </c>
      <c r="X104" s="70">
        <f>IF(VLOOKUP($A104,raw[],COLUMN(Y$1)-COLUMN($A$1),FALSE)=0, VLOOKUP($D104, regions[], COLUMN(Y$1)-COLUMN($A$1), FALSE), VLOOKUP($A104,raw[],COLUMN(Y$1)-COLUMN($A$1),FALSE))</f>
        <v>13.679039804225543</v>
      </c>
      <c r="Y104" s="70">
        <f>IF(VLOOKUP($A104,raw[],COLUMN(Z$1)-COLUMN($A$1),FALSE)=0, VLOOKUP($D104, regions[], COLUMN(Z$1)-COLUMN($A$1), FALSE), VLOOKUP($A104,raw[],COLUMN(Z$1)-COLUMN($A$1),FALSE))</f>
        <v>13.699039804225542</v>
      </c>
      <c r="Z104" s="70">
        <f>IF(VLOOKUP($A104,raw[],COLUMN(AA$1)-COLUMN($A$1),FALSE)=0, VLOOKUP($D104, regions[], COLUMN(AA$1)-COLUMN($A$1), FALSE), VLOOKUP($A104,raw[],COLUMN(AA$1)-COLUMN($A$1),FALSE))</f>
        <v>13.688874238141564</v>
      </c>
      <c r="AA104" s="70">
        <f>IF(VLOOKUP($A104,raw[],COLUMN(AB$1)-COLUMN($A$1),FALSE)=0, VLOOKUP($D104, regions[], COLUMN(AB$1)-COLUMN($A$1), FALSE), VLOOKUP($A104,raw[],COLUMN(AB$1)-COLUMN($A$1),FALSE))</f>
        <v>14.318064020379776</v>
      </c>
      <c r="AB104" s="70">
        <f>IF(VLOOKUP($A104,raw[],COLUMN(AC$1)-COLUMN($A$1),FALSE)=0, VLOOKUP($D104, regions[], COLUMN(AC$1)-COLUMN($A$1), FALSE), VLOOKUP($A104,raw[],COLUMN(AC$1)-COLUMN($A$1),FALSE))</f>
        <v>14.338064020379775</v>
      </c>
      <c r="AC104" s="72">
        <f>IF(VLOOKUP($A104,raw[],COLUMN(AD$1)-COLUMN($A$1),FALSE)=0, VLOOKUP($D104, regions[], COLUMN(AD$1)-COLUMN($A$1), FALSE), VLOOKUP($A104,raw[],COLUMN(AD$1)-COLUMN($A$1),FALSE))</f>
        <v>1.2490420000000012E-2</v>
      </c>
      <c r="AD104" s="72">
        <f>IF(VLOOKUP($A104,raw[],COLUMN(AE$1)-COLUMN($A$1),FALSE)=0, VLOOKUP($D104, regions[], COLUMN(AE$1)-COLUMN($A$1), FALSE), VLOOKUP($A104,raw[],COLUMN(AE$1)-COLUMN($A$1),FALSE))</f>
        <v>9.2312775335302464E-4</v>
      </c>
      <c r="AE104" s="72">
        <f>IF(VLOOKUP($A104,raw[],COLUMN(AF$1)-COLUMN($A$1),FALSE)=0, VLOOKUP($D104, regions[], COLUMN(AF$1)-COLUMN($A$1), FALSE), VLOOKUP($A104,raw[],COLUMN(AF$1)-COLUMN($A$1),FALSE))</f>
        <v>3.3742292970631696E-4</v>
      </c>
      <c r="AF104" s="72">
        <f>IF(VLOOKUP($A104,raw[],COLUMN(AG$1)-COLUMN($A$1),FALSE)=0, VLOOKUP($D104, regions[], COLUMN(AG$1)-COLUMN($A$1), FALSE), VLOOKUP($A104,raw[],COLUMN(AG$1)-COLUMN($A$1),FALSE))</f>
        <v>3.1346870856574597E-4</v>
      </c>
      <c r="AG104" s="72">
        <f>IF(VLOOKUP($A104,raw[],COLUMN(AH$1)-COLUMN($A$1),FALSE)=0, VLOOKUP($D104, regions[], COLUMN(AH$1)-COLUMN($A$1), FALSE), VLOOKUP($A104,raw[],COLUMN(AH$1)-COLUMN($A$1),FALSE))</f>
        <v>7.4059424133965563E-4</v>
      </c>
      <c r="AH104" s="72">
        <f>IF(VLOOKUP($A104,raw[],COLUMN(AI$1)-COLUMN($A$1),FALSE)=0, VLOOKUP($D104, regions[], COLUMN(AI$1)-COLUMN($A$1), FALSE), VLOOKUP($A104,raw[],COLUMN(AI$1)-COLUMN($A$1),FALSE))</f>
        <v>1.0104761307423585E-3</v>
      </c>
      <c r="AI104" s="72">
        <f>IF(VLOOKUP($A104,raw[],COLUMN(AJ$1)-COLUMN($A$1),FALSE)=0, VLOOKUP($D104, regions[], COLUMN(AJ$1)-COLUMN($A$1), FALSE), VLOOKUP($A104,raw[],COLUMN(AJ$1)-COLUMN($A$1),FALSE))</f>
        <v>1.0727766082889746E-3</v>
      </c>
      <c r="AJ104" s="72">
        <f>IF(VLOOKUP($A104,raw[],COLUMN(AK$1)-COLUMN($A$1),FALSE)=0, VLOOKUP($D104, regions[], COLUMN(AK$1)-COLUMN($A$1), FALSE), VLOOKUP($A104,raw[],COLUMN(AK$1)-COLUMN($A$1),FALSE))</f>
        <v>1.2882669138309208E-3</v>
      </c>
      <c r="AK104" s="72">
        <f>IF(VLOOKUP($A104,raw[],COLUMN(AL$1)-COLUMN($A$1),FALSE)=0, VLOOKUP($D104, regions[], COLUMN(AL$1)-COLUMN($A$1), FALSE), VLOOKUP($A104,raw[],COLUMN(AL$1)-COLUMN($A$1),FALSE))</f>
        <v>1.7721116466167417E-3</v>
      </c>
      <c r="AL104" s="72">
        <f>IF(VLOOKUP($A104,raw[],COLUMN(AM$1)-COLUMN($A$1),FALSE)=0, VLOOKUP($D104, regions[], COLUMN(AM$1)-COLUMN($A$1), FALSE), VLOOKUP($A104,raw[],COLUMN(AM$1)-COLUMN($A$1),FALSE))</f>
        <v>2.6183216643979705E-3</v>
      </c>
      <c r="AM104" s="72">
        <f>IF(VLOOKUP($A104,raw[],COLUMN(AN$1)-COLUMN($A$1),FALSE)=0, VLOOKUP($D104, regions[], COLUMN(AN$1)-COLUMN($A$1), FALSE), VLOOKUP($A104,raw[],COLUMN(AN$1)-COLUMN($A$1),FALSE))</f>
        <v>4.0960461176379557E-3</v>
      </c>
      <c r="AN104" s="72">
        <f>IF(VLOOKUP($A104,raw[],COLUMN(AO$1)-COLUMN($A$1),FALSE)=0, VLOOKUP($D104, regions[], COLUMN(AO$1)-COLUMN($A$1), FALSE), VLOOKUP($A104,raw[],COLUMN(AO$1)-COLUMN($A$1),FALSE))</f>
        <v>6.43236570231818E-3</v>
      </c>
      <c r="AO104" s="72">
        <f>IF(VLOOKUP($A104,raw[],COLUMN(AP$1)-COLUMN($A$1),FALSE)=0, VLOOKUP($D104, regions[], COLUMN(AP$1)-COLUMN($A$1), FALSE), VLOOKUP($A104,raw[],COLUMN(AP$1)-COLUMN($A$1),FALSE))</f>
        <v>9.9748084184115276E-3</v>
      </c>
      <c r="AP104" s="72">
        <f>IF(VLOOKUP($A104,raw[],COLUMN(AQ$1)-COLUMN($A$1),FALSE)=0, VLOOKUP($D104, regions[], COLUMN(AQ$1)-COLUMN($A$1), FALSE), VLOOKUP($A104,raw[],COLUMN(AQ$1)-COLUMN($A$1),FALSE))</f>
        <v>1.2586773384993059E-2</v>
      </c>
      <c r="AQ104" s="72">
        <f>IF(VLOOKUP($A104,raw[],COLUMN(AR$1)-COLUMN($A$1),FALSE)=0, VLOOKUP($D104, regions[], COLUMN(AR$1)-COLUMN($A$1), FALSE), VLOOKUP($A104,raw[],COLUMN(AR$1)-COLUMN($A$1),FALSE))</f>
        <v>1.6071267253651128E-2</v>
      </c>
      <c r="AR104" s="72">
        <f>IF(VLOOKUP($A104,raw[],COLUMN(AS$1)-COLUMN($A$1),FALSE)=0, VLOOKUP($D104, regions[], COLUMN(AS$1)-COLUMN($A$1), FALSE), VLOOKUP($A104,raw[],COLUMN(AS$1)-COLUMN($A$1),FALSE))</f>
        <v>2.3499034000018664E-2</v>
      </c>
      <c r="AS104" s="72">
        <f>IF(VLOOKUP($A104,raw[],COLUMN(AT$1)-COLUMN($A$1),FALSE)=0, VLOOKUP($D104, regions[], COLUMN(AT$1)-COLUMN($A$1), FALSE), VLOOKUP($A104,raw[],COLUMN(AT$1)-COLUMN($A$1),FALSE))</f>
        <v>3.9290589182046941E-2</v>
      </c>
      <c r="AT104" s="72">
        <f>IF(VLOOKUP($A104,raw[],COLUMN(AU$1)-COLUMN($A$1),FALSE)=0, VLOOKUP($D104, regions[], COLUMN(AU$1)-COLUMN($A$1), FALSE), VLOOKUP($A104,raw[],COLUMN(AU$1)-COLUMN($A$1),FALSE))</f>
        <v>6.2232041134619775E-2</v>
      </c>
      <c r="AU104" s="72">
        <f>IF(VLOOKUP($A104,raw[],COLUMN(AV$1)-COLUMN($A$1),FALSE)=0, VLOOKUP($D104, regions[], COLUMN(AV$1)-COLUMN($A$1), FALSE), VLOOKUP($A104,raw[],COLUMN(AV$1)-COLUMN($A$1),FALSE))</f>
        <v>9.2049360282274645E-2</v>
      </c>
      <c r="AV104" s="72">
        <f>IF(VLOOKUP($A104,raw[],COLUMN(AW$1)-COLUMN($A$1),FALSE)=0, VLOOKUP($D104, regions[], COLUMN(AW$1)-COLUMN($A$1), FALSE), VLOOKUP($A104,raw[],COLUMN(AW$1)-COLUMN($A$1),FALSE))</f>
        <v>0.12202210839818785</v>
      </c>
      <c r="AW104" s="72">
        <f>IF(VLOOKUP($A104,raw[],COLUMN(AX$1)-COLUMN($A$1),FALSE)=0, VLOOKUP($D104, regions[], COLUMN(AX$1)-COLUMN($A$1), FALSE), VLOOKUP($A104,raw[],COLUMN(AX$1)-COLUMN($A$1),FALSE))</f>
        <v>0.14660362315352721</v>
      </c>
      <c r="AX104" s="72">
        <f>IF(VLOOKUP($A104,raw[],COLUMN(AY$1)-COLUMN($A$1),FALSE)=0, VLOOKUP($D104, regions[], COLUMN(AY$1)-COLUMN($A$1), FALSE), VLOOKUP($A104,raw[],COLUMN(AY$1)-COLUMN($A$1),FALSE))</f>
        <v>75.992000000000004</v>
      </c>
      <c r="AY104" t="str">
        <f t="shared" si="3"/>
        <v>No</v>
      </c>
    </row>
    <row r="105" spans="1:51" x14ac:dyDescent="0.25">
      <c r="A105" s="55" t="s">
        <v>430</v>
      </c>
      <c r="B105" s="56" t="s">
        <v>431</v>
      </c>
      <c r="C105" s="56">
        <v>670</v>
      </c>
      <c r="D105" s="56" t="s">
        <v>215</v>
      </c>
      <c r="E105" s="56" t="s">
        <v>232</v>
      </c>
      <c r="F105" s="56" t="s">
        <v>217</v>
      </c>
      <c r="G105" s="56" t="s">
        <v>204</v>
      </c>
      <c r="H105" s="74">
        <f>VLOOKUP(lmics[[#This Row],[setting]],raw[],8,FALSE)</f>
        <v>110947</v>
      </c>
      <c r="I105" s="74">
        <f>VLOOKUP(lmics[[#This Row],[setting]],raw[],9,FALSE)</f>
        <v>1590.536192</v>
      </c>
      <c r="J105" s="67">
        <f>IF(VLOOKUP($A105,raw[],COLUMN(J$1),FALSE)=0, VLOOKUP($D105, regions[], COLUMN(J$1), FALSE), VLOOKUP($A105,raw[],COLUMN(J$1),FALSE))</f>
        <v>0.95826653638323966</v>
      </c>
      <c r="K105" s="77">
        <f>VLOOKUP($A105, raw[], 11, FALSE)</f>
        <v>0.96</v>
      </c>
      <c r="L105" s="77">
        <f>VLOOKUP($A105, raw[], 12, FALSE)</f>
        <v>0.97</v>
      </c>
      <c r="M105" s="77">
        <f>IF(VLOOKUP($A105,raw[],COLUMN(M$1),FALSE)=0, VLOOKUP($D105, regions[], COLUMN(M$1), FALSE), VLOOKUP($A105,raw[],COLUMN(M$1),FALSE))</f>
        <v>1.4499999999999999E-2</v>
      </c>
      <c r="N105" s="68">
        <f>IF(VLOOKUP($A105,raw[],COLUMN(N$1),FALSE)=0, VLOOKUP($D105, regions[], COLUMN(N$1), FALSE), VLOOKUP($A105,raw[],COLUMN(N$1),FALSE))</f>
        <v>0.3100986815415821</v>
      </c>
      <c r="O105" s="67">
        <f>IF(VLOOKUP($A105,raw[],COLUMN(O$1),FALSE)=0, VLOOKUP($D105, regions[], COLUMN(O$1), FALSE), VLOOKUP($A105,raw[],COLUMN(O$1),FALSE))</f>
        <v>0.8</v>
      </c>
      <c r="P105" s="68">
        <f>IF(VLOOKUP($A105,raw[],COLUMN(P$1),FALSE)=0, VLOOKUP($D105, regions[], COLUMN(P$1), FALSE), VLOOKUP($A105,raw[],COLUMN(P$1),FALSE))</f>
        <v>0.17499999999999999</v>
      </c>
      <c r="Q105" s="70">
        <f>IF(VLOOKUP($A105,raw[],COLUMN(Q$1),FALSE)=0, VLOOKUP($D105, regions[], COLUMN(Q$1), FALSE), VLOOKUP($A105,raw[],COLUMN(Q$1),FALSE))</f>
        <v>12.9295952200766</v>
      </c>
      <c r="R105" s="70">
        <f>IF(VLOOKUP($A105,raw[],COLUMN(R$1),FALSE)=0, VLOOKUP($D105, regions[], COLUMN(R$1), FALSE), VLOOKUP($A105,raw[],COLUMN(R$1),FALSE))</f>
        <v>35.254975220076602</v>
      </c>
      <c r="S105" s="70">
        <f>IF(VLOOKUP($A105,raw[],COLUMN(S$1),FALSE)=0, VLOOKUP($D105, regions[], COLUMN(S$1), FALSE), VLOOKUP($A105,raw[],COLUMN(S$1),FALSE))</f>
        <v>101.77700518656945</v>
      </c>
      <c r="T105" s="70">
        <f>IF(VLOOKUP($A105,raw[],COLUMN(U$1)-COLUMN($A$1),FALSE)=0, VLOOKUP($D105, regions[], COLUMN(U$1)-COLUMN($A$1), FALSE), VLOOKUP($A105,raw[],COLUMN(U$1)-COLUMN($A$1),FALSE))</f>
        <v>121.19140803537871</v>
      </c>
      <c r="U105" s="70">
        <f>IF(VLOOKUP($A105,raw[],COLUMN(V$1)-COLUMN($A$1),FALSE)=0, VLOOKUP($D105, regions[], COLUMN(V$1)-COLUMN($A$1), FALSE), VLOOKUP($A105,raw[],COLUMN(V$1)-COLUMN($A$1),FALSE))</f>
        <v>112.2767246154028</v>
      </c>
      <c r="V105" s="70">
        <f>IF(VLOOKUP($A105,raw[],COLUMN(W$1)-COLUMN($A$1),FALSE)=0, VLOOKUP($D105, regions[], COLUMN(W$1)-COLUMN($A$1), FALSE), VLOOKUP($A105,raw[],COLUMN(W$1)-COLUMN($A$1),FALSE))</f>
        <v>15.406179427132036</v>
      </c>
      <c r="W105" s="70">
        <f>IF(VLOOKUP($A105,raw[],COLUMN(X$1)-COLUMN($A$1),FALSE)=0, VLOOKUP($D105, regions[], COLUMN(X$1)-COLUMN($A$1), FALSE), VLOOKUP($A105,raw[],COLUMN(X$1)-COLUMN($A$1),FALSE))</f>
        <v>15.426179427132036</v>
      </c>
      <c r="X105" s="70">
        <f>IF(VLOOKUP($A105,raw[],COLUMN(Y$1)-COLUMN($A$1),FALSE)=0, VLOOKUP($D105, regions[], COLUMN(Y$1)-COLUMN($A$1), FALSE), VLOOKUP($A105,raw[],COLUMN(Y$1)-COLUMN($A$1),FALSE))</f>
        <v>14.983460636602995</v>
      </c>
      <c r="Y105" s="70">
        <f>IF(VLOOKUP($A105,raw[],COLUMN(Z$1)-COLUMN($A$1),FALSE)=0, VLOOKUP($D105, regions[], COLUMN(Z$1)-COLUMN($A$1), FALSE), VLOOKUP($A105,raw[],COLUMN(Z$1)-COLUMN($A$1),FALSE))</f>
        <v>15.003460636602995</v>
      </c>
      <c r="Z105" s="70">
        <f>IF(VLOOKUP($A105,raw[],COLUMN(AA$1)-COLUMN($A$1),FALSE)=0, VLOOKUP($D105, regions[], COLUMN(AA$1)-COLUMN($A$1), FALSE), VLOOKUP($A105,raw[],COLUMN(AA$1)-COLUMN($A$1),FALSE))</f>
        <v>14.995408728551197</v>
      </c>
      <c r="AA105" s="70">
        <f>IF(VLOOKUP($A105,raw[],COLUMN(AB$1)-COLUMN($A$1),FALSE)=0, VLOOKUP($D105, regions[], COLUMN(AB$1)-COLUMN($A$1), FALSE), VLOOKUP($A105,raw[],COLUMN(AB$1)-COLUMN($A$1),FALSE))</f>
        <v>15.615647792075151</v>
      </c>
      <c r="AB105" s="70">
        <f>IF(VLOOKUP($A105,raw[],COLUMN(AC$1)-COLUMN($A$1),FALSE)=0, VLOOKUP($D105, regions[], COLUMN(AC$1)-COLUMN($A$1), FALSE), VLOOKUP($A105,raw[],COLUMN(AC$1)-COLUMN($A$1),FALSE))</f>
        <v>15.635647792075151</v>
      </c>
      <c r="AC105" s="72">
        <f>IF(VLOOKUP($A105,raw[],COLUMN(AD$1)-COLUMN($A$1),FALSE)=0, VLOOKUP($D105, regions[], COLUMN(AD$1)-COLUMN($A$1), FALSE), VLOOKUP($A105,raw[],COLUMN(AD$1)-COLUMN($A$1),FALSE))</f>
        <v>1.4663530000000029E-2</v>
      </c>
      <c r="AD105" s="72">
        <f>IF(VLOOKUP($A105,raw[],COLUMN(AE$1)-COLUMN($A$1),FALSE)=0, VLOOKUP($D105, regions[], COLUMN(AE$1)-COLUMN($A$1), FALSE), VLOOKUP($A105,raw[],COLUMN(AE$1)-COLUMN($A$1),FALSE))</f>
        <v>3.4021119709491893E-4</v>
      </c>
      <c r="AE105" s="72">
        <f>IF(VLOOKUP($A105,raw[],COLUMN(AF$1)-COLUMN($A$1),FALSE)=0, VLOOKUP($D105, regions[], COLUMN(AF$1)-COLUMN($A$1), FALSE), VLOOKUP($A105,raw[],COLUMN(AF$1)-COLUMN($A$1),FALSE))</f>
        <v>4.2637996402383369E-4</v>
      </c>
      <c r="AF105" s="72">
        <f>IF(VLOOKUP($A105,raw[],COLUMN(AG$1)-COLUMN($A$1),FALSE)=0, VLOOKUP($D105, regions[], COLUMN(AG$1)-COLUMN($A$1), FALSE), VLOOKUP($A105,raw[],COLUMN(AG$1)-COLUMN($A$1),FALSE))</f>
        <v>4.1149089039611527E-4</v>
      </c>
      <c r="AG105" s="72">
        <f>IF(VLOOKUP($A105,raw[],COLUMN(AH$1)-COLUMN($A$1),FALSE)=0, VLOOKUP($D105, regions[], COLUMN(AH$1)-COLUMN($A$1), FALSE), VLOOKUP($A105,raw[],COLUMN(AH$1)-COLUMN($A$1),FALSE))</f>
        <v>9.9843491675323634E-4</v>
      </c>
      <c r="AH105" s="72">
        <f>IF(VLOOKUP($A105,raw[],COLUMN(AI$1)-COLUMN($A$1),FALSE)=0, VLOOKUP($D105, regions[], COLUMN(AI$1)-COLUMN($A$1), FALSE), VLOOKUP($A105,raw[],COLUMN(AI$1)-COLUMN($A$1),FALSE))</f>
        <v>1.4048347182713413E-3</v>
      </c>
      <c r="AI105" s="72">
        <f>IF(VLOOKUP($A105,raw[],COLUMN(AJ$1)-COLUMN($A$1),FALSE)=0, VLOOKUP($D105, regions[], COLUMN(AJ$1)-COLUMN($A$1), FALSE), VLOOKUP($A105,raw[],COLUMN(AJ$1)-COLUMN($A$1),FALSE))</f>
        <v>1.5309211275176661E-3</v>
      </c>
      <c r="AJ105" s="72">
        <f>IF(VLOOKUP($A105,raw[],COLUMN(AK$1)-COLUMN($A$1),FALSE)=0, VLOOKUP($D105, regions[], COLUMN(AK$1)-COLUMN($A$1), FALSE), VLOOKUP($A105,raw[],COLUMN(AK$1)-COLUMN($A$1),FALSE))</f>
        <v>1.8245563678469204E-3</v>
      </c>
      <c r="AK105" s="72">
        <f>IF(VLOOKUP($A105,raw[],COLUMN(AL$1)-COLUMN($A$1),FALSE)=0, VLOOKUP($D105, regions[], COLUMN(AL$1)-COLUMN($A$1), FALSE), VLOOKUP($A105,raw[],COLUMN(AL$1)-COLUMN($A$1),FALSE))</f>
        <v>2.4303381208869196E-3</v>
      </c>
      <c r="AL105" s="72">
        <f>IF(VLOOKUP($A105,raw[],COLUMN(AM$1)-COLUMN($A$1),FALSE)=0, VLOOKUP($D105, regions[], COLUMN(AM$1)-COLUMN($A$1), FALSE), VLOOKUP($A105,raw[],COLUMN(AM$1)-COLUMN($A$1),FALSE))</f>
        <v>3.4715823014823954E-3</v>
      </c>
      <c r="AM105" s="72">
        <f>IF(VLOOKUP($A105,raw[],COLUMN(AN$1)-COLUMN($A$1),FALSE)=0, VLOOKUP($D105, regions[], COLUMN(AN$1)-COLUMN($A$1), FALSE), VLOOKUP($A105,raw[],COLUMN(AN$1)-COLUMN($A$1),FALSE))</f>
        <v>5.2094440885795262E-3</v>
      </c>
      <c r="AN105" s="72">
        <f>IF(VLOOKUP($A105,raw[],COLUMN(AO$1)-COLUMN($A$1),FALSE)=0, VLOOKUP($D105, regions[], COLUMN(AO$1)-COLUMN($A$1), FALSE), VLOOKUP($A105,raw[],COLUMN(AO$1)-COLUMN($A$1),FALSE))</f>
        <v>7.8502048685519903E-3</v>
      </c>
      <c r="AO105" s="72">
        <f>IF(VLOOKUP($A105,raw[],COLUMN(AP$1)-COLUMN($A$1),FALSE)=0, VLOOKUP($D105, regions[], COLUMN(AP$1)-COLUMN($A$1), FALSE), VLOOKUP($A105,raw[],COLUMN(AP$1)-COLUMN($A$1),FALSE))</f>
        <v>1.1806079853077847E-2</v>
      </c>
      <c r="AP105" s="72">
        <f>IF(VLOOKUP($A105,raw[],COLUMN(AQ$1)-COLUMN($A$1),FALSE)=0, VLOOKUP($D105, regions[], COLUMN(AQ$1)-COLUMN($A$1), FALSE), VLOOKUP($A105,raw[],COLUMN(AQ$1)-COLUMN($A$1),FALSE))</f>
        <v>1.6595125843905906E-2</v>
      </c>
      <c r="AQ105" s="72">
        <f>IF(VLOOKUP($A105,raw[],COLUMN(AR$1)-COLUMN($A$1),FALSE)=0, VLOOKUP($D105, regions[], COLUMN(AR$1)-COLUMN($A$1), FALSE), VLOOKUP($A105,raw[],COLUMN(AR$1)-COLUMN($A$1),FALSE))</f>
        <v>2.3201225558910875E-2</v>
      </c>
      <c r="AR105" s="72">
        <f>IF(VLOOKUP($A105,raw[],COLUMN(AS$1)-COLUMN($A$1),FALSE)=0, VLOOKUP($D105, regions[], COLUMN(AS$1)-COLUMN($A$1), FALSE), VLOOKUP($A105,raw[],COLUMN(AS$1)-COLUMN($A$1),FALSE))</f>
        <v>3.4377183914039114E-2</v>
      </c>
      <c r="AS105" s="72">
        <f>IF(VLOOKUP($A105,raw[],COLUMN(AT$1)-COLUMN($A$1),FALSE)=0, VLOOKUP($D105, regions[], COLUMN(AT$1)-COLUMN($A$1), FALSE), VLOOKUP($A105,raw[],COLUMN(AT$1)-COLUMN($A$1),FALSE))</f>
        <v>5.3208603413858246E-2</v>
      </c>
      <c r="AT105" s="72">
        <f>IF(VLOOKUP($A105,raw[],COLUMN(AU$1)-COLUMN($A$1),FALSE)=0, VLOOKUP($D105, regions[], COLUMN(AU$1)-COLUMN($A$1), FALSE), VLOOKUP($A105,raw[],COLUMN(AU$1)-COLUMN($A$1),FALSE))</f>
        <v>7.9564291851780072E-2</v>
      </c>
      <c r="AU105" s="72">
        <f>IF(VLOOKUP($A105,raw[],COLUMN(AV$1)-COLUMN($A$1),FALSE)=0, VLOOKUP($D105, regions[], COLUMN(AV$1)-COLUMN($A$1), FALSE), VLOOKUP($A105,raw[],COLUMN(AV$1)-COLUMN($A$1),FALSE))</f>
        <v>0.11207246301287309</v>
      </c>
      <c r="AV105" s="72">
        <f>IF(VLOOKUP($A105,raw[],COLUMN(AW$1)-COLUMN($A$1),FALSE)=0, VLOOKUP($D105, regions[], COLUMN(AW$1)-COLUMN($A$1), FALSE), VLOOKUP($A105,raw[],COLUMN(AW$1)-COLUMN($A$1),FALSE))</f>
        <v>0.14369697243231228</v>
      </c>
      <c r="AW105" s="72">
        <f>IF(VLOOKUP($A105,raw[],COLUMN(AX$1)-COLUMN($A$1),FALSE)=0, VLOOKUP($D105, regions[], COLUMN(AX$1)-COLUMN($A$1), FALSE), VLOOKUP($A105,raw[],COLUMN(AX$1)-COLUMN($A$1),FALSE))</f>
        <v>0.1687400645780878</v>
      </c>
      <c r="AX105" s="72">
        <f>IF(VLOOKUP($A105,raw[],COLUMN(AY$1)-COLUMN($A$1),FALSE)=0, VLOOKUP($D105, regions[], COLUMN(AY$1)-COLUMN($A$1), FALSE), VLOOKUP($A105,raw[],COLUMN(AY$1)-COLUMN($A$1),FALSE))</f>
        <v>72.36</v>
      </c>
      <c r="AY105" t="str">
        <f t="shared" si="3"/>
        <v>No</v>
      </c>
    </row>
    <row r="106" spans="1:51" x14ac:dyDescent="0.25">
      <c r="A106" s="53" t="s">
        <v>432</v>
      </c>
      <c r="B106" s="54" t="s">
        <v>433</v>
      </c>
      <c r="C106" s="54">
        <v>882</v>
      </c>
      <c r="D106" s="54" t="s">
        <v>260</v>
      </c>
      <c r="E106" s="54" t="s">
        <v>309</v>
      </c>
      <c r="F106" s="54" t="s">
        <v>262</v>
      </c>
      <c r="G106" s="54" t="s">
        <v>204</v>
      </c>
      <c r="H106" s="73">
        <f>VLOOKUP(lmics[[#This Row],[setting]],raw[],8,FALSE)</f>
        <v>198410</v>
      </c>
      <c r="I106" s="73">
        <f>VLOOKUP(lmics[[#This Row],[setting]],raw[],9,FALSE)</f>
        <v>4868.3861699999998</v>
      </c>
      <c r="J106" s="67">
        <f>IF(VLOOKUP($A106,raw[],COLUMN(J$1),FALSE)=0, VLOOKUP($D106, regions[], COLUMN(J$1), FALSE), VLOOKUP($A106,raw[],COLUMN(J$1),FALSE))</f>
        <v>0.81900000000000006</v>
      </c>
      <c r="K106" s="77">
        <f>VLOOKUP($A106, raw[], 11, FALSE)</f>
        <v>0.79</v>
      </c>
      <c r="L106" s="77">
        <f>VLOOKUP($A106, raw[], 12, FALSE)</f>
        <v>0.72</v>
      </c>
      <c r="M106" s="77">
        <f>IF(VLOOKUP($A106,raw[],COLUMN(M$1),FALSE)=0, VLOOKUP($D106, regions[], COLUMN(M$1), FALSE), VLOOKUP($A106,raw[],COLUMN(M$1),FALSE))</f>
        <v>2.81E-2</v>
      </c>
      <c r="N106" s="68">
        <f>IF(VLOOKUP($A106,raw[],COLUMN(N$1),FALSE)=0, VLOOKUP($D106, regions[], COLUMN(N$1), FALSE), VLOOKUP($A106,raw[],COLUMN(N$1),FALSE))</f>
        <v>0.32058968887779721</v>
      </c>
      <c r="O106" s="67">
        <f>IF(VLOOKUP($A106,raw[],COLUMN(O$1),FALSE)=0, VLOOKUP($D106, regions[], COLUMN(O$1), FALSE), VLOOKUP($A106,raw[],COLUMN(O$1),FALSE))</f>
        <v>0.8</v>
      </c>
      <c r="P106" s="68">
        <f>IF(VLOOKUP($A106,raw[],COLUMN(P$1),FALSE)=0, VLOOKUP($D106, regions[], COLUMN(P$1), FALSE), VLOOKUP($A106,raw[],COLUMN(P$1),FALSE))</f>
        <v>0.17499999999999999</v>
      </c>
      <c r="Q106" s="70">
        <f>IF(VLOOKUP($A106,raw[],COLUMN(Q$1),FALSE)=0, VLOOKUP($D106, regions[], COLUMN(Q$1), FALSE), VLOOKUP($A106,raw[],COLUMN(Q$1),FALSE))</f>
        <v>7.1924612300683402</v>
      </c>
      <c r="R106" s="70">
        <f>IF(VLOOKUP($A106,raw[],COLUMN(R$1),FALSE)=0, VLOOKUP($D106, regions[], COLUMN(R$1), FALSE), VLOOKUP($A106,raw[],COLUMN(R$1),FALSE))</f>
        <v>29.517841230068342</v>
      </c>
      <c r="S106" s="70">
        <f>IF(VLOOKUP($A106,raw[],COLUMN(S$1),FALSE)=0, VLOOKUP($D106, regions[], COLUMN(S$1), FALSE), VLOOKUP($A106,raw[],COLUMN(S$1),FALSE))</f>
        <v>71.476892958509268</v>
      </c>
      <c r="T106" s="70">
        <f>IF(VLOOKUP($A106,raw[],COLUMN(U$1)-COLUMN($A$1),FALSE)=0, VLOOKUP($D106, regions[], COLUMN(U$1)-COLUMN($A$1), FALSE), VLOOKUP($A106,raw[],COLUMN(U$1)-COLUMN($A$1),FALSE))</f>
        <v>78.107124138687183</v>
      </c>
      <c r="U106" s="70">
        <f>IF(VLOOKUP($A106,raw[],COLUMN(V$1)-COLUMN($A$1),FALSE)=0, VLOOKUP($D106, regions[], COLUMN(V$1)-COLUMN($A$1), FALSE), VLOOKUP($A106,raw[],COLUMN(V$1)-COLUMN($A$1),FALSE))</f>
        <v>75.062662125982797</v>
      </c>
      <c r="V106" s="70">
        <f>IF(VLOOKUP($A106,raw[],COLUMN(W$1)-COLUMN($A$1),FALSE)=0, VLOOKUP($D106, regions[], COLUMN(W$1)-COLUMN($A$1), FALSE), VLOOKUP($A106,raw[],COLUMN(W$1)-COLUMN($A$1),FALSE))</f>
        <v>2.4545518047434749</v>
      </c>
      <c r="W106" s="70">
        <f>IF(VLOOKUP($A106,raw[],COLUMN(X$1)-COLUMN($A$1),FALSE)=0, VLOOKUP($D106, regions[], COLUMN(X$1)-COLUMN($A$1), FALSE), VLOOKUP($A106,raw[],COLUMN(X$1)-COLUMN($A$1),FALSE))</f>
        <v>3.0845518047434748</v>
      </c>
      <c r="X106" s="70">
        <f>IF(VLOOKUP($A106,raw[],COLUMN(Y$1)-COLUMN($A$1),FALSE)=0, VLOOKUP($D106, regions[], COLUMN(Y$1)-COLUMN($A$1), FALSE), VLOOKUP($A106,raw[],COLUMN(Y$1)-COLUMN($A$1),FALSE))</f>
        <v>2.0302306100912508</v>
      </c>
      <c r="Y106" s="70">
        <f>IF(VLOOKUP($A106,raw[],COLUMN(Z$1)-COLUMN($A$1),FALSE)=0, VLOOKUP($D106, regions[], COLUMN(Z$1)-COLUMN($A$1), FALSE), VLOOKUP($A106,raw[],COLUMN(Z$1)-COLUMN($A$1),FALSE))</f>
        <v>2.6602306100912507</v>
      </c>
      <c r="Z106" s="70">
        <f>IF(VLOOKUP($A106,raw[],COLUMN(AA$1)-COLUMN($A$1),FALSE)=0, VLOOKUP($D106, regions[], COLUMN(AA$1)-COLUMN($A$1), FALSE), VLOOKUP($A106,raw[],COLUMN(AA$1)-COLUMN($A$1),FALSE))</f>
        <v>2.6511202260320021</v>
      </c>
      <c r="AA106" s="70">
        <f>IF(VLOOKUP($A106,raw[],COLUMN(AB$1)-COLUMN($A$1),FALSE)=0, VLOOKUP($D106, regions[], COLUMN(AB$1)-COLUMN($A$1), FALSE), VLOOKUP($A106,raw[],COLUMN(AB$1)-COLUMN($A$1),FALSE))</f>
        <v>2.6645914615913782</v>
      </c>
      <c r="AB106" s="70">
        <f>IF(VLOOKUP($A106,raw[],COLUMN(AC$1)-COLUMN($A$1),FALSE)=0, VLOOKUP($D106, regions[], COLUMN(AC$1)-COLUMN($A$1), FALSE), VLOOKUP($A106,raw[],COLUMN(AC$1)-COLUMN($A$1),FALSE))</f>
        <v>3.2945914615913781</v>
      </c>
      <c r="AC106" s="72">
        <f>IF(VLOOKUP($A106,raw[],COLUMN(AD$1)-COLUMN($A$1),FALSE)=0, VLOOKUP($D106, regions[], COLUMN(AD$1)-COLUMN($A$1), FALSE), VLOOKUP($A106,raw[],COLUMN(AD$1)-COLUMN($A$1),FALSE))</f>
        <v>1.3451919999999954E-2</v>
      </c>
      <c r="AD106" s="72">
        <f>IF(VLOOKUP($A106,raw[],COLUMN(AE$1)-COLUMN($A$1),FALSE)=0, VLOOKUP($D106, regions[], COLUMN(AE$1)-COLUMN($A$1), FALSE), VLOOKUP($A106,raw[],COLUMN(AE$1)-COLUMN($A$1),FALSE))</f>
        <v>6.925258016821634E-4</v>
      </c>
      <c r="AE106" s="72">
        <f>IF(VLOOKUP($A106,raw[],COLUMN(AF$1)-COLUMN($A$1),FALSE)=0, VLOOKUP($D106, regions[], COLUMN(AF$1)-COLUMN($A$1), FALSE), VLOOKUP($A106,raw[],COLUMN(AF$1)-COLUMN($A$1),FALSE))</f>
        <v>2.7272193913159863E-4</v>
      </c>
      <c r="AF106" s="72">
        <f>IF(VLOOKUP($A106,raw[],COLUMN(AG$1)-COLUMN($A$1),FALSE)=0, VLOOKUP($D106, regions[], COLUMN(AG$1)-COLUMN($A$1), FALSE), VLOOKUP($A106,raw[],COLUMN(AG$1)-COLUMN($A$1),FALSE))</f>
        <v>2.4867230542658183E-4</v>
      </c>
      <c r="AG106" s="72">
        <f>IF(VLOOKUP($A106,raw[],COLUMN(AH$1)-COLUMN($A$1),FALSE)=0, VLOOKUP($D106, regions[], COLUMN(AH$1)-COLUMN($A$1), FALSE), VLOOKUP($A106,raw[],COLUMN(AH$1)-COLUMN($A$1),FALSE))</f>
        <v>5.7632282540880791E-4</v>
      </c>
      <c r="AH106" s="72">
        <f>IF(VLOOKUP($A106,raw[],COLUMN(AI$1)-COLUMN($A$1),FALSE)=0, VLOOKUP($D106, regions[], COLUMN(AI$1)-COLUMN($A$1), FALSE), VLOOKUP($A106,raw[],COLUMN(AI$1)-COLUMN($A$1),FALSE))</f>
        <v>7.4883444767236248E-4</v>
      </c>
      <c r="AI106" s="72">
        <f>IF(VLOOKUP($A106,raw[],COLUMN(AJ$1)-COLUMN($A$1),FALSE)=0, VLOOKUP($D106, regions[], COLUMN(AJ$1)-COLUMN($A$1), FALSE), VLOOKUP($A106,raw[],COLUMN(AJ$1)-COLUMN($A$1),FALSE))</f>
        <v>7.6641544443991705E-4</v>
      </c>
      <c r="AJ106" s="72">
        <f>IF(VLOOKUP($A106,raw[],COLUMN(AK$1)-COLUMN($A$1),FALSE)=0, VLOOKUP($D106, regions[], COLUMN(AK$1)-COLUMN($A$1), FALSE), VLOOKUP($A106,raw[],COLUMN(AK$1)-COLUMN($A$1),FALSE))</f>
        <v>9.1812391512278697E-4</v>
      </c>
      <c r="AK106" s="72">
        <f>IF(VLOOKUP($A106,raw[],COLUMN(AL$1)-COLUMN($A$1),FALSE)=0, VLOOKUP($D106, regions[], COLUMN(AL$1)-COLUMN($A$1), FALSE), VLOOKUP($A106,raw[],COLUMN(AL$1)-COLUMN($A$1),FALSE))</f>
        <v>1.2856951280974299E-3</v>
      </c>
      <c r="AL106" s="72">
        <f>IF(VLOOKUP($A106,raw[],COLUMN(AM$1)-COLUMN($A$1),FALSE)=0, VLOOKUP($D106, regions[], COLUMN(AM$1)-COLUMN($A$1), FALSE), VLOOKUP($A106,raw[],COLUMN(AM$1)-COLUMN($A$1),FALSE))</f>
        <v>1.9815388611344529E-3</v>
      </c>
      <c r="AM106" s="72">
        <f>IF(VLOOKUP($A106,raw[],COLUMN(AN$1)-COLUMN($A$1),FALSE)=0, VLOOKUP($D106, regions[], COLUMN(AN$1)-COLUMN($A$1), FALSE), VLOOKUP($A106,raw[],COLUMN(AN$1)-COLUMN($A$1),FALSE))</f>
        <v>3.2649687793858671E-3</v>
      </c>
      <c r="AN106" s="72">
        <f>IF(VLOOKUP($A106,raw[],COLUMN(AO$1)-COLUMN($A$1),FALSE)=0, VLOOKUP($D106, regions[], COLUMN(AO$1)-COLUMN($A$1), FALSE), VLOOKUP($A106,raw[],COLUMN(AO$1)-COLUMN($A$1),FALSE))</f>
        <v>5.3189558398148307E-3</v>
      </c>
      <c r="AO106" s="72">
        <f>IF(VLOOKUP($A106,raw[],COLUMN(AP$1)-COLUMN($A$1),FALSE)=0, VLOOKUP($D106, regions[], COLUMN(AP$1)-COLUMN($A$1), FALSE), VLOOKUP($A106,raw[],COLUMN(AP$1)-COLUMN($A$1),FALSE))</f>
        <v>8.6035405736889538E-3</v>
      </c>
      <c r="AP106" s="72">
        <f>IF(VLOOKUP($A106,raw[],COLUMN(AQ$1)-COLUMN($A$1),FALSE)=0, VLOOKUP($D106, regions[], COLUMN(AQ$1)-COLUMN($A$1), FALSE), VLOOKUP($A106,raw[],COLUMN(AQ$1)-COLUMN($A$1),FALSE))</f>
        <v>1.5215103235341637E-2</v>
      </c>
      <c r="AQ106" s="72">
        <f>IF(VLOOKUP($A106,raw[],COLUMN(AR$1)-COLUMN($A$1),FALSE)=0, VLOOKUP($D106, regions[], COLUMN(AR$1)-COLUMN($A$1), FALSE), VLOOKUP($A106,raw[],COLUMN(AR$1)-COLUMN($A$1),FALSE))</f>
        <v>2.6465545199367089E-2</v>
      </c>
      <c r="AR106" s="72">
        <f>IF(VLOOKUP($A106,raw[],COLUMN(AS$1)-COLUMN($A$1),FALSE)=0, VLOOKUP($D106, regions[], COLUMN(AS$1)-COLUMN($A$1), FALSE), VLOOKUP($A106,raw[],COLUMN(AS$1)-COLUMN($A$1),FALSE))</f>
        <v>4.328396945983462E-2</v>
      </c>
      <c r="AS106" s="72">
        <f>IF(VLOOKUP($A106,raw[],COLUMN(AT$1)-COLUMN($A$1),FALSE)=0, VLOOKUP($D106, regions[], COLUMN(AT$1)-COLUMN($A$1), FALSE), VLOOKUP($A106,raw[],COLUMN(AT$1)-COLUMN($A$1),FALSE))</f>
        <v>6.7514354289343895E-2</v>
      </c>
      <c r="AT106" s="72">
        <f>IF(VLOOKUP($A106,raw[],COLUMN(AU$1)-COLUMN($A$1),FALSE)=0, VLOOKUP($D106, regions[], COLUMN(AU$1)-COLUMN($A$1), FALSE), VLOOKUP($A106,raw[],COLUMN(AU$1)-COLUMN($A$1),FALSE))</f>
        <v>9.9671727651561334E-2</v>
      </c>
      <c r="AU106" s="72">
        <f>IF(VLOOKUP($A106,raw[],COLUMN(AV$1)-COLUMN($A$1),FALSE)=0, VLOOKUP($D106, regions[], COLUMN(AV$1)-COLUMN($A$1), FALSE), VLOOKUP($A106,raw[],COLUMN(AV$1)-COLUMN($A$1),FALSE))</f>
        <v>0.13589694453866549</v>
      </c>
      <c r="AV106" s="72">
        <f>IF(VLOOKUP($A106,raw[],COLUMN(AW$1)-COLUMN($A$1),FALSE)=0, VLOOKUP($D106, regions[], COLUMN(AW$1)-COLUMN($A$1), FALSE), VLOOKUP($A106,raw[],COLUMN(AW$1)-COLUMN($A$1),FALSE))</f>
        <v>0.16605347519569352</v>
      </c>
      <c r="AW106" s="72">
        <f>IF(VLOOKUP($A106,raw[],COLUMN(AX$1)-COLUMN($A$1),FALSE)=0, VLOOKUP($D106, regions[], COLUMN(AX$1)-COLUMN($A$1), FALSE), VLOOKUP($A106,raw[],COLUMN(AX$1)-COLUMN($A$1),FALSE))</f>
        <v>0.18409343663613717</v>
      </c>
      <c r="AX106" s="72">
        <f>IF(VLOOKUP($A106,raw[],COLUMN(AY$1)-COLUMN($A$1),FALSE)=0, VLOOKUP($D106, regions[], COLUMN(AY$1)-COLUMN($A$1), FALSE), VLOOKUP($A106,raw[],COLUMN(AY$1)-COLUMN($A$1),FALSE))</f>
        <v>73.111000000000004</v>
      </c>
      <c r="AY106" t="str">
        <f t="shared" si="3"/>
        <v>No</v>
      </c>
    </row>
    <row r="107" spans="1:51" x14ac:dyDescent="0.25">
      <c r="A107" s="55" t="s">
        <v>434</v>
      </c>
      <c r="B107" s="56" t="s">
        <v>435</v>
      </c>
      <c r="C107" s="56">
        <v>678</v>
      </c>
      <c r="D107" s="56" t="s">
        <v>207</v>
      </c>
      <c r="E107" s="56" t="s">
        <v>235</v>
      </c>
      <c r="F107" s="56" t="s">
        <v>211</v>
      </c>
      <c r="G107" s="56" t="s">
        <v>212</v>
      </c>
      <c r="H107" s="74">
        <f>VLOOKUP(lmics[[#This Row],[setting]],raw[],8,FALSE)</f>
        <v>219161</v>
      </c>
      <c r="I107" s="74">
        <f>VLOOKUP(lmics[[#This Row],[setting]],raw[],9,FALSE)</f>
        <v>6958.36175</v>
      </c>
      <c r="J107" s="67">
        <f>IF(VLOOKUP($A107,raw[],COLUMN(J$1),FALSE)=0, VLOOKUP($D107, regions[], COLUMN(J$1), FALSE), VLOOKUP($A107,raw[],COLUMN(J$1),FALSE))</f>
        <v>0.91</v>
      </c>
      <c r="K107" s="77">
        <f>VLOOKUP($A107, raw[], 11, FALSE)</f>
        <v>0.95</v>
      </c>
      <c r="L107" s="77">
        <f>VLOOKUP($A107, raw[], 12, FALSE)</f>
        <v>0.95</v>
      </c>
      <c r="M107" s="77">
        <f>IF(VLOOKUP($A107,raw[],COLUMN(M$1),FALSE)=0, VLOOKUP($D107, regions[], COLUMN(M$1), FALSE), VLOOKUP($A107,raw[],COLUMN(M$1),FALSE))</f>
        <v>5.8299999999999998E-2</v>
      </c>
      <c r="N107" s="68">
        <f>IF(VLOOKUP($A107,raw[],COLUMN(N$1),FALSE)=0, VLOOKUP($D107, regions[], COLUMN(N$1), FALSE), VLOOKUP($A107,raw[],COLUMN(N$1),FALSE))</f>
        <v>0.27703395472131281</v>
      </c>
      <c r="O107" s="67">
        <f>IF(VLOOKUP($A107,raw[],COLUMN(O$1),FALSE)=0, VLOOKUP($D107, regions[], COLUMN(O$1), FALSE), VLOOKUP($A107,raw[],COLUMN(O$1),FALSE))</f>
        <v>0.38300000000000001</v>
      </c>
      <c r="P107" s="68">
        <f>IF(VLOOKUP($A107,raw[],COLUMN(P$1),FALSE)=0, VLOOKUP($D107, regions[], COLUMN(P$1), FALSE), VLOOKUP($A107,raw[],COLUMN(P$1),FALSE))</f>
        <v>4.8000000000000001E-2</v>
      </c>
      <c r="Q107" s="70">
        <f>IF(VLOOKUP($A107,raw[],COLUMN(Q$1),FALSE)=0, VLOOKUP($D107, regions[], COLUMN(Q$1), FALSE), VLOOKUP($A107,raw[],COLUMN(Q$1),FALSE))</f>
        <v>3.5413546125461304</v>
      </c>
      <c r="R107" s="70">
        <f>IF(VLOOKUP($A107,raw[],COLUMN(R$1),FALSE)=0, VLOOKUP($D107, regions[], COLUMN(R$1), FALSE), VLOOKUP($A107,raw[],COLUMN(R$1),FALSE))</f>
        <v>25.866734612546132</v>
      </c>
      <c r="S107" s="70">
        <f>IF(VLOOKUP($A107,raw[],COLUMN(S$1),FALSE)=0, VLOOKUP($D107, regions[], COLUMN(S$1), FALSE), VLOOKUP($A107,raw[],COLUMN(S$1),FALSE))</f>
        <v>57.890495004422419</v>
      </c>
      <c r="T107" s="70">
        <f>IF(VLOOKUP($A107,raw[],COLUMN(U$1)-COLUMN($A$1),FALSE)=0, VLOOKUP($D107, regions[], COLUMN(U$1)-COLUMN($A$1), FALSE), VLOOKUP($A107,raw[],COLUMN(U$1)-COLUMN($A$1),FALSE))</f>
        <v>59.34975429375109</v>
      </c>
      <c r="U107" s="70">
        <f>IF(VLOOKUP($A107,raw[],COLUMN(V$1)-COLUMN($A$1),FALSE)=0, VLOOKUP($D107, regions[], COLUMN(V$1)-COLUMN($A$1), FALSE), VLOOKUP($A107,raw[],COLUMN(V$1)-COLUMN($A$1),FALSE))</f>
        <v>58.679693272903258</v>
      </c>
      <c r="V107" s="70">
        <f>IF(VLOOKUP($A107,raw[],COLUMN(W$1)-COLUMN($A$1),FALSE)=0, VLOOKUP($D107, regions[], COLUMN(W$1)-COLUMN($A$1), FALSE), VLOOKUP($A107,raw[],COLUMN(W$1)-COLUMN($A$1),FALSE))</f>
        <v>8.802588256144519</v>
      </c>
      <c r="W107" s="70">
        <f>IF(VLOOKUP($A107,raw[],COLUMN(X$1)-COLUMN($A$1),FALSE)=0, VLOOKUP($D107, regions[], COLUMN(X$1)-COLUMN($A$1), FALSE), VLOOKUP($A107,raw[],COLUMN(X$1)-COLUMN($A$1),FALSE))</f>
        <v>13.632588256144519</v>
      </c>
      <c r="X107" s="70">
        <f>IF(VLOOKUP($A107,raw[],COLUMN(Y$1)-COLUMN($A$1),FALSE)=0, VLOOKUP($D107, regions[], COLUMN(Y$1)-COLUMN($A$1), FALSE), VLOOKUP($A107,raw[],COLUMN(Y$1)-COLUMN($A$1),FALSE))</f>
        <v>8.3894684239986734</v>
      </c>
      <c r="Y107" s="70">
        <f>IF(VLOOKUP($A107,raw[],COLUMN(Z$1)-COLUMN($A$1),FALSE)=0, VLOOKUP($D107, regions[], COLUMN(Z$1)-COLUMN($A$1), FALSE), VLOOKUP($A107,raw[],COLUMN(Z$1)-COLUMN($A$1),FALSE))</f>
        <v>13.219468423998674</v>
      </c>
      <c r="Z107" s="70">
        <f>IF(VLOOKUP($A107,raw[],COLUMN(AA$1)-COLUMN($A$1),FALSE)=0, VLOOKUP($D107, regions[], COLUMN(AA$1)-COLUMN($A$1), FALSE), VLOOKUP($A107,raw[],COLUMN(AA$1)-COLUMN($A$1),FALSE))</f>
        <v>13.214851921254555</v>
      </c>
      <c r="AA107" s="70">
        <f>IF(VLOOKUP($A107,raw[],COLUMN(AB$1)-COLUMN($A$1),FALSE)=0, VLOOKUP($D107, regions[], COLUMN(AB$1)-COLUMN($A$1), FALSE), VLOOKUP($A107,raw[],COLUMN(AB$1)-COLUMN($A$1),FALSE))</f>
        <v>9.0086343837510174</v>
      </c>
      <c r="AB107" s="70">
        <f>IF(VLOOKUP($A107,raw[],COLUMN(AC$1)-COLUMN($A$1),FALSE)=0, VLOOKUP($D107, regions[], COLUMN(AC$1)-COLUMN($A$1), FALSE), VLOOKUP($A107,raw[],COLUMN(AC$1)-COLUMN($A$1),FALSE))</f>
        <v>13.838634383751018</v>
      </c>
      <c r="AC107" s="72">
        <f>IF(VLOOKUP($A107,raw[],COLUMN(AD$1)-COLUMN($A$1),FALSE)=0, VLOOKUP($D107, regions[], COLUMN(AD$1)-COLUMN($A$1), FALSE), VLOOKUP($A107,raw[],COLUMN(AD$1)-COLUMN($A$1),FALSE))</f>
        <v>2.6431950000000069E-2</v>
      </c>
      <c r="AD107" s="72">
        <f>IF(VLOOKUP($A107,raw[],COLUMN(AE$1)-COLUMN($A$1),FALSE)=0, VLOOKUP($D107, regions[], COLUMN(AE$1)-COLUMN($A$1), FALSE), VLOOKUP($A107,raw[],COLUMN(AE$1)-COLUMN($A$1),FALSE))</f>
        <v>1.519919434496609E-3</v>
      </c>
      <c r="AE107" s="72">
        <f>IF(VLOOKUP($A107,raw[],COLUMN(AF$1)-COLUMN($A$1),FALSE)=0, VLOOKUP($D107, regions[], COLUMN(AF$1)-COLUMN($A$1), FALSE), VLOOKUP($A107,raw[],COLUMN(AF$1)-COLUMN($A$1),FALSE))</f>
        <v>5.9194187000047012E-4</v>
      </c>
      <c r="AF107" s="72">
        <f>IF(VLOOKUP($A107,raw[],COLUMN(AG$1)-COLUMN($A$1),FALSE)=0, VLOOKUP($D107, regions[], COLUMN(AG$1)-COLUMN($A$1), FALSE), VLOOKUP($A107,raw[],COLUMN(AG$1)-COLUMN($A$1),FALSE))</f>
        <v>4.9393175232565563E-4</v>
      </c>
      <c r="AG107" s="72">
        <f>IF(VLOOKUP($A107,raw[],COLUMN(AH$1)-COLUMN($A$1),FALSE)=0, VLOOKUP($D107, regions[], COLUMN(AH$1)-COLUMN($A$1), FALSE), VLOOKUP($A107,raw[],COLUMN(AH$1)-COLUMN($A$1),FALSE))</f>
        <v>9.7025317122540584E-4</v>
      </c>
      <c r="AH107" s="72">
        <f>IF(VLOOKUP($A107,raw[],COLUMN(AI$1)-COLUMN($A$1),FALSE)=0, VLOOKUP($D107, regions[], COLUMN(AI$1)-COLUMN($A$1), FALSE), VLOOKUP($A107,raw[],COLUMN(AI$1)-COLUMN($A$1),FALSE))</f>
        <v>1.2724896188506768E-3</v>
      </c>
      <c r="AI107" s="72">
        <f>IF(VLOOKUP($A107,raw[],COLUMN(AJ$1)-COLUMN($A$1),FALSE)=0, VLOOKUP($D107, regions[], COLUMN(AJ$1)-COLUMN($A$1), FALSE), VLOOKUP($A107,raw[],COLUMN(AJ$1)-COLUMN($A$1),FALSE))</f>
        <v>1.3489911868145125E-3</v>
      </c>
      <c r="AJ107" s="72">
        <f>IF(VLOOKUP($A107,raw[],COLUMN(AK$1)-COLUMN($A$1),FALSE)=0, VLOOKUP($D107, regions[], COLUMN(AK$1)-COLUMN($A$1), FALSE), VLOOKUP($A107,raw[],COLUMN(AK$1)-COLUMN($A$1),FALSE))</f>
        <v>1.6069422899664999E-3</v>
      </c>
      <c r="AK107" s="72">
        <f>IF(VLOOKUP($A107,raw[],COLUMN(AL$1)-COLUMN($A$1),FALSE)=0, VLOOKUP($D107, regions[], COLUMN(AL$1)-COLUMN($A$1), FALSE), VLOOKUP($A107,raw[],COLUMN(AL$1)-COLUMN($A$1),FALSE))</f>
        <v>2.1623169059386891E-3</v>
      </c>
      <c r="AL107" s="72">
        <f>IF(VLOOKUP($A107,raw[],COLUMN(AM$1)-COLUMN($A$1),FALSE)=0, VLOOKUP($D107, regions[], COLUMN(AM$1)-COLUMN($A$1), FALSE), VLOOKUP($A107,raw[],COLUMN(AM$1)-COLUMN($A$1),FALSE))</f>
        <v>3.0951101718203933E-3</v>
      </c>
      <c r="AM107" s="72">
        <f>IF(VLOOKUP($A107,raw[],COLUMN(AN$1)-COLUMN($A$1),FALSE)=0, VLOOKUP($D107, regions[], COLUMN(AN$1)-COLUMN($A$1), FALSE), VLOOKUP($A107,raw[],COLUMN(AN$1)-COLUMN($A$1),FALSE))</f>
        <v>4.7366852888282287E-3</v>
      </c>
      <c r="AN107" s="72">
        <f>IF(VLOOKUP($A107,raw[],COLUMN(AO$1)-COLUMN($A$1),FALSE)=0, VLOOKUP($D107, regions[], COLUMN(AO$1)-COLUMN($A$1), FALSE), VLOOKUP($A107,raw[],COLUMN(AO$1)-COLUMN($A$1),FALSE))</f>
        <v>7.3076792960580089E-3</v>
      </c>
      <c r="AO107" s="72">
        <f>IF(VLOOKUP($A107,raw[],COLUMN(AP$1)-COLUMN($A$1),FALSE)=0, VLOOKUP($D107, regions[], COLUMN(AP$1)-COLUMN($A$1), FALSE), VLOOKUP($A107,raw[],COLUMN(AP$1)-COLUMN($A$1),FALSE))</f>
        <v>1.1299390932147995E-2</v>
      </c>
      <c r="AP107" s="72">
        <f>IF(VLOOKUP($A107,raw[],COLUMN(AQ$1)-COLUMN($A$1),FALSE)=0, VLOOKUP($D107, regions[], COLUMN(AQ$1)-COLUMN($A$1), FALSE), VLOOKUP($A107,raw[],COLUMN(AQ$1)-COLUMN($A$1),FALSE))</f>
        <v>1.773095205125377E-2</v>
      </c>
      <c r="AQ107" s="72">
        <f>IF(VLOOKUP($A107,raw[],COLUMN(AR$1)-COLUMN($A$1),FALSE)=0, VLOOKUP($D107, regions[], COLUMN(AR$1)-COLUMN($A$1), FALSE), VLOOKUP($A107,raw[],COLUMN(AR$1)-COLUMN($A$1),FALSE))</f>
        <v>2.7864431260591616E-2</v>
      </c>
      <c r="AR107" s="72">
        <f>IF(VLOOKUP($A107,raw[],COLUMN(AS$1)-COLUMN($A$1),FALSE)=0, VLOOKUP($D107, regions[], COLUMN(AS$1)-COLUMN($A$1), FALSE), VLOOKUP($A107,raw[],COLUMN(AS$1)-COLUMN($A$1),FALSE))</f>
        <v>4.359812586435248E-2</v>
      </c>
      <c r="AS107" s="72">
        <f>IF(VLOOKUP($A107,raw[],COLUMN(AT$1)-COLUMN($A$1),FALSE)=0, VLOOKUP($D107, regions[], COLUMN(AT$1)-COLUMN($A$1), FALSE), VLOOKUP($A107,raw[],COLUMN(AT$1)-COLUMN($A$1),FALSE))</f>
        <v>6.6475510705730947E-2</v>
      </c>
      <c r="AT107" s="72">
        <f>IF(VLOOKUP($A107,raw[],COLUMN(AU$1)-COLUMN($A$1),FALSE)=0, VLOOKUP($D107, regions[], COLUMN(AU$1)-COLUMN($A$1), FALSE), VLOOKUP($A107,raw[],COLUMN(AU$1)-COLUMN($A$1),FALSE))</f>
        <v>9.5717020333396241E-2</v>
      </c>
      <c r="AU107" s="72">
        <f>IF(VLOOKUP($A107,raw[],COLUMN(AV$1)-COLUMN($A$1),FALSE)=0, VLOOKUP($D107, regions[], COLUMN(AV$1)-COLUMN($A$1), FALSE), VLOOKUP($A107,raw[],COLUMN(AV$1)-COLUMN($A$1),FALSE))</f>
        <v>0.12562378873953089</v>
      </c>
      <c r="AV107" s="72">
        <f>IF(VLOOKUP($A107,raw[],COLUMN(AW$1)-COLUMN($A$1),FALSE)=0, VLOOKUP($D107, regions[], COLUMN(AW$1)-COLUMN($A$1), FALSE), VLOOKUP($A107,raw[],COLUMN(AW$1)-COLUMN($A$1),FALSE))</f>
        <v>0.15364551762682779</v>
      </c>
      <c r="AW107" s="72">
        <f>IF(VLOOKUP($A107,raw[],COLUMN(AX$1)-COLUMN($A$1),FALSE)=0, VLOOKUP($D107, regions[], COLUMN(AX$1)-COLUMN($A$1), FALSE), VLOOKUP($A107,raw[],COLUMN(AX$1)-COLUMN($A$1),FALSE))</f>
        <v>0.17483643439916882</v>
      </c>
      <c r="AX107" s="72">
        <f>IF(VLOOKUP($A107,raw[],COLUMN(AY$1)-COLUMN($A$1),FALSE)=0, VLOOKUP($D107, regions[], COLUMN(AY$1)-COLUMN($A$1), FALSE), VLOOKUP($A107,raw[],COLUMN(AY$1)-COLUMN($A$1),FALSE))</f>
        <v>70.048000000000002</v>
      </c>
      <c r="AY107" t="str">
        <f t="shared" si="3"/>
        <v>No</v>
      </c>
    </row>
    <row r="108" spans="1:51" x14ac:dyDescent="0.25">
      <c r="A108" s="53" t="s">
        <v>436</v>
      </c>
      <c r="B108" s="54" t="s">
        <v>437</v>
      </c>
      <c r="C108" s="54">
        <v>686</v>
      </c>
      <c r="D108" s="54" t="s">
        <v>207</v>
      </c>
      <c r="E108" s="54" t="s">
        <v>235</v>
      </c>
      <c r="F108" s="54" t="s">
        <v>211</v>
      </c>
      <c r="G108" s="54" t="s">
        <v>212</v>
      </c>
      <c r="H108" s="73">
        <f>VLOOKUP(lmics[[#This Row],[setting]],raw[],8,FALSE)</f>
        <v>16743930</v>
      </c>
      <c r="I108" s="73">
        <f>VLOOKUP(lmics[[#This Row],[setting]],raw[],9,FALSE)</f>
        <v>581633.89641000004</v>
      </c>
      <c r="J108" s="67">
        <f>IF(VLOOKUP($A108,raw[],COLUMN(J$1),FALSE)=0, VLOOKUP($D108, regions[], COLUMN(J$1), FALSE), VLOOKUP($A108,raw[],COLUMN(J$1),FALSE))</f>
        <v>0.81700000000000006</v>
      </c>
      <c r="K108" s="77">
        <f>VLOOKUP($A108, raw[], 11, FALSE)</f>
        <v>0.86</v>
      </c>
      <c r="L108" s="77">
        <f>VLOOKUP($A108, raw[], 12, FALSE)</f>
        <v>0.92</v>
      </c>
      <c r="M108" s="77">
        <f>IF(VLOOKUP($A108,raw[],COLUMN(M$1),FALSE)=0, VLOOKUP($D108, regions[], COLUMN(M$1), FALSE), VLOOKUP($A108,raw[],COLUMN(M$1),FALSE))</f>
        <v>7.3499999999999996E-2</v>
      </c>
      <c r="N108" s="68">
        <f>IF(VLOOKUP($A108,raw[],COLUMN(N$1),FALSE)=0, VLOOKUP($D108, regions[], COLUMN(N$1), FALSE), VLOOKUP($A108,raw[],COLUMN(N$1),FALSE))</f>
        <v>0.28272643132159919</v>
      </c>
      <c r="O108" s="67">
        <f>IF(VLOOKUP($A108,raw[],COLUMN(O$1),FALSE)=0, VLOOKUP($D108, regions[], COLUMN(O$1), FALSE), VLOOKUP($A108,raw[],COLUMN(O$1),FALSE))</f>
        <v>0.38300000000000001</v>
      </c>
      <c r="P108" s="68">
        <f>IF(VLOOKUP($A108,raw[],COLUMN(P$1),FALSE)=0, VLOOKUP($D108, regions[], COLUMN(P$1), FALSE), VLOOKUP($A108,raw[],COLUMN(P$1),FALSE))</f>
        <v>4.8000000000000001E-2</v>
      </c>
      <c r="Q108" s="70">
        <f>IF(VLOOKUP($A108,raw[],COLUMN(Q$1),FALSE)=0, VLOOKUP($D108, regions[], COLUMN(Q$1), FALSE), VLOOKUP($A108,raw[],COLUMN(Q$1),FALSE))</f>
        <v>3.7280715634580002</v>
      </c>
      <c r="R108" s="70">
        <f>IF(VLOOKUP($A108,raw[],COLUMN(R$1),FALSE)=0, VLOOKUP($D108, regions[], COLUMN(R$1), FALSE), VLOOKUP($A108,raw[],COLUMN(R$1),FALSE))</f>
        <v>26.053451563458001</v>
      </c>
      <c r="S108" s="70">
        <f>IF(VLOOKUP($A108,raw[],COLUMN(S$1),FALSE)=0, VLOOKUP($D108, regions[], COLUMN(S$1), FALSE), VLOOKUP($A108,raw[],COLUMN(S$1),FALSE))</f>
        <v>58.401978879707066</v>
      </c>
      <c r="T108" s="70">
        <f>IF(VLOOKUP($A108,raw[],COLUMN(U$1)-COLUMN($A$1),FALSE)=0, VLOOKUP($D108, regions[], COLUMN(U$1)-COLUMN($A$1), FALSE), VLOOKUP($A108,raw[],COLUMN(U$1)-COLUMN($A$1),FALSE))</f>
        <v>60.030268002195108</v>
      </c>
      <c r="U108" s="70">
        <f>IF(VLOOKUP($A108,raw[],COLUMN(V$1)-COLUMN($A$1),FALSE)=0, VLOOKUP($D108, regions[], COLUMN(V$1)-COLUMN($A$1), FALSE), VLOOKUP($A108,raw[],COLUMN(V$1)-COLUMN($A$1),FALSE))</f>
        <v>59.282592054796005</v>
      </c>
      <c r="V108" s="70">
        <f>IF(VLOOKUP($A108,raw[],COLUMN(W$1)-COLUMN($A$1),FALSE)=0, VLOOKUP($D108, regions[], COLUMN(W$1)-COLUMN($A$1), FALSE), VLOOKUP($A108,raw[],COLUMN(W$1)-COLUMN($A$1),FALSE))</f>
        <v>2.3545927769962023</v>
      </c>
      <c r="W108" s="70">
        <f>IF(VLOOKUP($A108,raw[],COLUMN(X$1)-COLUMN($A$1),FALSE)=0, VLOOKUP($D108, regions[], COLUMN(X$1)-COLUMN($A$1), FALSE), VLOOKUP($A108,raw[],COLUMN(X$1)-COLUMN($A$1),FALSE))</f>
        <v>7.1845927769962028</v>
      </c>
      <c r="X108" s="70">
        <f>IF(VLOOKUP($A108,raw[],COLUMN(Y$1)-COLUMN($A$1),FALSE)=0, VLOOKUP($D108, regions[], COLUMN(Y$1)-COLUMN($A$1), FALSE), VLOOKUP($A108,raw[],COLUMN(Y$1)-COLUMN($A$1),FALSE))</f>
        <v>1.9450587542589381</v>
      </c>
      <c r="Y108" s="70">
        <f>IF(VLOOKUP($A108,raw[],COLUMN(Z$1)-COLUMN($A$1),FALSE)=0, VLOOKUP($D108, regions[], COLUMN(Z$1)-COLUMN($A$1), FALSE), VLOOKUP($A108,raw[],COLUMN(Z$1)-COLUMN($A$1),FALSE))</f>
        <v>6.7750587542589384</v>
      </c>
      <c r="Z108" s="70">
        <f>IF(VLOOKUP($A108,raw[],COLUMN(AA$1)-COLUMN($A$1),FALSE)=0, VLOOKUP($D108, regions[], COLUMN(AA$1)-COLUMN($A$1), FALSE), VLOOKUP($A108,raw[],COLUMN(AA$1)-COLUMN($A$1),FALSE))</f>
        <v>6.7716709315959163</v>
      </c>
      <c r="AA108" s="70">
        <f>IF(VLOOKUP($A108,raw[],COLUMN(AB$1)-COLUMN($A$1),FALSE)=0, VLOOKUP($D108, regions[], COLUMN(AB$1)-COLUMN($A$1), FALSE), VLOOKUP($A108,raw[],COLUMN(AB$1)-COLUMN($A$1),FALSE))</f>
        <v>2.5593604855961631</v>
      </c>
      <c r="AB108" s="70">
        <f>IF(VLOOKUP($A108,raw[],COLUMN(AC$1)-COLUMN($A$1),FALSE)=0, VLOOKUP($D108, regions[], COLUMN(AC$1)-COLUMN($A$1), FALSE), VLOOKUP($A108,raw[],COLUMN(AC$1)-COLUMN($A$1),FALSE))</f>
        <v>7.3893604855961632</v>
      </c>
      <c r="AC108" s="72">
        <f>IF(VLOOKUP($A108,raw[],COLUMN(AD$1)-COLUMN($A$1),FALSE)=0, VLOOKUP($D108, regions[], COLUMN(AD$1)-COLUMN($A$1), FALSE), VLOOKUP($A108,raw[],COLUMN(AD$1)-COLUMN($A$1),FALSE))</f>
        <v>3.2754600000000064E-2</v>
      </c>
      <c r="AD108" s="72">
        <f>IF(VLOOKUP($A108,raw[],COLUMN(AE$1)-COLUMN($A$1),FALSE)=0, VLOOKUP($D108, regions[], COLUMN(AE$1)-COLUMN($A$1), FALSE), VLOOKUP($A108,raw[],COLUMN(AE$1)-COLUMN($A$1),FALSE))</f>
        <v>3.0694666524131217E-3</v>
      </c>
      <c r="AE108" s="72">
        <f>IF(VLOOKUP($A108,raw[],COLUMN(AF$1)-COLUMN($A$1),FALSE)=0, VLOOKUP($D108, regions[], COLUMN(AF$1)-COLUMN($A$1), FALSE), VLOOKUP($A108,raw[],COLUMN(AF$1)-COLUMN($A$1),FALSE))</f>
        <v>1.2369410630977884E-3</v>
      </c>
      <c r="AF108" s="72">
        <f>IF(VLOOKUP($A108,raw[],COLUMN(AG$1)-COLUMN($A$1),FALSE)=0, VLOOKUP($D108, regions[], COLUMN(AG$1)-COLUMN($A$1), FALSE), VLOOKUP($A108,raw[],COLUMN(AG$1)-COLUMN($A$1),FALSE))</f>
        <v>8.6525511984950651E-4</v>
      </c>
      <c r="AG108" s="72">
        <f>IF(VLOOKUP($A108,raw[],COLUMN(AH$1)-COLUMN($A$1),FALSE)=0, VLOOKUP($D108, regions[], COLUMN(AH$1)-COLUMN($A$1), FALSE), VLOOKUP($A108,raw[],COLUMN(AH$1)-COLUMN($A$1),FALSE))</f>
        <v>1.3469523957274259E-3</v>
      </c>
      <c r="AH108" s="72">
        <f>IF(VLOOKUP($A108,raw[],COLUMN(AI$1)-COLUMN($A$1),FALSE)=0, VLOOKUP($D108, regions[], COLUMN(AI$1)-COLUMN($A$1), FALSE), VLOOKUP($A108,raw[],COLUMN(AI$1)-COLUMN($A$1),FALSE))</f>
        <v>1.9585603267096253E-3</v>
      </c>
      <c r="AI108" s="72">
        <f>IF(VLOOKUP($A108,raw[],COLUMN(AJ$1)-COLUMN($A$1),FALSE)=0, VLOOKUP($D108, regions[], COLUMN(AJ$1)-COLUMN($A$1), FALSE), VLOOKUP($A108,raw[],COLUMN(AJ$1)-COLUMN($A$1),FALSE))</f>
        <v>2.1265653001242375E-3</v>
      </c>
      <c r="AJ108" s="72">
        <f>IF(VLOOKUP($A108,raw[],COLUMN(AK$1)-COLUMN($A$1),FALSE)=0, VLOOKUP($D108, regions[], COLUMN(AK$1)-COLUMN($A$1), FALSE), VLOOKUP($A108,raw[],COLUMN(AK$1)-COLUMN($A$1),FALSE))</f>
        <v>2.4814518081284786E-3</v>
      </c>
      <c r="AK108" s="72">
        <f>IF(VLOOKUP($A108,raw[],COLUMN(AL$1)-COLUMN($A$1),FALSE)=0, VLOOKUP($D108, regions[], COLUMN(AL$1)-COLUMN($A$1), FALSE), VLOOKUP($A108,raw[],COLUMN(AL$1)-COLUMN($A$1),FALSE))</f>
        <v>2.9728730657511099E-3</v>
      </c>
      <c r="AL108" s="72">
        <f>IF(VLOOKUP($A108,raw[],COLUMN(AM$1)-COLUMN($A$1),FALSE)=0, VLOOKUP($D108, regions[], COLUMN(AM$1)-COLUMN($A$1), FALSE), VLOOKUP($A108,raw[],COLUMN(AM$1)-COLUMN($A$1),FALSE))</f>
        <v>3.9298453571490382E-3</v>
      </c>
      <c r="AM108" s="72">
        <f>IF(VLOOKUP($A108,raw[],COLUMN(AN$1)-COLUMN($A$1),FALSE)=0, VLOOKUP($D108, regions[], COLUMN(AN$1)-COLUMN($A$1), FALSE), VLOOKUP($A108,raw[],COLUMN(AN$1)-COLUMN($A$1),FALSE))</f>
        <v>5.2440275437391987E-3</v>
      </c>
      <c r="AN108" s="72">
        <f>IF(VLOOKUP($A108,raw[],COLUMN(AO$1)-COLUMN($A$1),FALSE)=0, VLOOKUP($D108, regions[], COLUMN(AO$1)-COLUMN($A$1), FALSE), VLOOKUP($A108,raw[],COLUMN(AO$1)-COLUMN($A$1),FALSE))</f>
        <v>7.7190461500064676E-3</v>
      </c>
      <c r="AO108" s="72">
        <f>IF(VLOOKUP($A108,raw[],COLUMN(AP$1)-COLUMN($A$1),FALSE)=0, VLOOKUP($D108, regions[], COLUMN(AP$1)-COLUMN($A$1), FALSE), VLOOKUP($A108,raw[],COLUMN(AP$1)-COLUMN($A$1),FALSE))</f>
        <v>1.1290306813306795E-2</v>
      </c>
      <c r="AP108" s="72">
        <f>IF(VLOOKUP($A108,raw[],COLUMN(AQ$1)-COLUMN($A$1),FALSE)=0, VLOOKUP($D108, regions[], COLUMN(AQ$1)-COLUMN($A$1), FALSE), VLOOKUP($A108,raw[],COLUMN(AQ$1)-COLUMN($A$1),FALSE))</f>
        <v>1.7714146493762017E-2</v>
      </c>
      <c r="AQ108" s="72">
        <f>IF(VLOOKUP($A108,raw[],COLUMN(AR$1)-COLUMN($A$1),FALSE)=0, VLOOKUP($D108, regions[], COLUMN(AR$1)-COLUMN($A$1), FALSE), VLOOKUP($A108,raw[],COLUMN(AR$1)-COLUMN($A$1),FALSE))</f>
        <v>2.7989884926765404E-2</v>
      </c>
      <c r="AR108" s="72">
        <f>IF(VLOOKUP($A108,raw[],COLUMN(AS$1)-COLUMN($A$1),FALSE)=0, VLOOKUP($D108, regions[], COLUMN(AS$1)-COLUMN($A$1), FALSE), VLOOKUP($A108,raw[],COLUMN(AS$1)-COLUMN($A$1),FALSE))</f>
        <v>4.6537457702339732E-2</v>
      </c>
      <c r="AS108" s="72">
        <f>IF(VLOOKUP($A108,raw[],COLUMN(AT$1)-COLUMN($A$1),FALSE)=0, VLOOKUP($D108, regions[], COLUMN(AT$1)-COLUMN($A$1), FALSE), VLOOKUP($A108,raw[],COLUMN(AT$1)-COLUMN($A$1),FALSE))</f>
        <v>7.4749322711515298E-2</v>
      </c>
      <c r="AT108" s="72">
        <f>IF(VLOOKUP($A108,raw[],COLUMN(AU$1)-COLUMN($A$1),FALSE)=0, VLOOKUP($D108, regions[], COLUMN(AU$1)-COLUMN($A$1), FALSE), VLOOKUP($A108,raw[],COLUMN(AU$1)-COLUMN($A$1),FALSE))</f>
        <v>0.11151351745170328</v>
      </c>
      <c r="AU108" s="72">
        <f>IF(VLOOKUP($A108,raw[],COLUMN(AV$1)-COLUMN($A$1),FALSE)=0, VLOOKUP($D108, regions[], COLUMN(AV$1)-COLUMN($A$1), FALSE), VLOOKUP($A108,raw[],COLUMN(AV$1)-COLUMN($A$1),FALSE))</f>
        <v>0.14740357166967988</v>
      </c>
      <c r="AV108" s="72">
        <f>IF(VLOOKUP($A108,raw[],COLUMN(AW$1)-COLUMN($A$1),FALSE)=0, VLOOKUP($D108, regions[], COLUMN(AW$1)-COLUMN($A$1), FALSE), VLOOKUP($A108,raw[],COLUMN(AW$1)-COLUMN($A$1),FALSE))</f>
        <v>0.17353214388888566</v>
      </c>
      <c r="AW108" s="72">
        <f>IF(VLOOKUP($A108,raw[],COLUMN(AX$1)-COLUMN($A$1),FALSE)=0, VLOOKUP($D108, regions[], COLUMN(AX$1)-COLUMN($A$1), FALSE), VLOOKUP($A108,raw[],COLUMN(AX$1)-COLUMN($A$1),FALSE))</f>
        <v>0.18648544535679726</v>
      </c>
      <c r="AX108" s="72">
        <f>IF(VLOOKUP($A108,raw[],COLUMN(AY$1)-COLUMN($A$1),FALSE)=0, VLOOKUP($D108, regions[], COLUMN(AY$1)-COLUMN($A$1), FALSE), VLOOKUP($A108,raw[],COLUMN(AY$1)-COLUMN($A$1),FALSE))</f>
        <v>67.47</v>
      </c>
      <c r="AY108" t="str">
        <f t="shared" si="3"/>
        <v>No</v>
      </c>
    </row>
    <row r="109" spans="1:51" x14ac:dyDescent="0.25">
      <c r="A109" s="55" t="s">
        <v>438</v>
      </c>
      <c r="B109" s="56" t="s">
        <v>439</v>
      </c>
      <c r="C109" s="56">
        <v>688</v>
      </c>
      <c r="D109" s="56" t="s">
        <v>201</v>
      </c>
      <c r="E109" s="56" t="s">
        <v>202</v>
      </c>
      <c r="F109" s="56" t="s">
        <v>203</v>
      </c>
      <c r="G109" s="56" t="s">
        <v>204</v>
      </c>
      <c r="H109" s="74">
        <f>VLOOKUP(lmics[[#This Row],[setting]],raw[],8,FALSE)</f>
        <v>8737370</v>
      </c>
      <c r="I109" s="74">
        <f>VLOOKUP(lmics[[#This Row],[setting]],raw[],9,FALSE)</f>
        <v>83459.358240000001</v>
      </c>
      <c r="J109" s="67">
        <f>IF(VLOOKUP($A109,raw[],COLUMN(J$1),FALSE)=0, VLOOKUP($D109, regions[], COLUMN(J$1), FALSE), VLOOKUP($A109,raw[],COLUMN(J$1),FALSE))</f>
        <v>0.98199999999999998</v>
      </c>
      <c r="K109" s="77">
        <f>VLOOKUP($A109, raw[], 11, FALSE)</f>
        <v>0.99</v>
      </c>
      <c r="L109" s="77">
        <f>VLOOKUP($A109, raw[], 12, FALSE)</f>
        <v>0.87</v>
      </c>
      <c r="M109" s="77">
        <f>IF(VLOOKUP($A109,raw[],COLUMN(M$1),FALSE)=0, VLOOKUP($D109, regions[], COLUMN(M$1), FALSE), VLOOKUP($A109,raw[],COLUMN(M$1),FALSE))</f>
        <v>1.41E-2</v>
      </c>
      <c r="N109" s="68">
        <f>IF(VLOOKUP($A109,raw[],COLUMN(N$1),FALSE)=0, VLOOKUP($D109, regions[], COLUMN(N$1), FALSE), VLOOKUP($A109,raw[],COLUMN(N$1),FALSE))</f>
        <v>0.28459441245417411</v>
      </c>
      <c r="O109" s="67">
        <f>IF(VLOOKUP($A109,raw[],COLUMN(O$1),FALSE)=0, VLOOKUP($D109, regions[], COLUMN(O$1), FALSE), VLOOKUP($A109,raw[],COLUMN(O$1),FALSE))</f>
        <v>0.8</v>
      </c>
      <c r="P109" s="68">
        <f>IF(VLOOKUP($A109,raw[],COLUMN(P$1),FALSE)=0, VLOOKUP($D109, regions[], COLUMN(P$1), FALSE), VLOOKUP($A109,raw[],COLUMN(P$1),FALSE))</f>
        <v>0.17499999999999999</v>
      </c>
      <c r="Q109" s="70">
        <f>IF(VLOOKUP($A109,raw[],COLUMN(Q$1),FALSE)=0, VLOOKUP($D109, regions[], COLUMN(Q$1), FALSE), VLOOKUP($A109,raw[],COLUMN(Q$1),FALSE))</f>
        <v>10.09815616099524</v>
      </c>
      <c r="R109" s="70">
        <f>IF(VLOOKUP($A109,raw[],COLUMN(R$1),FALSE)=0, VLOOKUP($D109, regions[], COLUMN(R$1), FALSE), VLOOKUP($A109,raw[],COLUMN(R$1),FALSE))</f>
        <v>32.423536160995241</v>
      </c>
      <c r="S109" s="70">
        <f>IF(VLOOKUP($A109,raw[],COLUMN(S$1),FALSE)=0, VLOOKUP($D109, regions[], COLUMN(S$1), FALSE), VLOOKUP($A109,raw[],COLUMN(S$1),FALSE))</f>
        <v>89.918439471731659</v>
      </c>
      <c r="T109" s="70">
        <f>IF(VLOOKUP($A109,raw[],COLUMN(U$1)-COLUMN($A$1),FALSE)=0, VLOOKUP($D109, regions[], COLUMN(U$1)-COLUMN($A$1), FALSE), VLOOKUP($A109,raw[],COLUMN(U$1)-COLUMN($A$1),FALSE))</f>
        <v>104.63453840465465</v>
      </c>
      <c r="U109" s="70">
        <f>IF(VLOOKUP($A109,raw[],COLUMN(V$1)-COLUMN($A$1),FALSE)=0, VLOOKUP($D109, regions[], COLUMN(V$1)-COLUMN($A$1), FALSE), VLOOKUP($A109,raw[],COLUMN(V$1)-COLUMN($A$1),FALSE))</f>
        <v>97.87721683336045</v>
      </c>
      <c r="V109" s="70">
        <f>IF(VLOOKUP($A109,raw[],COLUMN(W$1)-COLUMN($A$1),FALSE)=0, VLOOKUP($D109, regions[], COLUMN(W$1)-COLUMN($A$1), FALSE), VLOOKUP($A109,raw[],COLUMN(W$1)-COLUMN($A$1),FALSE))</f>
        <v>5.8883548218241932</v>
      </c>
      <c r="W109" s="70">
        <f>IF(VLOOKUP($A109,raw[],COLUMN(X$1)-COLUMN($A$1),FALSE)=0, VLOOKUP($D109, regions[], COLUMN(X$1)-COLUMN($A$1), FALSE), VLOOKUP($A109,raw[],COLUMN(X$1)-COLUMN($A$1),FALSE))</f>
        <v>9.9583548218241944</v>
      </c>
      <c r="X109" s="70">
        <f>IF(VLOOKUP($A109,raw[],COLUMN(Y$1)-COLUMN($A$1),FALSE)=0, VLOOKUP($D109, regions[], COLUMN(Y$1)-COLUMN($A$1), FALSE), VLOOKUP($A109,raw[],COLUMN(Y$1)-COLUMN($A$1),FALSE))</f>
        <v>5.4630209447484743</v>
      </c>
      <c r="Y109" s="70">
        <f>IF(VLOOKUP($A109,raw[],COLUMN(Z$1)-COLUMN($A$1),FALSE)=0, VLOOKUP($D109, regions[], COLUMN(Z$1)-COLUMN($A$1), FALSE), VLOOKUP($A109,raw[],COLUMN(Z$1)-COLUMN($A$1),FALSE))</f>
        <v>9.5330209447484755</v>
      </c>
      <c r="Z109" s="70">
        <f>IF(VLOOKUP($A109,raw[],COLUMN(AA$1)-COLUMN($A$1),FALSE)=0, VLOOKUP($D109, regions[], COLUMN(AA$1)-COLUMN($A$1), FALSE), VLOOKUP($A109,raw[],COLUMN(AA$1)-COLUMN($A$1),FALSE))</f>
        <v>9.5233393957485948</v>
      </c>
      <c r="AA109" s="70">
        <f>IF(VLOOKUP($A109,raw[],COLUMN(AB$1)-COLUMN($A$1),FALSE)=0, VLOOKUP($D109, regions[], COLUMN(AB$1)-COLUMN($A$1), FALSE), VLOOKUP($A109,raw[],COLUMN(AB$1)-COLUMN($A$1),FALSE))</f>
        <v>6.0987555219709071</v>
      </c>
      <c r="AB109" s="70">
        <f>IF(VLOOKUP($A109,raw[],COLUMN(AC$1)-COLUMN($A$1),FALSE)=0, VLOOKUP($D109, regions[], COLUMN(AC$1)-COLUMN($A$1), FALSE), VLOOKUP($A109,raw[],COLUMN(AC$1)-COLUMN($A$1),FALSE))</f>
        <v>10.168755521970908</v>
      </c>
      <c r="AC109" s="72">
        <f>IF(VLOOKUP($A109,raw[],COLUMN(AD$1)-COLUMN($A$1),FALSE)=0, VLOOKUP($D109, regions[], COLUMN(AD$1)-COLUMN($A$1), FALSE), VLOOKUP($A109,raw[],COLUMN(AD$1)-COLUMN($A$1),FALSE))</f>
        <v>4.8995299999999411E-3</v>
      </c>
      <c r="AD109" s="72">
        <f>IF(VLOOKUP($A109,raw[],COLUMN(AE$1)-COLUMN($A$1),FALSE)=0, VLOOKUP($D109, regions[], COLUMN(AE$1)-COLUMN($A$1), FALSE), VLOOKUP($A109,raw[],COLUMN(AE$1)-COLUMN($A$1),FALSE))</f>
        <v>1.7083953341918287E-4</v>
      </c>
      <c r="AE109" s="72">
        <f>IF(VLOOKUP($A109,raw[],COLUMN(AF$1)-COLUMN($A$1),FALSE)=0, VLOOKUP($D109, regions[], COLUMN(AF$1)-COLUMN($A$1), FALSE), VLOOKUP($A109,raw[],COLUMN(AF$1)-COLUMN($A$1),FALSE))</f>
        <v>1.0017090758570446E-4</v>
      </c>
      <c r="AF109" s="72">
        <f>IF(VLOOKUP($A109,raw[],COLUMN(AG$1)-COLUMN($A$1),FALSE)=0, VLOOKUP($D109, regions[], COLUMN(AG$1)-COLUMN($A$1), FALSE), VLOOKUP($A109,raw[],COLUMN(AG$1)-COLUMN($A$1),FALSE))</f>
        <v>1.1698901242191568E-4</v>
      </c>
      <c r="AG109" s="72">
        <f>IF(VLOOKUP($A109,raw[],COLUMN(AH$1)-COLUMN($A$1),FALSE)=0, VLOOKUP($D109, regions[], COLUMN(AH$1)-COLUMN($A$1), FALSE), VLOOKUP($A109,raw[],COLUMN(AH$1)-COLUMN($A$1),FALSE))</f>
        <v>3.0176746654203036E-4</v>
      </c>
      <c r="AH109" s="72">
        <f>IF(VLOOKUP($A109,raw[],COLUMN(AI$1)-COLUMN($A$1),FALSE)=0, VLOOKUP($D109, regions[], COLUMN(AI$1)-COLUMN($A$1), FALSE), VLOOKUP($A109,raw[],COLUMN(AI$1)-COLUMN($A$1),FALSE))</f>
        <v>4.1528984317687332E-4</v>
      </c>
      <c r="AI109" s="72">
        <f>IF(VLOOKUP($A109,raw[],COLUMN(AJ$1)-COLUMN($A$1),FALSE)=0, VLOOKUP($D109, regions[], COLUMN(AJ$1)-COLUMN($A$1), FALSE), VLOOKUP($A109,raw[],COLUMN(AJ$1)-COLUMN($A$1),FALSE))</f>
        <v>5.3377776219185849E-4</v>
      </c>
      <c r="AJ109" s="72">
        <f>IF(VLOOKUP($A109,raw[],COLUMN(AK$1)-COLUMN($A$1),FALSE)=0, VLOOKUP($D109, regions[], COLUMN(AK$1)-COLUMN($A$1), FALSE), VLOOKUP($A109,raw[],COLUMN(AK$1)-COLUMN($A$1),FALSE))</f>
        <v>7.715269962067933E-4</v>
      </c>
      <c r="AK109" s="72">
        <f>IF(VLOOKUP($A109,raw[],COLUMN(AL$1)-COLUMN($A$1),FALSE)=0, VLOOKUP($D109, regions[], COLUMN(AL$1)-COLUMN($A$1), FALSE), VLOOKUP($A109,raw[],COLUMN(AL$1)-COLUMN($A$1),FALSE))</f>
        <v>1.0787494523981423E-3</v>
      </c>
      <c r="AL109" s="72">
        <f>IF(VLOOKUP($A109,raw[],COLUMN(AM$1)-COLUMN($A$1),FALSE)=0, VLOOKUP($D109, regions[], COLUMN(AM$1)-COLUMN($A$1), FALSE), VLOOKUP($A109,raw[],COLUMN(AM$1)-COLUMN($A$1),FALSE))</f>
        <v>1.8174140218163799E-3</v>
      </c>
      <c r="AM109" s="72">
        <f>IF(VLOOKUP($A109,raw[],COLUMN(AN$1)-COLUMN($A$1),FALSE)=0, VLOOKUP($D109, regions[], COLUMN(AN$1)-COLUMN($A$1), FALSE), VLOOKUP($A109,raw[],COLUMN(AN$1)-COLUMN($A$1),FALSE))</f>
        <v>3.1902679586234893E-3</v>
      </c>
      <c r="AN109" s="72">
        <f>IF(VLOOKUP($A109,raw[],COLUMN(AO$1)-COLUMN($A$1),FALSE)=0, VLOOKUP($D109, regions[], COLUMN(AO$1)-COLUMN($A$1), FALSE), VLOOKUP($A109,raw[],COLUMN(AO$1)-COLUMN($A$1),FALSE))</f>
        <v>5.6146180614289696E-3</v>
      </c>
      <c r="AO109" s="72">
        <f>IF(VLOOKUP($A109,raw[],COLUMN(AP$1)-COLUMN($A$1),FALSE)=0, VLOOKUP($D109, regions[], COLUMN(AP$1)-COLUMN($A$1), FALSE), VLOOKUP($A109,raw[],COLUMN(AP$1)-COLUMN($A$1),FALSE))</f>
        <v>9.1625996944298422E-3</v>
      </c>
      <c r="AP109" s="72">
        <f>IF(VLOOKUP($A109,raw[],COLUMN(AQ$1)-COLUMN($A$1),FALSE)=0, VLOOKUP($D109, regions[], COLUMN(AQ$1)-COLUMN($A$1), FALSE), VLOOKUP($A109,raw[],COLUMN(AQ$1)-COLUMN($A$1),FALSE))</f>
        <v>1.4191375580089568E-2</v>
      </c>
      <c r="AQ109" s="72">
        <f>IF(VLOOKUP($A109,raw[],COLUMN(AR$1)-COLUMN($A$1),FALSE)=0, VLOOKUP($D109, regions[], COLUMN(AR$1)-COLUMN($A$1), FALSE), VLOOKUP($A109,raw[],COLUMN(AR$1)-COLUMN($A$1),FALSE))</f>
        <v>2.0881851655931701E-2</v>
      </c>
      <c r="AR109" s="72">
        <f>IF(VLOOKUP($A109,raw[],COLUMN(AS$1)-COLUMN($A$1),FALSE)=0, VLOOKUP($D109, regions[], COLUMN(AS$1)-COLUMN($A$1), FALSE), VLOOKUP($A109,raw[],COLUMN(AS$1)-COLUMN($A$1),FALSE))</f>
        <v>3.1816428853184232E-2</v>
      </c>
      <c r="AS109" s="72">
        <f>IF(VLOOKUP($A109,raw[],COLUMN(AT$1)-COLUMN($A$1),FALSE)=0, VLOOKUP($D109, regions[], COLUMN(AT$1)-COLUMN($A$1), FALSE), VLOOKUP($A109,raw[],COLUMN(AT$1)-COLUMN($A$1),FALSE))</f>
        <v>5.3497565689160982E-2</v>
      </c>
      <c r="AT109" s="72">
        <f>IF(VLOOKUP($A109,raw[],COLUMN(AU$1)-COLUMN($A$1),FALSE)=0, VLOOKUP($D109, regions[], COLUMN(AU$1)-COLUMN($A$1), FALSE), VLOOKUP($A109,raw[],COLUMN(AU$1)-COLUMN($A$1),FALSE))</f>
        <v>8.5797755667433112E-2</v>
      </c>
      <c r="AU109" s="72">
        <f>IF(VLOOKUP($A109,raw[],COLUMN(AV$1)-COLUMN($A$1),FALSE)=0, VLOOKUP($D109, regions[], COLUMN(AV$1)-COLUMN($A$1), FALSE), VLOOKUP($A109,raw[],COLUMN(AV$1)-COLUMN($A$1),FALSE))</f>
        <v>0.12234204064157438</v>
      </c>
      <c r="AV109" s="72">
        <f>IF(VLOOKUP($A109,raw[],COLUMN(AW$1)-COLUMN($A$1),FALSE)=0, VLOOKUP($D109, regions[], COLUMN(AW$1)-COLUMN($A$1), FALSE), VLOOKUP($A109,raw[],COLUMN(AW$1)-COLUMN($A$1),FALSE))</f>
        <v>0.16031023685506621</v>
      </c>
      <c r="AW109" s="72">
        <f>IF(VLOOKUP($A109,raw[],COLUMN(AX$1)-COLUMN($A$1),FALSE)=0, VLOOKUP($D109, regions[], COLUMN(AX$1)-COLUMN($A$1), FALSE), VLOOKUP($A109,raw[],COLUMN(AX$1)-COLUMN($A$1),FALSE))</f>
        <v>0.18252897881819899</v>
      </c>
      <c r="AX109" s="72">
        <f>IF(VLOOKUP($A109,raw[],COLUMN(AY$1)-COLUMN($A$1),FALSE)=0, VLOOKUP($D109, regions[], COLUMN(AY$1)-COLUMN($A$1), FALSE), VLOOKUP($A109,raw[],COLUMN(AY$1)-COLUMN($A$1),FALSE))</f>
        <v>75.772000000000006</v>
      </c>
      <c r="AY109" t="str">
        <f t="shared" si="3"/>
        <v>No</v>
      </c>
    </row>
    <row r="110" spans="1:51" x14ac:dyDescent="0.25">
      <c r="A110" s="53" t="s">
        <v>440</v>
      </c>
      <c r="B110" s="54" t="s">
        <v>441</v>
      </c>
      <c r="C110" s="54">
        <v>694</v>
      </c>
      <c r="D110" s="54" t="s">
        <v>207</v>
      </c>
      <c r="E110" s="54" t="s">
        <v>235</v>
      </c>
      <c r="F110" s="54" t="s">
        <v>211</v>
      </c>
      <c r="G110" s="54" t="s">
        <v>198</v>
      </c>
      <c r="H110" s="73">
        <f>VLOOKUP(lmics[[#This Row],[setting]],raw[],8,FALSE)</f>
        <v>7976985</v>
      </c>
      <c r="I110" s="73">
        <f>VLOOKUP(lmics[[#This Row],[setting]],raw[],9,FALSE)</f>
        <v>269023.81912499998</v>
      </c>
      <c r="J110" s="67">
        <f>IF(VLOOKUP($A110,raw[],COLUMN(J$1),FALSE)=0, VLOOKUP($D110, regions[], COLUMN(J$1), FALSE), VLOOKUP($A110,raw[],COLUMN(J$1),FALSE))</f>
        <v>0.83400000000000007</v>
      </c>
      <c r="K110" s="77">
        <f>VLOOKUP($A110, raw[], 11, FALSE)</f>
        <v>0</v>
      </c>
      <c r="L110" s="77">
        <f>VLOOKUP($A110, raw[], 12, FALSE)</f>
        <v>0.91</v>
      </c>
      <c r="M110" s="77">
        <f>IF(VLOOKUP($A110,raw[],COLUMN(M$1),FALSE)=0, VLOOKUP($D110, regions[], COLUMN(M$1), FALSE), VLOOKUP($A110,raw[],COLUMN(M$1),FALSE))</f>
        <v>7.9600000000000004E-2</v>
      </c>
      <c r="N110" s="68">
        <f>IF(VLOOKUP($A110,raw[],COLUMN(N$1),FALSE)=0, VLOOKUP($D110, regions[], COLUMN(N$1), FALSE), VLOOKUP($A110,raw[],COLUMN(N$1),FALSE))</f>
        <v>0.29917053231968926</v>
      </c>
      <c r="O110" s="67">
        <f>IF(VLOOKUP($A110,raw[],COLUMN(O$1),FALSE)=0, VLOOKUP($D110, regions[], COLUMN(O$1), FALSE), VLOOKUP($A110,raw[],COLUMN(O$1),FALSE))</f>
        <v>0.38300000000000001</v>
      </c>
      <c r="P110" s="68">
        <f>IF(VLOOKUP($A110,raw[],COLUMN(P$1),FALSE)=0, VLOOKUP($D110, regions[], COLUMN(P$1), FALSE), VLOOKUP($A110,raw[],COLUMN(P$1),FALSE))</f>
        <v>4.8000000000000001E-2</v>
      </c>
      <c r="Q110" s="70">
        <f>IF(VLOOKUP($A110,raw[],COLUMN(Q$1),FALSE)=0, VLOOKUP($D110, regions[], COLUMN(Q$1), FALSE), VLOOKUP($A110,raw[],COLUMN(Q$1),FALSE))</f>
        <v>2.7658979138322</v>
      </c>
      <c r="R110" s="70">
        <f>IF(VLOOKUP($A110,raw[],COLUMN(R$1),FALSE)=0, VLOOKUP($D110, regions[], COLUMN(R$1), FALSE), VLOOKUP($A110,raw[],COLUMN(R$1),FALSE))</f>
        <v>25.091277913832201</v>
      </c>
      <c r="S110" s="70">
        <f>IF(VLOOKUP($A110,raw[],COLUMN(S$1),FALSE)=0, VLOOKUP($D110, regions[], COLUMN(S$1), FALSE), VLOOKUP($A110,raw[],COLUMN(S$1),FALSE))</f>
        <v>55.484360474103866</v>
      </c>
      <c r="T110" s="70">
        <f>IF(VLOOKUP($A110,raw[],COLUMN(U$1)-COLUMN($A$1),FALSE)=0, VLOOKUP($D110, regions[], COLUMN(U$1)-COLUMN($A$1), FALSE), VLOOKUP($A110,raw[],COLUMN(U$1)-COLUMN($A$1),FALSE))</f>
        <v>56.094908946143718</v>
      </c>
      <c r="U110" s="70">
        <f>IF(VLOOKUP($A110,raw[],COLUMN(V$1)-COLUMN($A$1),FALSE)=0, VLOOKUP($D110, regions[], COLUMN(V$1)-COLUMN($A$1), FALSE), VLOOKUP($A110,raw[],COLUMN(V$1)-COLUMN($A$1),FALSE))</f>
        <v>55.814557993133633</v>
      </c>
      <c r="V110" s="70">
        <f>IF(VLOOKUP($A110,raw[],COLUMN(W$1)-COLUMN($A$1),FALSE)=0, VLOOKUP($D110, regions[], COLUMN(W$1)-COLUMN($A$1), FALSE), VLOOKUP($A110,raw[],COLUMN(W$1)-COLUMN($A$1),FALSE))</f>
        <v>2.6869554842759991</v>
      </c>
      <c r="W110" s="70">
        <f>IF(VLOOKUP($A110,raw[],COLUMN(X$1)-COLUMN($A$1),FALSE)=0, VLOOKUP($D110, regions[], COLUMN(X$1)-COLUMN($A$1), FALSE), VLOOKUP($A110,raw[],COLUMN(X$1)-COLUMN($A$1),FALSE))</f>
        <v>7.5169554842759991</v>
      </c>
      <c r="X110" s="70">
        <f>IF(VLOOKUP($A110,raw[],COLUMN(Y$1)-COLUMN($A$1),FALSE)=0, VLOOKUP($D110, regions[], COLUMN(Y$1)-COLUMN($A$1), FALSE), VLOOKUP($A110,raw[],COLUMN(Y$1)-COLUMN($A$1),FALSE))</f>
        <v>2.2815334430309848</v>
      </c>
      <c r="Y110" s="70">
        <f>IF(VLOOKUP($A110,raw[],COLUMN(Z$1)-COLUMN($A$1),FALSE)=0, VLOOKUP($D110, regions[], COLUMN(Z$1)-COLUMN($A$1), FALSE), VLOOKUP($A110,raw[],COLUMN(Z$1)-COLUMN($A$1),FALSE))</f>
        <v>7.1115334430309849</v>
      </c>
      <c r="Z110" s="70">
        <f>IF(VLOOKUP($A110,raw[],COLUMN(AA$1)-COLUMN($A$1),FALSE)=0, VLOOKUP($D110, regions[], COLUMN(AA$1)-COLUMN($A$1), FALSE), VLOOKUP($A110,raw[],COLUMN(AA$1)-COLUMN($A$1),FALSE))</f>
        <v>7.1098364428739078</v>
      </c>
      <c r="AA110" s="70">
        <f>IF(VLOOKUP($A110,raw[],COLUMN(AB$1)-COLUMN($A$1),FALSE)=0, VLOOKUP($D110, regions[], COLUMN(AB$1)-COLUMN($A$1), FALSE), VLOOKUP($A110,raw[],COLUMN(AB$1)-COLUMN($A$1),FALSE))</f>
        <v>2.8902571820830709</v>
      </c>
      <c r="AB110" s="70">
        <f>IF(VLOOKUP($A110,raw[],COLUMN(AC$1)-COLUMN($A$1),FALSE)=0, VLOOKUP($D110, regions[], COLUMN(AC$1)-COLUMN($A$1), FALSE), VLOOKUP($A110,raw[],COLUMN(AC$1)-COLUMN($A$1),FALSE))</f>
        <v>7.7202571820830705</v>
      </c>
      <c r="AC110" s="72">
        <f>IF(VLOOKUP($A110,raw[],COLUMN(AD$1)-COLUMN($A$1),FALSE)=0, VLOOKUP($D110, regions[], COLUMN(AD$1)-COLUMN($A$1), FALSE), VLOOKUP($A110,raw[],COLUMN(AD$1)-COLUMN($A$1),FALSE))</f>
        <v>8.0791989999999939E-2</v>
      </c>
      <c r="AD110" s="72">
        <f>IF(VLOOKUP($A110,raw[],COLUMN(AE$1)-COLUMN($A$1),FALSE)=0, VLOOKUP($D110, regions[], COLUMN(AE$1)-COLUMN($A$1), FALSE), VLOOKUP($A110,raw[],COLUMN(AE$1)-COLUMN($A$1),FALSE))</f>
        <v>8.0492064032383816E-3</v>
      </c>
      <c r="AE110" s="72">
        <f>IF(VLOOKUP($A110,raw[],COLUMN(AF$1)-COLUMN($A$1),FALSE)=0, VLOOKUP($D110, regions[], COLUMN(AF$1)-COLUMN($A$1), FALSE), VLOOKUP($A110,raw[],COLUMN(AF$1)-COLUMN($A$1),FALSE))</f>
        <v>3.5608000666088016E-3</v>
      </c>
      <c r="AF110" s="72">
        <f>IF(VLOOKUP($A110,raw[],COLUMN(AG$1)-COLUMN($A$1),FALSE)=0, VLOOKUP($D110, regions[], COLUMN(AG$1)-COLUMN($A$1), FALSE), VLOOKUP($A110,raw[],COLUMN(AG$1)-COLUMN($A$1),FALSE))</f>
        <v>2.6162080832433177E-3</v>
      </c>
      <c r="AG110" s="72">
        <f>IF(VLOOKUP($A110,raw[],COLUMN(AH$1)-COLUMN($A$1),FALSE)=0, VLOOKUP($D110, regions[], COLUMN(AH$1)-COLUMN($A$1), FALSE), VLOOKUP($A110,raw[],COLUMN(AH$1)-COLUMN($A$1),FALSE))</f>
        <v>4.3052383161752408E-3</v>
      </c>
      <c r="AH110" s="72">
        <f>IF(VLOOKUP($A110,raw[],COLUMN(AI$1)-COLUMN($A$1),FALSE)=0, VLOOKUP($D110, regions[], COLUMN(AI$1)-COLUMN($A$1), FALSE), VLOOKUP($A110,raw[],COLUMN(AI$1)-COLUMN($A$1),FALSE))</f>
        <v>5.9920316757103246E-3</v>
      </c>
      <c r="AI110" s="72">
        <f>IF(VLOOKUP($A110,raw[],COLUMN(AJ$1)-COLUMN($A$1),FALSE)=0, VLOOKUP($D110, regions[], COLUMN(AJ$1)-COLUMN($A$1), FALSE), VLOOKUP($A110,raw[],COLUMN(AJ$1)-COLUMN($A$1),FALSE))</f>
        <v>6.5786935829567836E-3</v>
      </c>
      <c r="AJ110" s="72">
        <f>IF(VLOOKUP($A110,raw[],COLUMN(AK$1)-COLUMN($A$1),FALSE)=0, VLOOKUP($D110, regions[], COLUMN(AK$1)-COLUMN($A$1), FALSE), VLOOKUP($A110,raw[],COLUMN(AK$1)-COLUMN($A$1),FALSE))</f>
        <v>7.234750920304415E-3</v>
      </c>
      <c r="AK110" s="72">
        <f>IF(VLOOKUP($A110,raw[],COLUMN(AL$1)-COLUMN($A$1),FALSE)=0, VLOOKUP($D110, regions[], COLUMN(AL$1)-COLUMN($A$1), FALSE), VLOOKUP($A110,raw[],COLUMN(AL$1)-COLUMN($A$1),FALSE))</f>
        <v>8.3504644636627923E-3</v>
      </c>
      <c r="AL110" s="72">
        <f>IF(VLOOKUP($A110,raw[],COLUMN(AM$1)-COLUMN($A$1),FALSE)=0, VLOOKUP($D110, regions[], COLUMN(AM$1)-COLUMN($A$1), FALSE), VLOOKUP($A110,raw[],COLUMN(AM$1)-COLUMN($A$1),FALSE))</f>
        <v>9.8848707524258565E-3</v>
      </c>
      <c r="AM110" s="72">
        <f>IF(VLOOKUP($A110,raw[],COLUMN(AN$1)-COLUMN($A$1),FALSE)=0, VLOOKUP($D110, regions[], COLUMN(AN$1)-COLUMN($A$1), FALSE), VLOOKUP($A110,raw[],COLUMN(AN$1)-COLUMN($A$1),FALSE))</f>
        <v>1.2124266776455981E-2</v>
      </c>
      <c r="AN110" s="72">
        <f>IF(VLOOKUP($A110,raw[],COLUMN(AO$1)-COLUMN($A$1),FALSE)=0, VLOOKUP($D110, regions[], COLUMN(AO$1)-COLUMN($A$1), FALSE), VLOOKUP($A110,raw[],COLUMN(AO$1)-COLUMN($A$1),FALSE))</f>
        <v>1.586958988938663E-2</v>
      </c>
      <c r="AO110" s="72">
        <f>IF(VLOOKUP($A110,raw[],COLUMN(AP$1)-COLUMN($A$1),FALSE)=0, VLOOKUP($D110, regions[], COLUMN(AP$1)-COLUMN($A$1), FALSE), VLOOKUP($A110,raw[],COLUMN(AP$1)-COLUMN($A$1),FALSE))</f>
        <v>2.1106310169851972E-2</v>
      </c>
      <c r="AP110" s="72">
        <f>IF(VLOOKUP($A110,raw[],COLUMN(AQ$1)-COLUMN($A$1),FALSE)=0, VLOOKUP($D110, regions[], COLUMN(AQ$1)-COLUMN($A$1), FALSE), VLOOKUP($A110,raw[],COLUMN(AQ$1)-COLUMN($A$1),FALSE))</f>
        <v>2.9723773963725244E-2</v>
      </c>
      <c r="AQ110" s="72">
        <f>IF(VLOOKUP($A110,raw[],COLUMN(AR$1)-COLUMN($A$1),FALSE)=0, VLOOKUP($D110, regions[], COLUMN(AR$1)-COLUMN($A$1), FALSE), VLOOKUP($A110,raw[],COLUMN(AR$1)-COLUMN($A$1),FALSE))</f>
        <v>4.2050380421760292E-2</v>
      </c>
      <c r="AR110" s="72">
        <f>IF(VLOOKUP($A110,raw[],COLUMN(AS$1)-COLUMN($A$1),FALSE)=0, VLOOKUP($D110, regions[], COLUMN(AS$1)-COLUMN($A$1), FALSE), VLOOKUP($A110,raw[],COLUMN(AS$1)-COLUMN($A$1),FALSE))</f>
        <v>6.0552989573148606E-2</v>
      </c>
      <c r="AS110" s="72">
        <f>IF(VLOOKUP($A110,raw[],COLUMN(AT$1)-COLUMN($A$1),FALSE)=0, VLOOKUP($D110, regions[], COLUMN(AT$1)-COLUMN($A$1), FALSE), VLOOKUP($A110,raw[],COLUMN(AT$1)-COLUMN($A$1),FALSE))</f>
        <v>8.4562642131675372E-2</v>
      </c>
      <c r="AT110" s="72">
        <f>IF(VLOOKUP($A110,raw[],COLUMN(AU$1)-COLUMN($A$1),FALSE)=0, VLOOKUP($D110, regions[], COLUMN(AU$1)-COLUMN($A$1), FALSE), VLOOKUP($A110,raw[],COLUMN(AU$1)-COLUMN($A$1),FALSE))</f>
        <v>0.11276112706617331</v>
      </c>
      <c r="AU110" s="72">
        <f>IF(VLOOKUP($A110,raw[],COLUMN(AV$1)-COLUMN($A$1),FALSE)=0, VLOOKUP($D110, regions[], COLUMN(AV$1)-COLUMN($A$1), FALSE), VLOOKUP($A110,raw[],COLUMN(AV$1)-COLUMN($A$1),FALSE))</f>
        <v>0.13854292675347465</v>
      </c>
      <c r="AV110" s="72">
        <f>IF(VLOOKUP($A110,raw[],COLUMN(AW$1)-COLUMN($A$1),FALSE)=0, VLOOKUP($D110, regions[], COLUMN(AW$1)-COLUMN($A$1), FALSE), VLOOKUP($A110,raw[],COLUMN(AW$1)-COLUMN($A$1),FALSE))</f>
        <v>0.16107073910210398</v>
      </c>
      <c r="AW110" s="72">
        <f>IF(VLOOKUP($A110,raw[],COLUMN(AX$1)-COLUMN($A$1),FALSE)=0, VLOOKUP($D110, regions[], COLUMN(AX$1)-COLUMN($A$1), FALSE), VLOOKUP($A110,raw[],COLUMN(AX$1)-COLUMN($A$1),FALSE))</f>
        <v>0.17851912460620289</v>
      </c>
      <c r="AX110" s="72">
        <f>IF(VLOOKUP($A110,raw[],COLUMN(AY$1)-COLUMN($A$1),FALSE)=0, VLOOKUP($D110, regions[], COLUMN(AY$1)-COLUMN($A$1), FALSE), VLOOKUP($A110,raw[],COLUMN(AY$1)-COLUMN($A$1),FALSE))</f>
        <v>54.066000000000003</v>
      </c>
      <c r="AY110" t="str">
        <f t="shared" si="3"/>
        <v>Yes</v>
      </c>
    </row>
    <row r="111" spans="1:51" x14ac:dyDescent="0.25">
      <c r="A111" s="55" t="s">
        <v>442</v>
      </c>
      <c r="B111" s="56" t="s">
        <v>443</v>
      </c>
      <c r="C111" s="56">
        <v>90</v>
      </c>
      <c r="D111" s="56" t="s">
        <v>260</v>
      </c>
      <c r="E111" s="56" t="s">
        <v>309</v>
      </c>
      <c r="F111" s="56" t="s">
        <v>262</v>
      </c>
      <c r="G111" s="56" t="s">
        <v>212</v>
      </c>
      <c r="H111" s="74">
        <f>VLOOKUP(lmics[[#This Row],[setting]],raw[],8,FALSE)</f>
        <v>686878</v>
      </c>
      <c r="I111" s="74">
        <f>VLOOKUP(lmics[[#This Row],[setting]],raw[],9,FALSE)</f>
        <v>22467.779380000004</v>
      </c>
      <c r="J111" s="67">
        <f>IF(VLOOKUP($A111,raw[],COLUMN(J$1),FALSE)=0, VLOOKUP($D111, regions[], COLUMN(J$1), FALSE), VLOOKUP($A111,raw[],COLUMN(J$1),FALSE))</f>
        <v>0.84499999999999997</v>
      </c>
      <c r="K111" s="77">
        <f>VLOOKUP($A111, raw[], 11, FALSE)</f>
        <v>0.7</v>
      </c>
      <c r="L111" s="77">
        <f>VLOOKUP($A111, raw[], 12, FALSE)</f>
        <v>0.94</v>
      </c>
      <c r="M111" s="77">
        <f>IF(VLOOKUP($A111,raw[],COLUMN(M$1),FALSE)=0, VLOOKUP($D111, regions[], COLUMN(M$1), FALSE), VLOOKUP($A111,raw[],COLUMN(M$1),FALSE))</f>
        <v>8.8200000000000001E-2</v>
      </c>
      <c r="N111" s="68">
        <f>IF(VLOOKUP($A111,raw[],COLUMN(N$1),FALSE)=0, VLOOKUP($D111, regions[], COLUMN(N$1), FALSE), VLOOKUP($A111,raw[],COLUMN(N$1),FALSE))</f>
        <v>0.33679792873325681</v>
      </c>
      <c r="O111" s="67">
        <f>IF(VLOOKUP($A111,raw[],COLUMN(O$1),FALSE)=0, VLOOKUP($D111, regions[], COLUMN(O$1), FALSE), VLOOKUP($A111,raw[],COLUMN(O$1),FALSE))</f>
        <v>0.8</v>
      </c>
      <c r="P111" s="68">
        <f>IF(VLOOKUP($A111,raw[],COLUMN(P$1),FALSE)=0, VLOOKUP($D111, regions[], COLUMN(P$1), FALSE), VLOOKUP($A111,raw[],COLUMN(P$1),FALSE))</f>
        <v>0.17499999999999999</v>
      </c>
      <c r="Q111" s="70">
        <f>IF(VLOOKUP($A111,raw[],COLUMN(Q$1),FALSE)=0, VLOOKUP($D111, regions[], COLUMN(Q$1), FALSE), VLOOKUP($A111,raw[],COLUMN(Q$1),FALSE))</f>
        <v>5.9439471880961499</v>
      </c>
      <c r="R111" s="70">
        <f>IF(VLOOKUP($A111,raw[],COLUMN(R$1),FALSE)=0, VLOOKUP($D111, regions[], COLUMN(R$1), FALSE), VLOOKUP($A111,raw[],COLUMN(R$1),FALSE))</f>
        <v>28.269327188096153</v>
      </c>
      <c r="S111" s="70">
        <f>IF(VLOOKUP($A111,raw[],COLUMN(S$1),FALSE)=0, VLOOKUP($D111, regions[], COLUMN(S$1), FALSE), VLOOKUP($A111,raw[],COLUMN(S$1),FALSE))</f>
        <v>65.696341633665639</v>
      </c>
      <c r="T111" s="70">
        <f>IF(VLOOKUP($A111,raw[],COLUMN(U$1)-COLUMN($A$1),FALSE)=0, VLOOKUP($D111, regions[], COLUMN(U$1)-COLUMN($A$1), FALSE), VLOOKUP($A111,raw[],COLUMN(U$1)-COLUMN($A$1),FALSE))</f>
        <v>69.967805808012372</v>
      </c>
      <c r="U111" s="70">
        <f>IF(VLOOKUP($A111,raw[],COLUMN(V$1)-COLUMN($A$1),FALSE)=0, VLOOKUP($D111, regions[], COLUMN(V$1)-COLUMN($A$1), FALSE), VLOOKUP($A111,raw[],COLUMN(V$1)-COLUMN($A$1),FALSE))</f>
        <v>68.006439746402833</v>
      </c>
      <c r="V111" s="70">
        <f>IF(VLOOKUP($A111,raw[],COLUMN(W$1)-COLUMN($A$1),FALSE)=0, VLOOKUP($D111, regions[], COLUMN(W$1)-COLUMN($A$1), FALSE), VLOOKUP($A111,raw[],COLUMN(W$1)-COLUMN($A$1),FALSE))</f>
        <v>5.2070566496852049</v>
      </c>
      <c r="W111" s="70">
        <f>IF(VLOOKUP($A111,raw[],COLUMN(X$1)-COLUMN($A$1),FALSE)=0, VLOOKUP($D111, regions[], COLUMN(X$1)-COLUMN($A$1), FALSE), VLOOKUP($A111,raw[],COLUMN(X$1)-COLUMN($A$1),FALSE))</f>
        <v>5.8370566496852048</v>
      </c>
      <c r="X111" s="70">
        <f>IF(VLOOKUP($A111,raw[],COLUMN(Y$1)-COLUMN($A$1),FALSE)=0, VLOOKUP($D111, regions[], COLUMN(Y$1)-COLUMN($A$1), FALSE), VLOOKUP($A111,raw[],COLUMN(Y$1)-COLUMN($A$1),FALSE))</f>
        <v>4.7932657454722767</v>
      </c>
      <c r="Y111" s="70">
        <f>IF(VLOOKUP($A111,raw[],COLUMN(Z$1)-COLUMN($A$1),FALSE)=0, VLOOKUP($D111, regions[], COLUMN(Z$1)-COLUMN($A$1), FALSE), VLOOKUP($A111,raw[],COLUMN(Z$1)-COLUMN($A$1),FALSE))</f>
        <v>5.4232657454722766</v>
      </c>
      <c r="Z111" s="70">
        <f>IF(VLOOKUP($A111,raw[],COLUMN(AA$1)-COLUMN($A$1),FALSE)=0, VLOOKUP($D111, regions[], COLUMN(AA$1)-COLUMN($A$1), FALSE), VLOOKUP($A111,raw[],COLUMN(AA$1)-COLUMN($A$1),FALSE))</f>
        <v>5.418319025498274</v>
      </c>
      <c r="AA111" s="70">
        <f>IF(VLOOKUP($A111,raw[],COLUMN(AB$1)-COLUMN($A$1),FALSE)=0, VLOOKUP($D111, regions[], COLUMN(AB$1)-COLUMN($A$1), FALSE), VLOOKUP($A111,raw[],COLUMN(AB$1)-COLUMN($A$1),FALSE))</f>
        <v>5.4133420290721421</v>
      </c>
      <c r="AB111" s="70">
        <f>IF(VLOOKUP($A111,raw[],COLUMN(AC$1)-COLUMN($A$1),FALSE)=0, VLOOKUP($D111, regions[], COLUMN(AC$1)-COLUMN($A$1), FALSE), VLOOKUP($A111,raw[],COLUMN(AC$1)-COLUMN($A$1),FALSE))</f>
        <v>6.043342029072142</v>
      </c>
      <c r="AC111" s="72">
        <f>IF(VLOOKUP($A111,raw[],COLUMN(AD$1)-COLUMN($A$1),FALSE)=0, VLOOKUP($D111, regions[], COLUMN(AD$1)-COLUMN($A$1), FALSE), VLOOKUP($A111,raw[],COLUMN(AD$1)-COLUMN($A$1),FALSE))</f>
        <v>1.5456410000000033E-2</v>
      </c>
      <c r="AD111" s="72">
        <f>IF(VLOOKUP($A111,raw[],COLUMN(AE$1)-COLUMN($A$1),FALSE)=0, VLOOKUP($D111, regions[], COLUMN(AE$1)-COLUMN($A$1), FALSE), VLOOKUP($A111,raw[],COLUMN(AE$1)-COLUMN($A$1),FALSE))</f>
        <v>1.185059261825066E-3</v>
      </c>
      <c r="AE111" s="72">
        <f>IF(VLOOKUP($A111,raw[],COLUMN(AF$1)-COLUMN($A$1),FALSE)=0, VLOOKUP($D111, regions[], COLUMN(AF$1)-COLUMN($A$1), FALSE), VLOOKUP($A111,raw[],COLUMN(AF$1)-COLUMN($A$1),FALSE))</f>
        <v>4.3456899706413371E-4</v>
      </c>
      <c r="AF111" s="72">
        <f>IF(VLOOKUP($A111,raw[],COLUMN(AG$1)-COLUMN($A$1),FALSE)=0, VLOOKUP($D111, regions[], COLUMN(AG$1)-COLUMN($A$1), FALSE), VLOOKUP($A111,raw[],COLUMN(AG$1)-COLUMN($A$1),FALSE))</f>
        <v>4.0021784765494707E-4</v>
      </c>
      <c r="AG111" s="72">
        <f>IF(VLOOKUP($A111,raw[],COLUMN(AH$1)-COLUMN($A$1),FALSE)=0, VLOOKUP($D111, regions[], COLUMN(AH$1)-COLUMN($A$1), FALSE), VLOOKUP($A111,raw[],COLUMN(AH$1)-COLUMN($A$1),FALSE))</f>
        <v>8.7837052473555433E-4</v>
      </c>
      <c r="AH111" s="72">
        <f>IF(VLOOKUP($A111,raw[],COLUMN(AI$1)-COLUMN($A$1),FALSE)=0, VLOOKUP($D111, regions[], COLUMN(AI$1)-COLUMN($A$1), FALSE), VLOOKUP($A111,raw[],COLUMN(AI$1)-COLUMN($A$1),FALSE))</f>
        <v>1.1512833469450293E-3</v>
      </c>
      <c r="AI111" s="72">
        <f>IF(VLOOKUP($A111,raw[],COLUMN(AJ$1)-COLUMN($A$1),FALSE)=0, VLOOKUP($D111, regions[], COLUMN(AJ$1)-COLUMN($A$1), FALSE), VLOOKUP($A111,raw[],COLUMN(AJ$1)-COLUMN($A$1),FALSE))</f>
        <v>1.214610400427136E-3</v>
      </c>
      <c r="AJ111" s="72">
        <f>IF(VLOOKUP($A111,raw[],COLUMN(AK$1)-COLUMN($A$1),FALSE)=0, VLOOKUP($D111, regions[], COLUMN(AK$1)-COLUMN($A$1), FALSE), VLOOKUP($A111,raw[],COLUMN(AK$1)-COLUMN($A$1),FALSE))</f>
        <v>1.4435251908193217E-3</v>
      </c>
      <c r="AK111" s="72">
        <f>IF(VLOOKUP($A111,raw[],COLUMN(AL$1)-COLUMN($A$1),FALSE)=0, VLOOKUP($D111, regions[], COLUMN(AL$1)-COLUMN($A$1), FALSE), VLOOKUP($A111,raw[],COLUMN(AL$1)-COLUMN($A$1),FALSE))</f>
        <v>1.9439613398437219E-3</v>
      </c>
      <c r="AL111" s="72">
        <f>IF(VLOOKUP($A111,raw[],COLUMN(AM$1)-COLUMN($A$1),FALSE)=0, VLOOKUP($D111, regions[], COLUMN(AM$1)-COLUMN($A$1), FALSE), VLOOKUP($A111,raw[],COLUMN(AM$1)-COLUMN($A$1),FALSE))</f>
        <v>2.7999278701697052E-3</v>
      </c>
      <c r="AM111" s="72">
        <f>IF(VLOOKUP($A111,raw[],COLUMN(AN$1)-COLUMN($A$1),FALSE)=0, VLOOKUP($D111, regions[], COLUMN(AN$1)-COLUMN($A$1), FALSE), VLOOKUP($A111,raw[],COLUMN(AN$1)-COLUMN($A$1),FALSE))</f>
        <v>4.3143020320886979E-3</v>
      </c>
      <c r="AN111" s="72">
        <f>IF(VLOOKUP($A111,raw[],COLUMN(AO$1)-COLUMN($A$1),FALSE)=0, VLOOKUP($D111, regions[], COLUMN(AO$1)-COLUMN($A$1), FALSE), VLOOKUP($A111,raw[],COLUMN(AO$1)-COLUMN($A$1),FALSE))</f>
        <v>6.7067196149096986E-3</v>
      </c>
      <c r="AO111" s="72">
        <f>IF(VLOOKUP($A111,raw[],COLUMN(AP$1)-COLUMN($A$1),FALSE)=0, VLOOKUP($D111, regions[], COLUMN(AP$1)-COLUMN($A$1), FALSE), VLOOKUP($A111,raw[],COLUMN(AP$1)-COLUMN($A$1),FALSE))</f>
        <v>1.0468477461403398E-2</v>
      </c>
      <c r="AP111" s="72">
        <f>IF(VLOOKUP($A111,raw[],COLUMN(AQ$1)-COLUMN($A$1),FALSE)=0, VLOOKUP($D111, regions[], COLUMN(AQ$1)-COLUMN($A$1), FALSE), VLOOKUP($A111,raw[],COLUMN(AQ$1)-COLUMN($A$1),FALSE))</f>
        <v>1.5597674100623312E-2</v>
      </c>
      <c r="AQ111" s="72">
        <f>IF(VLOOKUP($A111,raw[],COLUMN(AR$1)-COLUMN($A$1),FALSE)=0, VLOOKUP($D111, regions[], COLUMN(AR$1)-COLUMN($A$1), FALSE), VLOOKUP($A111,raw[],COLUMN(AR$1)-COLUMN($A$1),FALSE))</f>
        <v>2.2999236052853578E-2</v>
      </c>
      <c r="AR111" s="72">
        <f>IF(VLOOKUP($A111,raw[],COLUMN(AS$1)-COLUMN($A$1),FALSE)=0, VLOOKUP($D111, regions[], COLUMN(AS$1)-COLUMN($A$1), FALSE), VLOOKUP($A111,raw[],COLUMN(AS$1)-COLUMN($A$1),FALSE))</f>
        <v>3.5236499263685224E-2</v>
      </c>
      <c r="AS111" s="72">
        <f>IF(VLOOKUP($A111,raw[],COLUMN(AT$1)-COLUMN($A$1),FALSE)=0, VLOOKUP($D111, regions[], COLUMN(AT$1)-COLUMN($A$1), FALSE), VLOOKUP($A111,raw[],COLUMN(AT$1)-COLUMN($A$1),FALSE))</f>
        <v>5.5711063082160645E-2</v>
      </c>
      <c r="AT111" s="72">
        <f>IF(VLOOKUP($A111,raw[],COLUMN(AU$1)-COLUMN($A$1),FALSE)=0, VLOOKUP($D111, regions[], COLUMN(AU$1)-COLUMN($A$1), FALSE), VLOOKUP($A111,raw[],COLUMN(AU$1)-COLUMN($A$1),FALSE))</f>
        <v>8.329784520348002E-2</v>
      </c>
      <c r="AU111" s="72">
        <f>IF(VLOOKUP($A111,raw[],COLUMN(AV$1)-COLUMN($A$1),FALSE)=0, VLOOKUP($D111, regions[], COLUMN(AV$1)-COLUMN($A$1), FALSE), VLOOKUP($A111,raw[],COLUMN(AV$1)-COLUMN($A$1),FALSE))</f>
        <v>0.11646687399081383</v>
      </c>
      <c r="AV111" s="72">
        <f>IF(VLOOKUP($A111,raw[],COLUMN(AW$1)-COLUMN($A$1),FALSE)=0, VLOOKUP($D111, regions[], COLUMN(AW$1)-COLUMN($A$1), FALSE), VLOOKUP($A111,raw[],COLUMN(AW$1)-COLUMN($A$1),FALSE))</f>
        <v>0.14696431176372771</v>
      </c>
      <c r="AW111" s="72">
        <f>IF(VLOOKUP($A111,raw[],COLUMN(AX$1)-COLUMN($A$1),FALSE)=0, VLOOKUP($D111, regions[], COLUMN(AX$1)-COLUMN($A$1), FALSE), VLOOKUP($A111,raw[],COLUMN(AX$1)-COLUMN($A$1),FALSE))</f>
        <v>0.17021019311485017</v>
      </c>
      <c r="AX111" s="72">
        <f>IF(VLOOKUP($A111,raw[],COLUMN(AY$1)-COLUMN($A$1),FALSE)=0, VLOOKUP($D111, regions[], COLUMN(AY$1)-COLUMN($A$1), FALSE), VLOOKUP($A111,raw[],COLUMN(AY$1)-COLUMN($A$1),FALSE))</f>
        <v>72.772999999999996</v>
      </c>
      <c r="AY111" t="str">
        <f t="shared" si="3"/>
        <v>No</v>
      </c>
    </row>
    <row r="112" spans="1:51" x14ac:dyDescent="0.25">
      <c r="A112" s="53" t="s">
        <v>444</v>
      </c>
      <c r="B112" s="54" t="s">
        <v>445</v>
      </c>
      <c r="C112" s="54">
        <v>706</v>
      </c>
      <c r="D112" s="54" t="s">
        <v>196</v>
      </c>
      <c r="E112" s="54" t="s">
        <v>255</v>
      </c>
      <c r="F112" s="54" t="s">
        <v>211</v>
      </c>
      <c r="G112" s="54" t="s">
        <v>198</v>
      </c>
      <c r="H112" s="73">
        <f>VLOOKUP(lmics[[#This Row],[setting]],raw[],8,FALSE)</f>
        <v>15893219</v>
      </c>
      <c r="I112" s="73">
        <f>VLOOKUP(lmics[[#This Row],[setting]],raw[],9,FALSE)</f>
        <v>665417.29309199995</v>
      </c>
      <c r="J112" s="67">
        <f>IF(VLOOKUP($A112,raw[],COLUMN(J$1),FALSE)=0, VLOOKUP($D112, regions[], COLUMN(J$1), FALSE), VLOOKUP($A112,raw[],COLUMN(J$1),FALSE))</f>
        <v>0.20699999999999999</v>
      </c>
      <c r="K112" s="77">
        <f>VLOOKUP($A112, raw[], 11, FALSE)</f>
        <v>0</v>
      </c>
      <c r="L112" s="77">
        <f>VLOOKUP($A112, raw[], 12, FALSE)</f>
        <v>0.42</v>
      </c>
      <c r="M112" s="77">
        <f>IF(VLOOKUP($A112,raw[],COLUMN(M$1),FALSE)=0, VLOOKUP($D112, regions[], COLUMN(M$1), FALSE), VLOOKUP($A112,raw[],COLUMN(M$1),FALSE))</f>
        <v>0.1313</v>
      </c>
      <c r="N112" s="68">
        <f>IF(VLOOKUP($A112,raw[],COLUMN(N$1),FALSE)=0, VLOOKUP($D112, regions[], COLUMN(N$1), FALSE), VLOOKUP($A112,raw[],COLUMN(N$1),FALSE))</f>
        <v>0.28962325777757897</v>
      </c>
      <c r="O112" s="67">
        <f>IF(VLOOKUP($A112,raw[],COLUMN(O$1),FALSE)=0, VLOOKUP($D112, regions[], COLUMN(O$1), FALSE), VLOOKUP($A112,raw[],COLUMN(O$1),FALSE))</f>
        <v>0.38300000000000001</v>
      </c>
      <c r="P112" s="68">
        <f>IF(VLOOKUP($A112,raw[],COLUMN(P$1),FALSE)=0, VLOOKUP($D112, regions[], COLUMN(P$1), FALSE), VLOOKUP($A112,raw[],COLUMN(P$1),FALSE))</f>
        <v>4.8000000000000001E-2</v>
      </c>
      <c r="Q112" s="70">
        <f>IF(VLOOKUP($A112,raw[],COLUMN(Q$1),FALSE)=0, VLOOKUP($D112, regions[], COLUMN(Q$1), FALSE), VLOOKUP($A112,raw[],COLUMN(Q$1),FALSE))</f>
        <v>6.662674060488075</v>
      </c>
      <c r="R112" s="70">
        <f>IF(VLOOKUP($A112,raw[],COLUMN(R$1),FALSE)=0, VLOOKUP($D112, regions[], COLUMN(R$1), FALSE), VLOOKUP($A112,raw[],COLUMN(R$1),FALSE))</f>
        <v>28.988054060488075</v>
      </c>
      <c r="S112" s="70">
        <f>IF(VLOOKUP($A112,raw[],COLUMN(S$1),FALSE)=0, VLOOKUP($D112, regions[], COLUMN(S$1), FALSE), VLOOKUP($A112,raw[],COLUMN(S$1),FALSE))</f>
        <v>74.09061840550558</v>
      </c>
      <c r="T112" s="70">
        <f>IF(VLOOKUP($A112,raw[],COLUMN(U$1)-COLUMN($A$1),FALSE)=0, VLOOKUP($D112, regions[], COLUMN(U$1)-COLUMN($A$1), FALSE), VLOOKUP($A112,raw[],COLUMN(U$1)-COLUMN($A$1),FALSE))</f>
        <v>82.356938033238592</v>
      </c>
      <c r="U112" s="70">
        <f>IF(VLOOKUP($A112,raw[],COLUMN(V$1)-COLUMN($A$1),FALSE)=0, VLOOKUP($D112, regions[], COLUMN(V$1)-COLUMN($A$1), FALSE), VLOOKUP($A112,raw[],COLUMN(V$1)-COLUMN($A$1),FALSE))</f>
        <v>78.561218787921035</v>
      </c>
      <c r="V112" s="70">
        <f>IF(VLOOKUP($A112,raw[],COLUMN(W$1)-COLUMN($A$1),FALSE)=0, VLOOKUP($D112, regions[], COLUMN(W$1)-COLUMN($A$1), FALSE), VLOOKUP($A112,raw[],COLUMN(W$1)-COLUMN($A$1),FALSE))</f>
        <v>0.90089276424293463</v>
      </c>
      <c r="W112" s="70">
        <f>IF(VLOOKUP($A112,raw[],COLUMN(X$1)-COLUMN($A$1),FALSE)=0, VLOOKUP($D112, regions[], COLUMN(X$1)-COLUMN($A$1), FALSE), VLOOKUP($A112,raw[],COLUMN(X$1)-COLUMN($A$1),FALSE))</f>
        <v>5.7308927642429346</v>
      </c>
      <c r="X112" s="70">
        <f>IF(VLOOKUP($A112,raw[],COLUMN(Y$1)-COLUMN($A$1),FALSE)=0, VLOOKUP($D112, regions[], COLUMN(Y$1)-COLUMN($A$1), FALSE), VLOOKUP($A112,raw[],COLUMN(Y$1)-COLUMN($A$1),FALSE))</f>
        <v>0.49713178372427963</v>
      </c>
      <c r="Y112" s="70">
        <f>IF(VLOOKUP($A112,raw[],COLUMN(Z$1)-COLUMN($A$1),FALSE)=0, VLOOKUP($D112, regions[], COLUMN(Z$1)-COLUMN($A$1), FALSE), VLOOKUP($A112,raw[],COLUMN(Z$1)-COLUMN($A$1),FALSE))</f>
        <v>5.3271317837242798</v>
      </c>
      <c r="Z112" s="70">
        <f>IF(VLOOKUP($A112,raw[],COLUMN(AA$1)-COLUMN($A$1),FALSE)=0, VLOOKUP($D112, regions[], COLUMN(AA$1)-COLUMN($A$1), FALSE), VLOOKUP($A112,raw[],COLUMN(AA$1)-COLUMN($A$1),FALSE))</f>
        <v>5.3260500508483348</v>
      </c>
      <c r="AA112" s="70">
        <f>IF(VLOOKUP($A112,raw[],COLUMN(AB$1)-COLUMN($A$1),FALSE)=0, VLOOKUP($D112, regions[], COLUMN(AB$1)-COLUMN($A$1), FALSE), VLOOKUP($A112,raw[],COLUMN(AB$1)-COLUMN($A$1),FALSE))</f>
        <v>1.1036022577910434</v>
      </c>
      <c r="AB112" s="70">
        <f>IF(VLOOKUP($A112,raw[],COLUMN(AC$1)-COLUMN($A$1),FALSE)=0, VLOOKUP($D112, regions[], COLUMN(AC$1)-COLUMN($A$1), FALSE), VLOOKUP($A112,raw[],COLUMN(AC$1)-COLUMN($A$1),FALSE))</f>
        <v>5.9336022577910432</v>
      </c>
      <c r="AC112" s="72">
        <f>IF(VLOOKUP($A112,raw[],COLUMN(AD$1)-COLUMN($A$1),FALSE)=0, VLOOKUP($D112, regions[], COLUMN(AD$1)-COLUMN($A$1), FALSE), VLOOKUP($A112,raw[],COLUMN(AD$1)-COLUMN($A$1),FALSE))</f>
        <v>6.932369999999996E-2</v>
      </c>
      <c r="AD112" s="72">
        <f>IF(VLOOKUP($A112,raw[],COLUMN(AE$1)-COLUMN($A$1),FALSE)=0, VLOOKUP($D112, regions[], COLUMN(AE$1)-COLUMN($A$1), FALSE), VLOOKUP($A112,raw[],COLUMN(AE$1)-COLUMN($A$1),FALSE))</f>
        <v>1.2292378134051579E-2</v>
      </c>
      <c r="AE112" s="72">
        <f>IF(VLOOKUP($A112,raw[],COLUMN(AF$1)-COLUMN($A$1),FALSE)=0, VLOOKUP($D112, regions[], COLUMN(AF$1)-COLUMN($A$1), FALSE), VLOOKUP($A112,raw[],COLUMN(AF$1)-COLUMN($A$1),FALSE))</f>
        <v>4.0540824580519112E-3</v>
      </c>
      <c r="AF112" s="72">
        <f>IF(VLOOKUP($A112,raw[],COLUMN(AG$1)-COLUMN($A$1),FALSE)=0, VLOOKUP($D112, regions[], COLUMN(AG$1)-COLUMN($A$1), FALSE), VLOOKUP($A112,raw[],COLUMN(AG$1)-COLUMN($A$1),FALSE))</f>
        <v>2.9133664091514143E-3</v>
      </c>
      <c r="AG112" s="72">
        <f>IF(VLOOKUP($A112,raw[],COLUMN(AH$1)-COLUMN($A$1),FALSE)=0, VLOOKUP($D112, regions[], COLUMN(AH$1)-COLUMN($A$1), FALSE), VLOOKUP($A112,raw[],COLUMN(AH$1)-COLUMN($A$1),FALSE))</f>
        <v>3.0976930870894644E-3</v>
      </c>
      <c r="AH112" s="72">
        <f>IF(VLOOKUP($A112,raw[],COLUMN(AI$1)-COLUMN($A$1),FALSE)=0, VLOOKUP($D112, regions[], COLUMN(AI$1)-COLUMN($A$1), FALSE), VLOOKUP($A112,raw[],COLUMN(AI$1)-COLUMN($A$1),FALSE))</f>
        <v>4.0747286584552917E-3</v>
      </c>
      <c r="AI112" s="72">
        <f>IF(VLOOKUP($A112,raw[],COLUMN(AJ$1)-COLUMN($A$1),FALSE)=0, VLOOKUP($D112, regions[], COLUMN(AJ$1)-COLUMN($A$1), FALSE), VLOOKUP($A112,raw[],COLUMN(AJ$1)-COLUMN($A$1),FALSE))</f>
        <v>4.9273942521363195E-3</v>
      </c>
      <c r="AJ112" s="72">
        <f>IF(VLOOKUP($A112,raw[],COLUMN(AK$1)-COLUMN($A$1),FALSE)=0, VLOOKUP($D112, regions[], COLUMN(AK$1)-COLUMN($A$1), FALSE), VLOOKUP($A112,raw[],COLUMN(AK$1)-COLUMN($A$1),FALSE))</f>
        <v>5.8026712326014421E-3</v>
      </c>
      <c r="AK112" s="72">
        <f>IF(VLOOKUP($A112,raw[],COLUMN(AL$1)-COLUMN($A$1),FALSE)=0, VLOOKUP($D112, regions[], COLUMN(AL$1)-COLUMN($A$1), FALSE), VLOOKUP($A112,raw[],COLUMN(AL$1)-COLUMN($A$1),FALSE))</f>
        <v>7.1388328187386571E-3</v>
      </c>
      <c r="AL112" s="72">
        <f>IF(VLOOKUP($A112,raw[],COLUMN(AM$1)-COLUMN($A$1),FALSE)=0, VLOOKUP($D112, regions[], COLUMN(AM$1)-COLUMN($A$1), FALSE), VLOOKUP($A112,raw[],COLUMN(AM$1)-COLUMN($A$1),FALSE))</f>
        <v>8.1011139053546385E-3</v>
      </c>
      <c r="AM112" s="72">
        <f>IF(VLOOKUP($A112,raw[],COLUMN(AN$1)-COLUMN($A$1),FALSE)=0, VLOOKUP($D112, regions[], COLUMN(AN$1)-COLUMN($A$1), FALSE), VLOOKUP($A112,raw[],COLUMN(AN$1)-COLUMN($A$1),FALSE))</f>
        <v>9.3317415545775481E-3</v>
      </c>
      <c r="AN112" s="72">
        <f>IF(VLOOKUP($A112,raw[],COLUMN(AO$1)-COLUMN($A$1),FALSE)=0, VLOOKUP($D112, regions[], COLUMN(AO$1)-COLUMN($A$1), FALSE), VLOOKUP($A112,raw[],COLUMN(AO$1)-COLUMN($A$1),FALSE))</f>
        <v>1.159173865518154E-2</v>
      </c>
      <c r="AO112" s="72">
        <f>IF(VLOOKUP($A112,raw[],COLUMN(AP$1)-COLUMN($A$1),FALSE)=0, VLOOKUP($D112, regions[], COLUMN(AP$1)-COLUMN($A$1), FALSE), VLOOKUP($A112,raw[],COLUMN(AP$1)-COLUMN($A$1),FALSE))</f>
        <v>1.5529339410354946E-2</v>
      </c>
      <c r="AP112" s="72">
        <f>IF(VLOOKUP($A112,raw[],COLUMN(AQ$1)-COLUMN($A$1),FALSE)=0, VLOOKUP($D112, regions[], COLUMN(AQ$1)-COLUMN($A$1), FALSE), VLOOKUP($A112,raw[],COLUMN(AQ$1)-COLUMN($A$1),FALSE))</f>
        <v>2.2414689803706509E-2</v>
      </c>
      <c r="AQ112" s="72">
        <f>IF(VLOOKUP($A112,raw[],COLUMN(AR$1)-COLUMN($A$1),FALSE)=0, VLOOKUP($D112, regions[], COLUMN(AR$1)-COLUMN($A$1), FALSE), VLOOKUP($A112,raw[],COLUMN(AR$1)-COLUMN($A$1),FALSE))</f>
        <v>3.3555760867098883E-2</v>
      </c>
      <c r="AR112" s="72">
        <f>IF(VLOOKUP($A112,raw[],COLUMN(AS$1)-COLUMN($A$1),FALSE)=0, VLOOKUP($D112, regions[], COLUMN(AS$1)-COLUMN($A$1), FALSE), VLOOKUP($A112,raw[],COLUMN(AS$1)-COLUMN($A$1),FALSE))</f>
        <v>5.0425932777532614E-2</v>
      </c>
      <c r="AS112" s="72">
        <f>IF(VLOOKUP($A112,raw[],COLUMN(AT$1)-COLUMN($A$1),FALSE)=0, VLOOKUP($D112, regions[], COLUMN(AT$1)-COLUMN($A$1), FALSE), VLOOKUP($A112,raw[],COLUMN(AT$1)-COLUMN($A$1),FALSE))</f>
        <v>7.3715370361590968E-2</v>
      </c>
      <c r="AT112" s="72">
        <f>IF(VLOOKUP($A112,raw[],COLUMN(AU$1)-COLUMN($A$1),FALSE)=0, VLOOKUP($D112, regions[], COLUMN(AU$1)-COLUMN($A$1), FALSE), VLOOKUP($A112,raw[],COLUMN(AU$1)-COLUMN($A$1),FALSE))</f>
        <v>0.1023196114503603</v>
      </c>
      <c r="AU112" s="72">
        <f>IF(VLOOKUP($A112,raw[],COLUMN(AV$1)-COLUMN($A$1),FALSE)=0, VLOOKUP($D112, regions[], COLUMN(AV$1)-COLUMN($A$1), FALSE), VLOOKUP($A112,raw[],COLUMN(AV$1)-COLUMN($A$1),FALSE))</f>
        <v>0.13209411290570217</v>
      </c>
      <c r="AV112" s="72">
        <f>IF(VLOOKUP($A112,raw[],COLUMN(AW$1)-COLUMN($A$1),FALSE)=0, VLOOKUP($D112, regions[], COLUMN(AW$1)-COLUMN($A$1), FALSE), VLOOKUP($A112,raw[],COLUMN(AW$1)-COLUMN($A$1),FALSE))</f>
        <v>0.15802590741274858</v>
      </c>
      <c r="AW112" s="72">
        <f>IF(VLOOKUP($A112,raw[],COLUMN(AX$1)-COLUMN($A$1),FALSE)=0, VLOOKUP($D112, regions[], COLUMN(AX$1)-COLUMN($A$1), FALSE), VLOOKUP($A112,raw[],COLUMN(AX$1)-COLUMN($A$1),FALSE))</f>
        <v>0.1755877121405956</v>
      </c>
      <c r="AX112" s="72">
        <f>IF(VLOOKUP($A112,raw[],COLUMN(AY$1)-COLUMN($A$1),FALSE)=0, VLOOKUP($D112, regions[], COLUMN(AY$1)-COLUMN($A$1), FALSE), VLOOKUP($A112,raw[],COLUMN(AY$1)-COLUMN($A$1),FALSE))</f>
        <v>56.941000000000003</v>
      </c>
      <c r="AY112" t="str">
        <f t="shared" si="3"/>
        <v>Yes</v>
      </c>
    </row>
    <row r="113" spans="1:51" x14ac:dyDescent="0.25">
      <c r="A113" s="55" t="s">
        <v>446</v>
      </c>
      <c r="B113" s="56" t="s">
        <v>447</v>
      </c>
      <c r="C113" s="56">
        <v>710</v>
      </c>
      <c r="D113" s="56" t="s">
        <v>207</v>
      </c>
      <c r="E113" s="56" t="s">
        <v>245</v>
      </c>
      <c r="F113" s="56" t="s">
        <v>211</v>
      </c>
      <c r="G113" s="56" t="s">
        <v>204</v>
      </c>
      <c r="H113" s="74">
        <f>VLOOKUP(lmics[[#This Row],[setting]],raw[],8,FALSE)</f>
        <v>59308690</v>
      </c>
      <c r="I113" s="74">
        <f>VLOOKUP(lmics[[#This Row],[setting]],raw[],9,FALSE)</f>
        <v>1225495.46147</v>
      </c>
      <c r="J113" s="67">
        <f>IF(VLOOKUP($A113,raw[],COLUMN(J$1),FALSE)=0, VLOOKUP($D113, regions[], COLUMN(J$1), FALSE), VLOOKUP($A113,raw[],COLUMN(J$1),FALSE))</f>
        <v>0.95900000000000007</v>
      </c>
      <c r="K113" s="77">
        <f>VLOOKUP($A113, raw[], 11, FALSE)</f>
        <v>0</v>
      </c>
      <c r="L113" s="77">
        <f>VLOOKUP($A113, raw[], 12, FALSE)</f>
        <v>0.84</v>
      </c>
      <c r="M113" s="77">
        <f>IF(VLOOKUP($A113,raw[],COLUMN(M$1),FALSE)=0, VLOOKUP($D113, regions[], COLUMN(M$1), FALSE), VLOOKUP($A113,raw[],COLUMN(M$1),FALSE))</f>
        <v>9.06E-2</v>
      </c>
      <c r="N113" s="68">
        <f>IF(VLOOKUP($A113,raw[],COLUMN(N$1),FALSE)=0, VLOOKUP($D113, regions[], COLUMN(N$1), FALSE), VLOOKUP($A113,raw[],COLUMN(N$1),FALSE))</f>
        <v>0.26188409431340487</v>
      </c>
      <c r="O113" s="67">
        <f>IF(VLOOKUP($A113,raw[],COLUMN(O$1),FALSE)=0, VLOOKUP($D113, regions[], COLUMN(O$1), FALSE), VLOOKUP($A113,raw[],COLUMN(O$1),FALSE))</f>
        <v>0.38300000000000001</v>
      </c>
      <c r="P113" s="68">
        <f>IF(VLOOKUP($A113,raw[],COLUMN(P$1),FALSE)=0, VLOOKUP($D113, regions[], COLUMN(P$1), FALSE), VLOOKUP($A113,raw[],COLUMN(P$1),FALSE))</f>
        <v>4.8000000000000001E-2</v>
      </c>
      <c r="Q113" s="70">
        <f>IF(VLOOKUP($A113,raw[],COLUMN(Q$1),FALSE)=0, VLOOKUP($D113, regions[], COLUMN(Q$1), FALSE), VLOOKUP($A113,raw[],COLUMN(Q$1),FALSE))</f>
        <v>12.5649384446215</v>
      </c>
      <c r="R113" s="70">
        <f>IF(VLOOKUP($A113,raw[],COLUMN(R$1),FALSE)=0, VLOOKUP($D113, regions[], COLUMN(R$1), FALSE), VLOOKUP($A113,raw[],COLUMN(R$1),FALSE))</f>
        <v>34.890318444621506</v>
      </c>
      <c r="S113" s="70">
        <f>IF(VLOOKUP($A113,raw[],COLUMN(S$1),FALSE)=0, VLOOKUP($D113, regions[], COLUMN(S$1), FALSE), VLOOKUP($A113,raw[],COLUMN(S$1),FALSE))</f>
        <v>99.968360403153838</v>
      </c>
      <c r="T113" s="70">
        <f>IF(VLOOKUP($A113,raw[],COLUMN(U$1)-COLUMN($A$1),FALSE)=0, VLOOKUP($D113, regions[], COLUMN(U$1)-COLUMN($A$1), FALSE), VLOOKUP($A113,raw[],COLUMN(U$1)-COLUMN($A$1),FALSE))</f>
        <v>118.63121796285748</v>
      </c>
      <c r="U113" s="70">
        <f>IF(VLOOKUP($A113,raw[],COLUMN(V$1)-COLUMN($A$1),FALSE)=0, VLOOKUP($D113, regions[], COLUMN(V$1)-COLUMN($A$1), FALSE), VLOOKUP($A113,raw[],COLUMN(V$1)-COLUMN($A$1),FALSE))</f>
        <v>110.06162825399518</v>
      </c>
      <c r="V113" s="70">
        <f>IF(VLOOKUP($A113,raw[],COLUMN(W$1)-COLUMN($A$1),FALSE)=0, VLOOKUP($D113, regions[], COLUMN(W$1)-COLUMN($A$1), FALSE), VLOOKUP($A113,raw[],COLUMN(W$1)-COLUMN($A$1),FALSE))</f>
        <v>2.2385885349589216</v>
      </c>
      <c r="W113" s="70">
        <f>IF(VLOOKUP($A113,raw[],COLUMN(X$1)-COLUMN($A$1),FALSE)=0, VLOOKUP($D113, regions[], COLUMN(X$1)-COLUMN($A$1), FALSE), VLOOKUP($A113,raw[],COLUMN(X$1)-COLUMN($A$1),FALSE))</f>
        <v>7.0685885349589217</v>
      </c>
      <c r="X113" s="70">
        <f>IF(VLOOKUP($A113,raw[],COLUMN(Y$1)-COLUMN($A$1),FALSE)=0, VLOOKUP($D113, regions[], COLUMN(Y$1)-COLUMN($A$1), FALSE), VLOOKUP($A113,raw[],COLUMN(Y$1)-COLUMN($A$1),FALSE))</f>
        <v>1.8194998951228314</v>
      </c>
      <c r="Y113" s="70">
        <f>IF(VLOOKUP($A113,raw[],COLUMN(Z$1)-COLUMN($A$1),FALSE)=0, VLOOKUP($D113, regions[], COLUMN(Z$1)-COLUMN($A$1), FALSE), VLOOKUP($A113,raw[],COLUMN(Z$1)-COLUMN($A$1),FALSE))</f>
        <v>6.6494998951228315</v>
      </c>
      <c r="Z113" s="70">
        <f>IF(VLOOKUP($A113,raw[],COLUMN(AA$1)-COLUMN($A$1),FALSE)=0, VLOOKUP($D113, regions[], COLUMN(AA$1)-COLUMN($A$1), FALSE), VLOOKUP($A113,raw[],COLUMN(AA$1)-COLUMN($A$1),FALSE))</f>
        <v>6.6421734525340383</v>
      </c>
      <c r="AA113" s="70">
        <f>IF(VLOOKUP($A113,raw[],COLUMN(AB$1)-COLUMN($A$1),FALSE)=0, VLOOKUP($D113, regions[], COLUMN(AB$1)-COLUMN($A$1), FALSE), VLOOKUP($A113,raw[],COLUMN(AB$1)-COLUMN($A$1),FALSE))</f>
        <v>2.4467626722636813</v>
      </c>
      <c r="AB113" s="70">
        <f>IF(VLOOKUP($A113,raw[],COLUMN(AC$1)-COLUMN($A$1),FALSE)=0, VLOOKUP($D113, regions[], COLUMN(AC$1)-COLUMN($A$1), FALSE), VLOOKUP($A113,raw[],COLUMN(AC$1)-COLUMN($A$1),FALSE))</f>
        <v>7.2767626722636809</v>
      </c>
      <c r="AC113" s="72">
        <f>IF(VLOOKUP($A113,raw[],COLUMN(AD$1)-COLUMN($A$1),FALSE)=0, VLOOKUP($D113, regions[], COLUMN(AD$1)-COLUMN($A$1), FALSE), VLOOKUP($A113,raw[],COLUMN(AD$1)-COLUMN($A$1),FALSE))</f>
        <v>2.7243999999999942E-2</v>
      </c>
      <c r="AD113" s="72">
        <f>IF(VLOOKUP($A113,raw[],COLUMN(AE$1)-COLUMN($A$1),FALSE)=0, VLOOKUP($D113, regions[], COLUMN(AE$1)-COLUMN($A$1), FALSE), VLOOKUP($A113,raw[],COLUMN(AE$1)-COLUMN($A$1),FALSE))</f>
        <v>2.1107605607161781E-3</v>
      </c>
      <c r="AE113" s="72">
        <f>IF(VLOOKUP($A113,raw[],COLUMN(AF$1)-COLUMN($A$1),FALSE)=0, VLOOKUP($D113, regions[], COLUMN(AF$1)-COLUMN($A$1), FALSE), VLOOKUP($A113,raw[],COLUMN(AF$1)-COLUMN($A$1),FALSE))</f>
        <v>9.0179496200364019E-4</v>
      </c>
      <c r="AF113" s="72">
        <f>IF(VLOOKUP($A113,raw[],COLUMN(AG$1)-COLUMN($A$1),FALSE)=0, VLOOKUP($D113, regions[], COLUMN(AG$1)-COLUMN($A$1), FALSE), VLOOKUP($A113,raw[],COLUMN(AG$1)-COLUMN($A$1),FALSE))</f>
        <v>7.5358739008003837E-4</v>
      </c>
      <c r="AG113" s="72">
        <f>IF(VLOOKUP($A113,raw[],COLUMN(AH$1)-COLUMN($A$1),FALSE)=0, VLOOKUP($D113, regions[], COLUMN(AH$1)-COLUMN($A$1), FALSE), VLOOKUP($A113,raw[],COLUMN(AH$1)-COLUMN($A$1),FALSE))</f>
        <v>1.2818679223927346E-3</v>
      </c>
      <c r="AH113" s="72">
        <f>IF(VLOOKUP($A113,raw[],COLUMN(AI$1)-COLUMN($A$1),FALSE)=0, VLOOKUP($D113, regions[], COLUMN(AI$1)-COLUMN($A$1), FALSE), VLOOKUP($A113,raw[],COLUMN(AI$1)-COLUMN($A$1),FALSE))</f>
        <v>2.2862997919574093E-3</v>
      </c>
      <c r="AI113" s="72">
        <f>IF(VLOOKUP($A113,raw[],COLUMN(AJ$1)-COLUMN($A$1),FALSE)=0, VLOOKUP($D113, regions[], COLUMN(AJ$1)-COLUMN($A$1), FALSE), VLOOKUP($A113,raw[],COLUMN(AJ$1)-COLUMN($A$1),FALSE))</f>
        <v>3.826952875428692E-3</v>
      </c>
      <c r="AJ113" s="72">
        <f>IF(VLOOKUP($A113,raw[],COLUMN(AK$1)-COLUMN($A$1),FALSE)=0, VLOOKUP($D113, regions[], COLUMN(AK$1)-COLUMN($A$1), FALSE), VLOOKUP($A113,raw[],COLUMN(AK$1)-COLUMN($A$1),FALSE))</f>
        <v>5.5851312529672488E-3</v>
      </c>
      <c r="AK113" s="72">
        <f>IF(VLOOKUP($A113,raw[],COLUMN(AL$1)-COLUMN($A$1),FALSE)=0, VLOOKUP($D113, regions[], COLUMN(AL$1)-COLUMN($A$1), FALSE), VLOOKUP($A113,raw[],COLUMN(AL$1)-COLUMN($A$1),FALSE))</f>
        <v>8.1210388699886182E-3</v>
      </c>
      <c r="AL113" s="72">
        <f>IF(VLOOKUP($A113,raw[],COLUMN(AM$1)-COLUMN($A$1),FALSE)=0, VLOOKUP($D113, regions[], COLUMN(AM$1)-COLUMN($A$1), FALSE), VLOOKUP($A113,raw[],COLUMN(AM$1)-COLUMN($A$1),FALSE))</f>
        <v>9.777207288379549E-3</v>
      </c>
      <c r="AM113" s="72">
        <f>IF(VLOOKUP($A113,raw[],COLUMN(AN$1)-COLUMN($A$1),FALSE)=0, VLOOKUP($D113, regions[], COLUMN(AN$1)-COLUMN($A$1), FALSE), VLOOKUP($A113,raw[],COLUMN(AN$1)-COLUMN($A$1),FALSE))</f>
        <v>1.1718262368142149E-2</v>
      </c>
      <c r="AN113" s="72">
        <f>IF(VLOOKUP($A113,raw[],COLUMN(AO$1)-COLUMN($A$1),FALSE)=0, VLOOKUP($D113, regions[], COLUMN(AO$1)-COLUMN($A$1), FALSE), VLOOKUP($A113,raw[],COLUMN(AO$1)-COLUMN($A$1),FALSE))</f>
        <v>1.4223371671272508E-2</v>
      </c>
      <c r="AO113" s="72">
        <f>IF(VLOOKUP($A113,raw[],COLUMN(AP$1)-COLUMN($A$1),FALSE)=0, VLOOKUP($D113, regions[], COLUMN(AP$1)-COLUMN($A$1), FALSE), VLOOKUP($A113,raw[],COLUMN(AP$1)-COLUMN($A$1),FALSE))</f>
        <v>1.7322311807639015E-2</v>
      </c>
      <c r="AP113" s="72">
        <f>IF(VLOOKUP($A113,raw[],COLUMN(AQ$1)-COLUMN($A$1),FALSE)=0, VLOOKUP($D113, regions[], COLUMN(AQ$1)-COLUMN($A$1), FALSE), VLOOKUP($A113,raw[],COLUMN(AQ$1)-COLUMN($A$1),FALSE))</f>
        <v>2.2939427208956795E-2</v>
      </c>
      <c r="AQ113" s="72">
        <f>IF(VLOOKUP($A113,raw[],COLUMN(AR$1)-COLUMN($A$1),FALSE)=0, VLOOKUP($D113, regions[], COLUMN(AR$1)-COLUMN($A$1), FALSE), VLOOKUP($A113,raw[],COLUMN(AR$1)-COLUMN($A$1),FALSE))</f>
        <v>3.2256302504435473E-2</v>
      </c>
      <c r="AR113" s="72">
        <f>IF(VLOOKUP($A113,raw[],COLUMN(AS$1)-COLUMN($A$1),FALSE)=0, VLOOKUP($D113, regions[], COLUMN(AS$1)-COLUMN($A$1), FALSE), VLOOKUP($A113,raw[],COLUMN(AS$1)-COLUMN($A$1),FALSE))</f>
        <v>4.6985099714795919E-2</v>
      </c>
      <c r="AS113" s="72">
        <f>IF(VLOOKUP($A113,raw[],COLUMN(AT$1)-COLUMN($A$1),FALSE)=0, VLOOKUP($D113, regions[], COLUMN(AT$1)-COLUMN($A$1), FALSE), VLOOKUP($A113,raw[],COLUMN(AT$1)-COLUMN($A$1),FALSE))</f>
        <v>6.8848294879698652E-2</v>
      </c>
      <c r="AT113" s="72">
        <f>IF(VLOOKUP($A113,raw[],COLUMN(AU$1)-COLUMN($A$1),FALSE)=0, VLOOKUP($D113, regions[], COLUMN(AU$1)-COLUMN($A$1), FALSE), VLOOKUP($A113,raw[],COLUMN(AU$1)-COLUMN($A$1),FALSE))</f>
        <v>0.10281020332373089</v>
      </c>
      <c r="AU113" s="72">
        <f>IF(VLOOKUP($A113,raw[],COLUMN(AV$1)-COLUMN($A$1),FALSE)=0, VLOOKUP($D113, regions[], COLUMN(AV$1)-COLUMN($A$1), FALSE), VLOOKUP($A113,raw[],COLUMN(AV$1)-COLUMN($A$1),FALSE))</f>
        <v>0.14366931623854254</v>
      </c>
      <c r="AV113" s="72">
        <f>IF(VLOOKUP($A113,raw[],COLUMN(AW$1)-COLUMN($A$1),FALSE)=0, VLOOKUP($D113, regions[], COLUMN(AW$1)-COLUMN($A$1), FALSE), VLOOKUP($A113,raw[],COLUMN(AW$1)-COLUMN($A$1),FALSE))</f>
        <v>0.17576312847645009</v>
      </c>
      <c r="AW113" s="72">
        <f>IF(VLOOKUP($A113,raw[],COLUMN(AX$1)-COLUMN($A$1),FALSE)=0, VLOOKUP($D113, regions[], COLUMN(AX$1)-COLUMN($A$1), FALSE), VLOOKUP($A113,raw[],COLUMN(AX$1)-COLUMN($A$1),FALSE))</f>
        <v>0.18732431731093108</v>
      </c>
      <c r="AX113" s="72">
        <f>IF(VLOOKUP($A113,raw[],COLUMN(AY$1)-COLUMN($A$1),FALSE)=0, VLOOKUP($D113, regions[], COLUMN(AY$1)-COLUMN($A$1), FALSE), VLOOKUP($A113,raw[],COLUMN(AY$1)-COLUMN($A$1),FALSE))</f>
        <v>63.615000000000002</v>
      </c>
      <c r="AY113" t="str">
        <f t="shared" si="3"/>
        <v>Yes</v>
      </c>
    </row>
    <row r="114" spans="1:51" x14ac:dyDescent="0.25">
      <c r="A114" s="53" t="s">
        <v>448</v>
      </c>
      <c r="B114" s="54" t="s">
        <v>449</v>
      </c>
      <c r="C114" s="54">
        <v>728</v>
      </c>
      <c r="D114" s="54" t="s">
        <v>207</v>
      </c>
      <c r="E114" s="54" t="s">
        <v>255</v>
      </c>
      <c r="F114" s="54" t="s">
        <v>211</v>
      </c>
      <c r="G114" s="54" t="s">
        <v>198</v>
      </c>
      <c r="H114" s="73">
        <f>VLOOKUP(lmics[[#This Row],[setting]],raw[],8,FALSE)</f>
        <v>11193729</v>
      </c>
      <c r="I114" s="73">
        <f>VLOOKUP(lmics[[#This Row],[setting]],raw[],9,FALSE)</f>
        <v>393918.51723900001</v>
      </c>
      <c r="J114" s="67">
        <f>IF(VLOOKUP($A114,raw[],COLUMN(J$1),FALSE)=0, VLOOKUP($D114, regions[], COLUMN(J$1), FALSE), VLOOKUP($A114,raw[],COLUMN(J$1),FALSE))</f>
        <v>0.115</v>
      </c>
      <c r="K114" s="77">
        <f>VLOOKUP($A114, raw[], 11, FALSE)</f>
        <v>0</v>
      </c>
      <c r="L114" s="77">
        <f>VLOOKUP($A114, raw[], 12, FALSE)</f>
        <v>0.49</v>
      </c>
      <c r="M114" s="77">
        <f>IF(VLOOKUP($A114,raw[],COLUMN(M$1),FALSE)=0, VLOOKUP($D114, regions[], COLUMN(M$1), FALSE), VLOOKUP($A114,raw[],COLUMN(M$1),FALSE))</f>
        <v>0.18090000000000001</v>
      </c>
      <c r="N114" s="68">
        <f>IF(VLOOKUP($A114,raw[],COLUMN(N$1),FALSE)=0, VLOOKUP($D114, regions[], COLUMN(N$1), FALSE), VLOOKUP($A114,raw[],COLUMN(N$1),FALSE))</f>
        <v>0.28404425731797539</v>
      </c>
      <c r="O114" s="67">
        <f>IF(VLOOKUP($A114,raw[],COLUMN(O$1),FALSE)=0, VLOOKUP($D114, regions[], COLUMN(O$1), FALSE), VLOOKUP($A114,raw[],COLUMN(O$1),FALSE))</f>
        <v>0.38300000000000001</v>
      </c>
      <c r="P114" s="68">
        <f>IF(VLOOKUP($A114,raw[],COLUMN(P$1),FALSE)=0, VLOOKUP($D114, regions[], COLUMN(P$1), FALSE), VLOOKUP($A114,raw[],COLUMN(P$1),FALSE))</f>
        <v>4.8000000000000001E-2</v>
      </c>
      <c r="Q114" s="70">
        <f>IF(VLOOKUP($A114,raw[],COLUMN(Q$1),FALSE)=0, VLOOKUP($D114, regions[], COLUMN(Q$1), FALSE), VLOOKUP($A114,raw[],COLUMN(Q$1),FALSE))</f>
        <v>4.604183740861723</v>
      </c>
      <c r="R114" s="70">
        <f>IF(VLOOKUP($A114,raw[],COLUMN(R$1),FALSE)=0, VLOOKUP($D114, regions[], COLUMN(R$1), FALSE), VLOOKUP($A114,raw[],COLUMN(R$1),FALSE))</f>
        <v>26.929563740861724</v>
      </c>
      <c r="S114" s="70">
        <f>IF(VLOOKUP($A114,raw[],COLUMN(S$1),FALSE)=0, VLOOKUP($D114, regions[], COLUMN(S$1), FALSE), VLOOKUP($A114,raw[],COLUMN(S$1),FALSE))</f>
        <v>62.781228115348881</v>
      </c>
      <c r="T114" s="70">
        <f>IF(VLOOKUP($A114,raw[],COLUMN(U$1)-COLUMN($A$1),FALSE)=0, VLOOKUP($D114, regions[], COLUMN(U$1)-COLUMN($A$1), FALSE), VLOOKUP($A114,raw[],COLUMN(U$1)-COLUMN($A$1),FALSE))</f>
        <v>66.23277763798994</v>
      </c>
      <c r="U114" s="70">
        <f>IF(VLOOKUP($A114,raw[],COLUMN(V$1)-COLUMN($A$1),FALSE)=0, VLOOKUP($D114, regions[], COLUMN(V$1)-COLUMN($A$1), FALSE), VLOOKUP($A114,raw[],COLUMN(V$1)-COLUMN($A$1),FALSE))</f>
        <v>64.647899053655777</v>
      </c>
      <c r="V114" s="70">
        <f>IF(VLOOKUP($A114,raw[],COLUMN(W$1)-COLUMN($A$1),FALSE)=0, VLOOKUP($D114, regions[], COLUMN(W$1)-COLUMN($A$1), FALSE), VLOOKUP($A114,raw[],COLUMN(W$1)-COLUMN($A$1),FALSE))</f>
        <v>2.7548182582235854</v>
      </c>
      <c r="W114" s="70">
        <f>IF(VLOOKUP($A114,raw[],COLUMN(X$1)-COLUMN($A$1),FALSE)=0, VLOOKUP($D114, regions[], COLUMN(X$1)-COLUMN($A$1), FALSE), VLOOKUP($A114,raw[],COLUMN(X$1)-COLUMN($A$1),FALSE))</f>
        <v>6.3488985747096356</v>
      </c>
      <c r="X114" s="70">
        <f>IF(VLOOKUP($A114,raw[],COLUMN(Y$1)-COLUMN($A$1),FALSE)=0, VLOOKUP($D114, regions[], COLUMN(Y$1)-COLUMN($A$1), FALSE), VLOOKUP($A114,raw[],COLUMN(Y$1)-COLUMN($A$1),FALSE))</f>
        <v>2.3410127041966851</v>
      </c>
      <c r="Y114" s="70">
        <f>IF(VLOOKUP($A114,raw[],COLUMN(Z$1)-COLUMN($A$1),FALSE)=0, VLOOKUP($D114, regions[], COLUMN(Z$1)-COLUMN($A$1), FALSE), VLOOKUP($A114,raw[],COLUMN(Z$1)-COLUMN($A$1),FALSE))</f>
        <v>5.9350930206827357</v>
      </c>
      <c r="Z114" s="70">
        <f>IF(VLOOKUP($A114,raw[],COLUMN(AA$1)-COLUMN($A$1),FALSE)=0, VLOOKUP($D114, regions[], COLUMN(AA$1)-COLUMN($A$1), FALSE), VLOOKUP($A114,raw[],COLUMN(AA$1)-COLUMN($A$1),FALSE))</f>
        <v>5.9297665971546518</v>
      </c>
      <c r="AA114" s="70">
        <f>IF(VLOOKUP($A114,raw[],COLUMN(AB$1)-COLUMN($A$1),FALSE)=0, VLOOKUP($D114, regions[], COLUMN(AB$1)-COLUMN($A$1), FALSE), VLOOKUP($A114,raw[],COLUMN(AB$1)-COLUMN($A$1),FALSE))</f>
        <v>2.961108860587677</v>
      </c>
      <c r="AB114" s="70">
        <f>IF(VLOOKUP($A114,raw[],COLUMN(AC$1)-COLUMN($A$1),FALSE)=0, VLOOKUP($D114, regions[], COLUMN(AC$1)-COLUMN($A$1), FALSE), VLOOKUP($A114,raw[],COLUMN(AC$1)-COLUMN($A$1),FALSE))</f>
        <v>6.5551891770737276</v>
      </c>
      <c r="AC114" s="72">
        <f>IF(VLOOKUP($A114,raw[],COLUMN(AD$1)-COLUMN($A$1),FALSE)=0, VLOOKUP($D114, regions[], COLUMN(AD$1)-COLUMN($A$1), FALSE), VLOOKUP($A114,raw[],COLUMN(AD$1)-COLUMN($A$1),FALSE))</f>
        <v>6.439118000000002E-2</v>
      </c>
      <c r="AD114" s="72">
        <f>IF(VLOOKUP($A114,raw[],COLUMN(AE$1)-COLUMN($A$1),FALSE)=0, VLOOKUP($D114, regions[], COLUMN(AE$1)-COLUMN($A$1), FALSE), VLOOKUP($A114,raw[],COLUMN(AE$1)-COLUMN($A$1),FALSE))</f>
        <v>9.1276474926775576E-3</v>
      </c>
      <c r="AE114" s="72">
        <f>IF(VLOOKUP($A114,raw[],COLUMN(AF$1)-COLUMN($A$1),FALSE)=0, VLOOKUP($D114, regions[], COLUMN(AF$1)-COLUMN($A$1), FALSE), VLOOKUP($A114,raw[],COLUMN(AF$1)-COLUMN($A$1),FALSE))</f>
        <v>3.7645316426541857E-3</v>
      </c>
      <c r="AF114" s="72">
        <f>IF(VLOOKUP($A114,raw[],COLUMN(AG$1)-COLUMN($A$1),FALSE)=0, VLOOKUP($D114, regions[], COLUMN(AG$1)-COLUMN($A$1), FALSE), VLOOKUP($A114,raw[],COLUMN(AG$1)-COLUMN($A$1),FALSE))</f>
        <v>2.2872337683211325E-3</v>
      </c>
      <c r="AG114" s="72">
        <f>IF(VLOOKUP($A114,raw[],COLUMN(AH$1)-COLUMN($A$1),FALSE)=0, VLOOKUP($D114, regions[], COLUMN(AH$1)-COLUMN($A$1), FALSE), VLOOKUP($A114,raw[],COLUMN(AH$1)-COLUMN($A$1),FALSE))</f>
        <v>2.949520798167871E-3</v>
      </c>
      <c r="AH114" s="72">
        <f>IF(VLOOKUP($A114,raw[],COLUMN(AI$1)-COLUMN($A$1),FALSE)=0, VLOOKUP($D114, regions[], COLUMN(AI$1)-COLUMN($A$1), FALSE), VLOOKUP($A114,raw[],COLUMN(AI$1)-COLUMN($A$1),FALSE))</f>
        <v>4.0792823322574031E-3</v>
      </c>
      <c r="AI114" s="72">
        <f>IF(VLOOKUP($A114,raw[],COLUMN(AJ$1)-COLUMN($A$1),FALSE)=0, VLOOKUP($D114, regions[], COLUMN(AJ$1)-COLUMN($A$1), FALSE), VLOOKUP($A114,raw[],COLUMN(AJ$1)-COLUMN($A$1),FALSE))</f>
        <v>5.4936131703647272E-3</v>
      </c>
      <c r="AJ114" s="72">
        <f>IF(VLOOKUP($A114,raw[],COLUMN(AK$1)-COLUMN($A$1),FALSE)=0, VLOOKUP($D114, regions[], COLUMN(AK$1)-COLUMN($A$1), FALSE), VLOOKUP($A114,raw[],COLUMN(AK$1)-COLUMN($A$1),FALSE))</f>
        <v>6.9847784211231456E-3</v>
      </c>
      <c r="AK114" s="72">
        <f>IF(VLOOKUP($A114,raw[],COLUMN(AL$1)-COLUMN($A$1),FALSE)=0, VLOOKUP($D114, regions[], COLUMN(AL$1)-COLUMN($A$1), FALSE), VLOOKUP($A114,raw[],COLUMN(AL$1)-COLUMN($A$1),FALSE))</f>
        <v>8.9363320696753141E-3</v>
      </c>
      <c r="AL114" s="72">
        <f>IF(VLOOKUP($A114,raw[],COLUMN(AM$1)-COLUMN($A$1),FALSE)=0, VLOOKUP($D114, regions[], COLUMN(AM$1)-COLUMN($A$1), FALSE), VLOOKUP($A114,raw[],COLUMN(AM$1)-COLUMN($A$1),FALSE))</f>
        <v>9.7732797132815998E-3</v>
      </c>
      <c r="AM114" s="72">
        <f>IF(VLOOKUP($A114,raw[],COLUMN(AN$1)-COLUMN($A$1),FALSE)=0, VLOOKUP($D114, regions[], COLUMN(AN$1)-COLUMN($A$1), FALSE), VLOOKUP($A114,raw[],COLUMN(AN$1)-COLUMN($A$1),FALSE))</f>
        <v>1.08394459748994E-2</v>
      </c>
      <c r="AN114" s="72">
        <f>IF(VLOOKUP($A114,raw[],COLUMN(AO$1)-COLUMN($A$1),FALSE)=0, VLOOKUP($D114, regions[], COLUMN(AO$1)-COLUMN($A$1), FALSE), VLOOKUP($A114,raw[],COLUMN(AO$1)-COLUMN($A$1),FALSE))</f>
        <v>1.2789862419588332E-2</v>
      </c>
      <c r="AO114" s="72">
        <f>IF(VLOOKUP($A114,raw[],COLUMN(AP$1)-COLUMN($A$1),FALSE)=0, VLOOKUP($D114, regions[], COLUMN(AP$1)-COLUMN($A$1), FALSE), VLOOKUP($A114,raw[],COLUMN(AP$1)-COLUMN($A$1),FALSE))</f>
        <v>1.5799528301405574E-2</v>
      </c>
      <c r="AP114" s="72">
        <f>IF(VLOOKUP($A114,raw[],COLUMN(AQ$1)-COLUMN($A$1),FALSE)=0, VLOOKUP($D114, regions[], COLUMN(AQ$1)-COLUMN($A$1), FALSE), VLOOKUP($A114,raw[],COLUMN(AQ$1)-COLUMN($A$1),FALSE))</f>
        <v>2.2487248198766858E-2</v>
      </c>
      <c r="AQ114" s="72">
        <f>IF(VLOOKUP($A114,raw[],COLUMN(AR$1)-COLUMN($A$1),FALSE)=0, VLOOKUP($D114, regions[], COLUMN(AR$1)-COLUMN($A$1), FALSE), VLOOKUP($A114,raw[],COLUMN(AR$1)-COLUMN($A$1),FALSE))</f>
        <v>3.1890539105262863E-2</v>
      </c>
      <c r="AR114" s="72">
        <f>IF(VLOOKUP($A114,raw[],COLUMN(AS$1)-COLUMN($A$1),FALSE)=0, VLOOKUP($D114, regions[], COLUMN(AS$1)-COLUMN($A$1), FALSE), VLOOKUP($A114,raw[],COLUMN(AS$1)-COLUMN($A$1),FALSE))</f>
        <v>4.8245182163936758E-2</v>
      </c>
      <c r="AS114" s="72">
        <f>IF(VLOOKUP($A114,raw[],COLUMN(AT$1)-COLUMN($A$1),FALSE)=0, VLOOKUP($D114, regions[], COLUMN(AT$1)-COLUMN($A$1), FALSE), VLOOKUP($A114,raw[],COLUMN(AT$1)-COLUMN($A$1),FALSE))</f>
        <v>7.1020229630387788E-2</v>
      </c>
      <c r="AT114" s="72">
        <f>IF(VLOOKUP($A114,raw[],COLUMN(AU$1)-COLUMN($A$1),FALSE)=0, VLOOKUP($D114, regions[], COLUMN(AU$1)-COLUMN($A$1), FALSE), VLOOKUP($A114,raw[],COLUMN(AU$1)-COLUMN($A$1),FALSE))</f>
        <v>0.10093998231870334</v>
      </c>
      <c r="AU114" s="72">
        <f>IF(VLOOKUP($A114,raw[],COLUMN(AV$1)-COLUMN($A$1),FALSE)=0, VLOOKUP($D114, regions[], COLUMN(AV$1)-COLUMN($A$1), FALSE), VLOOKUP($A114,raw[],COLUMN(AV$1)-COLUMN($A$1),FALSE))</f>
        <v>0.13145963379756573</v>
      </c>
      <c r="AV114" s="72">
        <f>IF(VLOOKUP($A114,raw[],COLUMN(AW$1)-COLUMN($A$1),FALSE)=0, VLOOKUP($D114, regions[], COLUMN(AW$1)-COLUMN($A$1), FALSE), VLOOKUP($A114,raw[],COLUMN(AW$1)-COLUMN($A$1),FALSE))</f>
        <v>0.15726415845936334</v>
      </c>
      <c r="AW114" s="72">
        <f>IF(VLOOKUP($A114,raw[],COLUMN(AX$1)-COLUMN($A$1),FALSE)=0, VLOOKUP($D114, regions[], COLUMN(AX$1)-COLUMN($A$1), FALSE), VLOOKUP($A114,raw[],COLUMN(AX$1)-COLUMN($A$1),FALSE))</f>
        <v>0.17546937186033706</v>
      </c>
      <c r="AX114" s="72">
        <f>IF(VLOOKUP($A114,raw[],COLUMN(AY$1)-COLUMN($A$1),FALSE)=0, VLOOKUP($D114, regions[], COLUMN(AY$1)-COLUMN($A$1), FALSE), VLOOKUP($A114,raw[],COLUMN(AY$1)-COLUMN($A$1),FALSE))</f>
        <v>57.424999999999997</v>
      </c>
      <c r="AY114" t="str">
        <f t="shared" si="3"/>
        <v>Yes</v>
      </c>
    </row>
    <row r="115" spans="1:51" x14ac:dyDescent="0.25">
      <c r="A115" s="55" t="s">
        <v>450</v>
      </c>
      <c r="B115" s="56" t="s">
        <v>451</v>
      </c>
      <c r="C115" s="56">
        <v>144</v>
      </c>
      <c r="D115" s="56" t="s">
        <v>225</v>
      </c>
      <c r="E115" s="56" t="s">
        <v>261</v>
      </c>
      <c r="F115" s="56" t="s">
        <v>262</v>
      </c>
      <c r="G115" s="56" t="s">
        <v>204</v>
      </c>
      <c r="H115" s="74">
        <f>VLOOKUP(lmics[[#This Row],[setting]],raw[],8,FALSE)</f>
        <v>21413250</v>
      </c>
      <c r="I115" s="74">
        <f>VLOOKUP(lmics[[#This Row],[setting]],raw[],9,FALSE)</f>
        <v>343083.09149999998</v>
      </c>
      <c r="J115" s="67">
        <f>IF(VLOOKUP($A115,raw[],COLUMN(J$1),FALSE)=0, VLOOKUP($D115, regions[], COLUMN(J$1), FALSE), VLOOKUP($A115,raw[],COLUMN(J$1),FALSE))</f>
        <v>0.995</v>
      </c>
      <c r="K115" s="77">
        <f>VLOOKUP($A115, raw[], 11, FALSE)</f>
        <v>0</v>
      </c>
      <c r="L115" s="77">
        <f>VLOOKUP($A115, raw[], 12, FALSE)</f>
        <v>0.96</v>
      </c>
      <c r="M115" s="77">
        <f>IF(VLOOKUP($A115,raw[],COLUMN(M$1),FALSE)=0, VLOOKUP($D115, regions[], COLUMN(M$1), FALSE), VLOOKUP($A115,raw[],COLUMN(M$1),FALSE))</f>
        <v>2.0199999999999999E-2</v>
      </c>
      <c r="N115" s="68">
        <f>IF(VLOOKUP($A115,raw[],COLUMN(N$1),FALSE)=0, VLOOKUP($D115, regions[], COLUMN(N$1), FALSE), VLOOKUP($A115,raw[],COLUMN(N$1),FALSE))</f>
        <v>0.32277198772757137</v>
      </c>
      <c r="O115" s="67">
        <f>IF(VLOOKUP($A115,raw[],COLUMN(O$1),FALSE)=0, VLOOKUP($D115, regions[], COLUMN(O$1), FALSE), VLOOKUP($A115,raw[],COLUMN(O$1),FALSE))</f>
        <v>0.8</v>
      </c>
      <c r="P115" s="68">
        <f>IF(VLOOKUP($A115,raw[],COLUMN(P$1),FALSE)=0, VLOOKUP($D115, regions[], COLUMN(P$1), FALSE), VLOOKUP($A115,raw[],COLUMN(P$1),FALSE))</f>
        <v>0.17499999999999999</v>
      </c>
      <c r="Q115" s="70">
        <f>IF(VLOOKUP($A115,raw[],COLUMN(Q$1),FALSE)=0, VLOOKUP($D115, regions[], COLUMN(Q$1), FALSE), VLOOKUP($A115,raw[],COLUMN(Q$1),FALSE))</f>
        <v>4.9080198342541399</v>
      </c>
      <c r="R115" s="70">
        <f>IF(VLOOKUP($A115,raw[],COLUMN(R$1),FALSE)=0, VLOOKUP($D115, regions[], COLUMN(R$1), FALSE), VLOOKUP($A115,raw[],COLUMN(R$1),FALSE))</f>
        <v>27.233399834254143</v>
      </c>
      <c r="S115" s="70">
        <f>IF(VLOOKUP($A115,raw[],COLUMN(S$1),FALSE)=0, VLOOKUP($D115, regions[], COLUMN(S$1), FALSE), VLOOKUP($A115,raw[],COLUMN(S$1),FALSE))</f>
        <v>64.174450856733159</v>
      </c>
      <c r="T115" s="70">
        <f>IF(VLOOKUP($A115,raw[],COLUMN(U$1)-COLUMN($A$1),FALSE)=0, VLOOKUP($D115, regions[], COLUMN(U$1)-COLUMN($A$1), FALSE), VLOOKUP($A115,raw[],COLUMN(U$1)-COLUMN($A$1),FALSE))</f>
        <v>68.192988054340589</v>
      </c>
      <c r="U115" s="70">
        <f>IF(VLOOKUP($A115,raw[],COLUMN(V$1)-COLUMN($A$1),FALSE)=0, VLOOKUP($D115, regions[], COLUMN(V$1)-COLUMN($A$1), FALSE), VLOOKUP($A115,raw[],COLUMN(V$1)-COLUMN($A$1),FALSE))</f>
        <v>66.34776071425452</v>
      </c>
      <c r="V115" s="70">
        <f>IF(VLOOKUP($A115,raw[],COLUMN(W$1)-COLUMN($A$1),FALSE)=0, VLOOKUP($D115, regions[], COLUMN(W$1)-COLUMN($A$1), FALSE), VLOOKUP($A115,raw[],COLUMN(W$1)-COLUMN($A$1),FALSE))</f>
        <v>4.6265457318441605</v>
      </c>
      <c r="W115" s="70">
        <f>IF(VLOOKUP($A115,raw[],COLUMN(X$1)-COLUMN($A$1),FALSE)=0, VLOOKUP($D115, regions[], COLUMN(X$1)-COLUMN($A$1), FALSE), VLOOKUP($A115,raw[],COLUMN(X$1)-COLUMN($A$1),FALSE))</f>
        <v>5.2565457318441604</v>
      </c>
      <c r="X115" s="70">
        <f>IF(VLOOKUP($A115,raw[],COLUMN(Y$1)-COLUMN($A$1),FALSE)=0, VLOOKUP($D115, regions[], COLUMN(Y$1)-COLUMN($A$1), FALSE), VLOOKUP($A115,raw[],COLUMN(Y$1)-COLUMN($A$1),FALSE))</f>
        <v>4.2035918178548997</v>
      </c>
      <c r="Y115" s="70">
        <f>IF(VLOOKUP($A115,raw[],COLUMN(Z$1)-COLUMN($A$1),FALSE)=0, VLOOKUP($D115, regions[], COLUMN(Z$1)-COLUMN($A$1), FALSE), VLOOKUP($A115,raw[],COLUMN(Z$1)-COLUMN($A$1),FALSE))</f>
        <v>4.8335918178548996</v>
      </c>
      <c r="Z115" s="70">
        <f>IF(VLOOKUP($A115,raw[],COLUMN(AA$1)-COLUMN($A$1),FALSE)=0, VLOOKUP($D115, regions[], COLUMN(AA$1)-COLUMN($A$1), FALSE), VLOOKUP($A115,raw[],COLUMN(AA$1)-COLUMN($A$1),FALSE))</f>
        <v>4.824596414230478</v>
      </c>
      <c r="AA115" s="70">
        <f>IF(VLOOKUP($A115,raw[],COLUMN(AB$1)-COLUMN($A$1),FALSE)=0, VLOOKUP($D115, regions[], COLUMN(AB$1)-COLUMN($A$1), FALSE), VLOOKUP($A115,raw[],COLUMN(AB$1)-COLUMN($A$1),FALSE))</f>
        <v>4.8360979234122246</v>
      </c>
      <c r="AB115" s="70">
        <f>IF(VLOOKUP($A115,raw[],COLUMN(AC$1)-COLUMN($A$1),FALSE)=0, VLOOKUP($D115, regions[], COLUMN(AC$1)-COLUMN($A$1), FALSE), VLOOKUP($A115,raw[],COLUMN(AC$1)-COLUMN($A$1),FALSE))</f>
        <v>5.4660979234122244</v>
      </c>
      <c r="AC115" s="72">
        <f>IF(VLOOKUP($A115,raw[],COLUMN(AD$1)-COLUMN($A$1),FALSE)=0, VLOOKUP($D115, regions[], COLUMN(AD$1)-COLUMN($A$1), FALSE), VLOOKUP($A115,raw[],COLUMN(AD$1)-COLUMN($A$1),FALSE))</f>
        <v>7.5732899999999791E-3</v>
      </c>
      <c r="AD115" s="72">
        <f>IF(VLOOKUP($A115,raw[],COLUMN(AE$1)-COLUMN($A$1),FALSE)=0, VLOOKUP($D115, regions[], COLUMN(AE$1)-COLUMN($A$1), FALSE), VLOOKUP($A115,raw[],COLUMN(AE$1)-COLUMN($A$1),FALSE))</f>
        <v>2.570063838769638E-4</v>
      </c>
      <c r="AE115" s="72">
        <f>IF(VLOOKUP($A115,raw[],COLUMN(AF$1)-COLUMN($A$1),FALSE)=0, VLOOKUP($D115, regions[], COLUMN(AF$1)-COLUMN($A$1), FALSE), VLOOKUP($A115,raw[],COLUMN(AF$1)-COLUMN($A$1),FALSE))</f>
        <v>2.9705474889629041E-4</v>
      </c>
      <c r="AF115" s="72">
        <f>IF(VLOOKUP($A115,raw[],COLUMN(AG$1)-COLUMN($A$1),FALSE)=0, VLOOKUP($D115, regions[], COLUMN(AG$1)-COLUMN($A$1), FALSE), VLOOKUP($A115,raw[],COLUMN(AG$1)-COLUMN($A$1),FALSE))</f>
        <v>2.9040321033130473E-4</v>
      </c>
      <c r="AG115" s="72">
        <f>IF(VLOOKUP($A115,raw[],COLUMN(AH$1)-COLUMN($A$1),FALSE)=0, VLOOKUP($D115, regions[], COLUMN(AH$1)-COLUMN($A$1), FALSE), VLOOKUP($A115,raw[],COLUMN(AH$1)-COLUMN($A$1),FALSE))</f>
        <v>5.5490936660418171E-4</v>
      </c>
      <c r="AH115" s="72">
        <f>IF(VLOOKUP($A115,raw[],COLUMN(AI$1)-COLUMN($A$1),FALSE)=0, VLOOKUP($D115, regions[], COLUMN(AI$1)-COLUMN($A$1), FALSE), VLOOKUP($A115,raw[],COLUMN(AI$1)-COLUMN($A$1),FALSE))</f>
        <v>7.8892305303817484E-4</v>
      </c>
      <c r="AI115" s="72">
        <f>IF(VLOOKUP($A115,raw[],COLUMN(AJ$1)-COLUMN($A$1),FALSE)=0, VLOOKUP($D115, regions[], COLUMN(AJ$1)-COLUMN($A$1), FALSE), VLOOKUP($A115,raw[],COLUMN(AJ$1)-COLUMN($A$1),FALSE))</f>
        <v>8.6288803443153816E-4</v>
      </c>
      <c r="AJ115" s="72">
        <f>IF(VLOOKUP($A115,raw[],COLUMN(AK$1)-COLUMN($A$1),FALSE)=0, VLOOKUP($D115, regions[], COLUMN(AK$1)-COLUMN($A$1), FALSE), VLOOKUP($A115,raw[],COLUMN(AK$1)-COLUMN($A$1),FALSE))</f>
        <v>9.8763610104937098E-4</v>
      </c>
      <c r="AK115" s="72">
        <f>IF(VLOOKUP($A115,raw[],COLUMN(AL$1)-COLUMN($A$1),FALSE)=0, VLOOKUP($D115, regions[], COLUMN(AL$1)-COLUMN($A$1), FALSE), VLOOKUP($A115,raw[],COLUMN(AL$1)-COLUMN($A$1),FALSE))</f>
        <v>1.4206987324034202E-3</v>
      </c>
      <c r="AL115" s="72">
        <f>IF(VLOOKUP($A115,raw[],COLUMN(AM$1)-COLUMN($A$1),FALSE)=0, VLOOKUP($D115, regions[], COLUMN(AM$1)-COLUMN($A$1), FALSE), VLOOKUP($A115,raw[],COLUMN(AM$1)-COLUMN($A$1),FALSE))</f>
        <v>2.0799897247237836E-3</v>
      </c>
      <c r="AM115" s="72">
        <f>IF(VLOOKUP($A115,raw[],COLUMN(AN$1)-COLUMN($A$1),FALSE)=0, VLOOKUP($D115, regions[], COLUMN(AN$1)-COLUMN($A$1), FALSE), VLOOKUP($A115,raw[],COLUMN(AN$1)-COLUMN($A$1),FALSE))</f>
        <v>3.2074787270406683E-3</v>
      </c>
      <c r="AN115" s="72">
        <f>IF(VLOOKUP($A115,raw[],COLUMN(AO$1)-COLUMN($A$1),FALSE)=0, VLOOKUP($D115, regions[], COLUMN(AO$1)-COLUMN($A$1), FALSE), VLOOKUP($A115,raw[],COLUMN(AO$1)-COLUMN($A$1),FALSE))</f>
        <v>4.9123247462211569E-3</v>
      </c>
      <c r="AO115" s="72">
        <f>IF(VLOOKUP($A115,raw[],COLUMN(AP$1)-COLUMN($A$1),FALSE)=0, VLOOKUP($D115, regions[], COLUMN(AP$1)-COLUMN($A$1), FALSE), VLOOKUP($A115,raw[],COLUMN(AP$1)-COLUMN($A$1),FALSE))</f>
        <v>6.9758110547406063E-3</v>
      </c>
      <c r="AP115" s="72">
        <f>IF(VLOOKUP($A115,raw[],COLUMN(AQ$1)-COLUMN($A$1),FALSE)=0, VLOOKUP($D115, regions[], COLUMN(AQ$1)-COLUMN($A$1), FALSE), VLOOKUP($A115,raw[],COLUMN(AQ$1)-COLUMN($A$1),FALSE))</f>
        <v>9.9942876670689289E-3</v>
      </c>
      <c r="AQ115" s="72">
        <f>IF(VLOOKUP($A115,raw[],COLUMN(AR$1)-COLUMN($A$1),FALSE)=0, VLOOKUP($D115, regions[], COLUMN(AR$1)-COLUMN($A$1), FALSE), VLOOKUP($A115,raw[],COLUMN(AR$1)-COLUMN($A$1),FALSE))</f>
        <v>1.7504151558826845E-2</v>
      </c>
      <c r="AR115" s="72">
        <f>IF(VLOOKUP($A115,raw[],COLUMN(AS$1)-COLUMN($A$1),FALSE)=0, VLOOKUP($D115, regions[], COLUMN(AS$1)-COLUMN($A$1), FALSE), VLOOKUP($A115,raw[],COLUMN(AS$1)-COLUMN($A$1),FALSE))</f>
        <v>3.1457895529108021E-2</v>
      </c>
      <c r="AS115" s="72">
        <f>IF(VLOOKUP($A115,raw[],COLUMN(AT$1)-COLUMN($A$1),FALSE)=0, VLOOKUP($D115, regions[], COLUMN(AT$1)-COLUMN($A$1), FALSE), VLOOKUP($A115,raw[],COLUMN(AT$1)-COLUMN($A$1),FALSE))</f>
        <v>4.3127788074325546E-2</v>
      </c>
      <c r="AT115" s="72">
        <f>IF(VLOOKUP($A115,raw[],COLUMN(AU$1)-COLUMN($A$1),FALSE)=0, VLOOKUP($D115, regions[], COLUMN(AU$1)-COLUMN($A$1), FALSE), VLOOKUP($A115,raw[],COLUMN(AU$1)-COLUMN($A$1),FALSE))</f>
        <v>6.9941554014886095E-2</v>
      </c>
      <c r="AU115" s="72">
        <f>IF(VLOOKUP($A115,raw[],COLUMN(AV$1)-COLUMN($A$1),FALSE)=0, VLOOKUP($D115, regions[], COLUMN(AV$1)-COLUMN($A$1), FALSE), VLOOKUP($A115,raw[],COLUMN(AV$1)-COLUMN($A$1),FALSE))</f>
        <v>0.10666038153787064</v>
      </c>
      <c r="AV115" s="72">
        <f>IF(VLOOKUP($A115,raw[],COLUMN(AW$1)-COLUMN($A$1),FALSE)=0, VLOOKUP($D115, regions[], COLUMN(AW$1)-COLUMN($A$1), FALSE), VLOOKUP($A115,raw[],COLUMN(AW$1)-COLUMN($A$1),FALSE))</f>
        <v>0.14422443039010532</v>
      </c>
      <c r="AW115" s="72">
        <f>IF(VLOOKUP($A115,raw[],COLUMN(AX$1)-COLUMN($A$1),FALSE)=0, VLOOKUP($D115, regions[], COLUMN(AX$1)-COLUMN($A$1), FALSE), VLOOKUP($A115,raw[],COLUMN(AX$1)-COLUMN($A$1),FALSE))</f>
        <v>0.17174300385827795</v>
      </c>
      <c r="AX115" s="72">
        <f>IF(VLOOKUP($A115,raw[],COLUMN(AY$1)-COLUMN($A$1),FALSE)=0, VLOOKUP($D115, regions[], COLUMN(AY$1)-COLUMN($A$1), FALSE), VLOOKUP($A115,raw[],COLUMN(AY$1)-COLUMN($A$1),FALSE))</f>
        <v>76.724999999999994</v>
      </c>
      <c r="AY115" t="str">
        <f t="shared" si="3"/>
        <v>Yes</v>
      </c>
    </row>
    <row r="116" spans="1:51" x14ac:dyDescent="0.25">
      <c r="A116" s="53" t="s">
        <v>452</v>
      </c>
      <c r="B116" s="54" t="s">
        <v>453</v>
      </c>
      <c r="C116" s="54">
        <v>729</v>
      </c>
      <c r="D116" s="54" t="s">
        <v>196</v>
      </c>
      <c r="E116" s="54" t="s">
        <v>255</v>
      </c>
      <c r="F116" s="54" t="s">
        <v>211</v>
      </c>
      <c r="G116" s="54" t="s">
        <v>212</v>
      </c>
      <c r="H116" s="73">
        <f>VLOOKUP(lmics[[#This Row],[setting]],raw[],8,FALSE)</f>
        <v>43849269</v>
      </c>
      <c r="I116" s="73">
        <f>VLOOKUP(lmics[[#This Row],[setting]],raw[],9,FALSE)</f>
        <v>1419006.1941089998</v>
      </c>
      <c r="J116" s="67">
        <f>IF(VLOOKUP($A116,raw[],COLUMN(J$1),FALSE)=0, VLOOKUP($D116, regions[], COLUMN(J$1), FALSE), VLOOKUP($A116,raw[],COLUMN(J$1),FALSE))</f>
        <v>0.27699999999999997</v>
      </c>
      <c r="K116" s="77">
        <f>VLOOKUP($A116, raw[], 11, FALSE)</f>
        <v>0</v>
      </c>
      <c r="L116" s="77">
        <f>VLOOKUP($A116, raw[], 12, FALSE)</f>
        <v>0.9</v>
      </c>
      <c r="M116" s="77">
        <f>IF(VLOOKUP($A116,raw[],COLUMN(M$1),FALSE)=0, VLOOKUP($D116, regions[], COLUMN(M$1), FALSE), VLOOKUP($A116,raw[],COLUMN(M$1),FALSE))</f>
        <v>7.46E-2</v>
      </c>
      <c r="N116" s="68">
        <f>IF(VLOOKUP($A116,raw[],COLUMN(N$1),FALSE)=0, VLOOKUP($D116, regions[], COLUMN(N$1), FALSE), VLOOKUP($A116,raw[],COLUMN(N$1),FALSE))</f>
        <v>0.28042307379092596</v>
      </c>
      <c r="O116" s="67">
        <f>IF(VLOOKUP($A116,raw[],COLUMN(O$1),FALSE)=0, VLOOKUP($D116, regions[], COLUMN(O$1), FALSE), VLOOKUP($A116,raw[],COLUMN(O$1),FALSE))</f>
        <v>0.38300000000000001</v>
      </c>
      <c r="P116" s="68">
        <f>IF(VLOOKUP($A116,raw[],COLUMN(P$1),FALSE)=0, VLOOKUP($D116, regions[], COLUMN(P$1), FALSE), VLOOKUP($A116,raw[],COLUMN(P$1),FALSE))</f>
        <v>4.8000000000000001E-2</v>
      </c>
      <c r="Q116" s="70">
        <f>IF(VLOOKUP($A116,raw[],COLUMN(Q$1),FALSE)=0, VLOOKUP($D116, regions[], COLUMN(Q$1), FALSE), VLOOKUP($A116,raw[],COLUMN(Q$1),FALSE))</f>
        <v>4.1491429226847902</v>
      </c>
      <c r="R116" s="70">
        <f>IF(VLOOKUP($A116,raw[],COLUMN(R$1),FALSE)=0, VLOOKUP($D116, regions[], COLUMN(R$1), FALSE), VLOOKUP($A116,raw[],COLUMN(R$1),FALSE))</f>
        <v>26.474522922684791</v>
      </c>
      <c r="S116" s="70">
        <f>IF(VLOOKUP($A116,raw[],COLUMN(S$1),FALSE)=0, VLOOKUP($D116, regions[], COLUMN(S$1), FALSE), VLOOKUP($A116,raw[],COLUMN(S$1),FALSE))</f>
        <v>60.068056616528807</v>
      </c>
      <c r="T116" s="70">
        <f>IF(VLOOKUP($A116,raw[],COLUMN(U$1)-COLUMN($A$1),FALSE)=0, VLOOKUP($D116, regions[], COLUMN(U$1)-COLUMN($A$1), FALSE), VLOOKUP($A116,raw[],COLUMN(U$1)-COLUMN($A$1),FALSE))</f>
        <v>62.344328044153521</v>
      </c>
      <c r="U116" s="70">
        <f>IF(VLOOKUP($A116,raw[],COLUMN(V$1)-COLUMN($A$1),FALSE)=0, VLOOKUP($D116, regions[], COLUMN(V$1)-COLUMN($A$1), FALSE), VLOOKUP($A116,raw[],COLUMN(V$1)-COLUMN($A$1),FALSE))</f>
        <v>61.299112318836706</v>
      </c>
      <c r="V116" s="70">
        <f>IF(VLOOKUP($A116,raw[],COLUMN(W$1)-COLUMN($A$1),FALSE)=0, VLOOKUP($D116, regions[], COLUMN(W$1)-COLUMN($A$1), FALSE), VLOOKUP($A116,raw[],COLUMN(W$1)-COLUMN($A$1),FALSE))</f>
        <v>2.4516892551980232</v>
      </c>
      <c r="W116" s="70">
        <f>IF(VLOOKUP($A116,raw[],COLUMN(X$1)-COLUMN($A$1),FALSE)=0, VLOOKUP($D116, regions[], COLUMN(X$1)-COLUMN($A$1), FALSE), VLOOKUP($A116,raw[],COLUMN(X$1)-COLUMN($A$1),FALSE))</f>
        <v>7.2816892551980228</v>
      </c>
      <c r="X116" s="70">
        <f>IF(VLOOKUP($A116,raw[],COLUMN(Y$1)-COLUMN($A$1),FALSE)=0, VLOOKUP($D116, regions[], COLUMN(Y$1)-COLUMN($A$1), FALSE), VLOOKUP($A116,raw[],COLUMN(Y$1)-COLUMN($A$1),FALSE))</f>
        <v>2.0453253634628727</v>
      </c>
      <c r="Y116" s="70">
        <f>IF(VLOOKUP($A116,raw[],COLUMN(Z$1)-COLUMN($A$1),FALSE)=0, VLOOKUP($D116, regions[], COLUMN(Z$1)-COLUMN($A$1), FALSE), VLOOKUP($A116,raw[],COLUMN(Z$1)-COLUMN($A$1),FALSE))</f>
        <v>6.8753253634628724</v>
      </c>
      <c r="Z116" s="70">
        <f>IF(VLOOKUP($A116,raw[],COLUMN(AA$1)-COLUMN($A$1),FALSE)=0, VLOOKUP($D116, regions[], COLUMN(AA$1)-COLUMN($A$1), FALSE), VLOOKUP($A116,raw[],COLUMN(AA$1)-COLUMN($A$1),FALSE))</f>
        <v>6.8731720363370643</v>
      </c>
      <c r="AA116" s="70">
        <f>IF(VLOOKUP($A116,raw[],COLUMN(AB$1)-COLUMN($A$1),FALSE)=0, VLOOKUP($D116, regions[], COLUMN(AB$1)-COLUMN($A$1), FALSE), VLOOKUP($A116,raw[],COLUMN(AB$1)-COLUMN($A$1),FALSE))</f>
        <v>2.6553267431798391</v>
      </c>
      <c r="AB116" s="70">
        <f>IF(VLOOKUP($A116,raw[],COLUMN(AC$1)-COLUMN($A$1),FALSE)=0, VLOOKUP($D116, regions[], COLUMN(AC$1)-COLUMN($A$1), FALSE), VLOOKUP($A116,raw[],COLUMN(AC$1)-COLUMN($A$1),FALSE))</f>
        <v>7.4853267431798391</v>
      </c>
      <c r="AC116" s="72">
        <f>IF(VLOOKUP($A116,raw[],COLUMN(AD$1)-COLUMN($A$1),FALSE)=0, VLOOKUP($D116, regions[], COLUMN(AD$1)-COLUMN($A$1), FALSE), VLOOKUP($A116,raw[],COLUMN(AD$1)-COLUMN($A$1),FALSE))</f>
        <v>4.2874850000000006E-2</v>
      </c>
      <c r="AD116" s="72">
        <f>IF(VLOOKUP($A116,raw[],COLUMN(AE$1)-COLUMN($A$1),FALSE)=0, VLOOKUP($D116, regions[], COLUMN(AE$1)-COLUMN($A$1), FALSE), VLOOKUP($A116,raw[],COLUMN(AE$1)-COLUMN($A$1),FALSE))</f>
        <v>5.5109407583741827E-3</v>
      </c>
      <c r="AE116" s="72">
        <f>IF(VLOOKUP($A116,raw[],COLUMN(AF$1)-COLUMN($A$1),FALSE)=0, VLOOKUP($D116, regions[], COLUMN(AF$1)-COLUMN($A$1), FALSE), VLOOKUP($A116,raw[],COLUMN(AF$1)-COLUMN($A$1),FALSE))</f>
        <v>2.1666864969454775E-3</v>
      </c>
      <c r="AF116" s="72">
        <f>IF(VLOOKUP($A116,raw[],COLUMN(AG$1)-COLUMN($A$1),FALSE)=0, VLOOKUP($D116, regions[], COLUMN(AG$1)-COLUMN($A$1), FALSE), VLOOKUP($A116,raw[],COLUMN(AG$1)-COLUMN($A$1),FALSE))</f>
        <v>1.6265412680930844E-3</v>
      </c>
      <c r="AG116" s="72">
        <f>IF(VLOOKUP($A116,raw[],COLUMN(AH$1)-COLUMN($A$1),FALSE)=0, VLOOKUP($D116, regions[], COLUMN(AH$1)-COLUMN($A$1), FALSE), VLOOKUP($A116,raw[],COLUMN(AH$1)-COLUMN($A$1),FALSE))</f>
        <v>1.9187261517500268E-3</v>
      </c>
      <c r="AH116" s="72">
        <f>IF(VLOOKUP($A116,raw[],COLUMN(AI$1)-COLUMN($A$1),FALSE)=0, VLOOKUP($D116, regions[], COLUMN(AI$1)-COLUMN($A$1), FALSE), VLOOKUP($A116,raw[],COLUMN(AI$1)-COLUMN($A$1),FALSE))</f>
        <v>2.5722201125001026E-3</v>
      </c>
      <c r="AI116" s="72">
        <f>IF(VLOOKUP($A116,raw[],COLUMN(AJ$1)-COLUMN($A$1),FALSE)=0, VLOOKUP($D116, regions[], COLUMN(AJ$1)-COLUMN($A$1), FALSE), VLOOKUP($A116,raw[],COLUMN(AJ$1)-COLUMN($A$1),FALSE))</f>
        <v>3.0538597600547213E-3</v>
      </c>
      <c r="AJ116" s="72">
        <f>IF(VLOOKUP($A116,raw[],COLUMN(AK$1)-COLUMN($A$1),FALSE)=0, VLOOKUP($D116, regions[], COLUMN(AK$1)-COLUMN($A$1), FALSE), VLOOKUP($A116,raw[],COLUMN(AK$1)-COLUMN($A$1),FALSE))</f>
        <v>3.5465053197037046E-3</v>
      </c>
      <c r="AK116" s="72">
        <f>IF(VLOOKUP($A116,raw[],COLUMN(AL$1)-COLUMN($A$1),FALSE)=0, VLOOKUP($D116, regions[], COLUMN(AL$1)-COLUMN($A$1), FALSE), VLOOKUP($A116,raw[],COLUMN(AL$1)-COLUMN($A$1),FALSE))</f>
        <v>4.4674961160007399E-3</v>
      </c>
      <c r="AL116" s="72">
        <f>IF(VLOOKUP($A116,raw[],COLUMN(AM$1)-COLUMN($A$1),FALSE)=0, VLOOKUP($D116, regions[], COLUMN(AM$1)-COLUMN($A$1), FALSE), VLOOKUP($A116,raw[],COLUMN(AM$1)-COLUMN($A$1),FALSE))</f>
        <v>5.4109756268481439E-3</v>
      </c>
      <c r="AM116" s="72">
        <f>IF(VLOOKUP($A116,raw[],COLUMN(AN$1)-COLUMN($A$1),FALSE)=0, VLOOKUP($D116, regions[], COLUMN(AN$1)-COLUMN($A$1), FALSE), VLOOKUP($A116,raw[],COLUMN(AN$1)-COLUMN($A$1),FALSE))</f>
        <v>6.623522459809337E-3</v>
      </c>
      <c r="AN116" s="72">
        <f>IF(VLOOKUP($A116,raw[],COLUMN(AO$1)-COLUMN($A$1),FALSE)=0, VLOOKUP($D116, regions[], COLUMN(AO$1)-COLUMN($A$1), FALSE), VLOOKUP($A116,raw[],COLUMN(AO$1)-COLUMN($A$1),FALSE))</f>
        <v>8.8326556424588604E-3</v>
      </c>
      <c r="AO116" s="72">
        <f>IF(VLOOKUP($A116,raw[],COLUMN(AP$1)-COLUMN($A$1),FALSE)=0, VLOOKUP($D116, regions[], COLUMN(AP$1)-COLUMN($A$1), FALSE), VLOOKUP($A116,raw[],COLUMN(AP$1)-COLUMN($A$1),FALSE))</f>
        <v>1.1923097729237751E-2</v>
      </c>
      <c r="AP116" s="72">
        <f>IF(VLOOKUP($A116,raw[],COLUMN(AQ$1)-COLUMN($A$1),FALSE)=0, VLOOKUP($D116, regions[], COLUMN(AQ$1)-COLUMN($A$1), FALSE), VLOOKUP($A116,raw[],COLUMN(AQ$1)-COLUMN($A$1),FALSE))</f>
        <v>1.7536947410145505E-2</v>
      </c>
      <c r="AQ116" s="72">
        <f>IF(VLOOKUP($A116,raw[],COLUMN(AR$1)-COLUMN($A$1),FALSE)=0, VLOOKUP($D116, regions[], COLUMN(AR$1)-COLUMN($A$1), FALSE), VLOOKUP($A116,raw[],COLUMN(AR$1)-COLUMN($A$1),FALSE))</f>
        <v>2.7409566126079893E-2</v>
      </c>
      <c r="AR116" s="72">
        <f>IF(VLOOKUP($A116,raw[],COLUMN(AS$1)-COLUMN($A$1),FALSE)=0, VLOOKUP($D116, regions[], COLUMN(AS$1)-COLUMN($A$1), FALSE), VLOOKUP($A116,raw[],COLUMN(AS$1)-COLUMN($A$1),FALSE))</f>
        <v>4.2580666186292179E-2</v>
      </c>
      <c r="AS116" s="72">
        <f>IF(VLOOKUP($A116,raw[],COLUMN(AT$1)-COLUMN($A$1),FALSE)=0, VLOOKUP($D116, regions[], COLUMN(AT$1)-COLUMN($A$1), FALSE), VLOOKUP($A116,raw[],COLUMN(AT$1)-COLUMN($A$1),FALSE))</f>
        <v>6.3829376993833828E-2</v>
      </c>
      <c r="AT116" s="72">
        <f>IF(VLOOKUP($A116,raw[],COLUMN(AU$1)-COLUMN($A$1),FALSE)=0, VLOOKUP($D116, regions[], COLUMN(AU$1)-COLUMN($A$1), FALSE), VLOOKUP($A116,raw[],COLUMN(AU$1)-COLUMN($A$1),FALSE))</f>
        <v>9.205863252467697E-2</v>
      </c>
      <c r="AU116" s="72">
        <f>IF(VLOOKUP($A116,raw[],COLUMN(AV$1)-COLUMN($A$1),FALSE)=0, VLOOKUP($D116, regions[], COLUMN(AV$1)-COLUMN($A$1), FALSE), VLOOKUP($A116,raw[],COLUMN(AV$1)-COLUMN($A$1),FALSE))</f>
        <v>0.12169234717050383</v>
      </c>
      <c r="AV116" s="72">
        <f>IF(VLOOKUP($A116,raw[],COLUMN(AW$1)-COLUMN($A$1),FALSE)=0, VLOOKUP($D116, regions[], COLUMN(AW$1)-COLUMN($A$1), FALSE), VLOOKUP($A116,raw[],COLUMN(AW$1)-COLUMN($A$1),FALSE))</f>
        <v>0.14819504180293439</v>
      </c>
      <c r="AW116" s="72">
        <f>IF(VLOOKUP($A116,raw[],COLUMN(AX$1)-COLUMN($A$1),FALSE)=0, VLOOKUP($D116, regions[], COLUMN(AX$1)-COLUMN($A$1), FALSE), VLOOKUP($A116,raw[],COLUMN(AX$1)-COLUMN($A$1),FALSE))</f>
        <v>0.1678565296720865</v>
      </c>
      <c r="AX116" s="72">
        <f>IF(VLOOKUP($A116,raw[],COLUMN(AY$1)-COLUMN($A$1),FALSE)=0, VLOOKUP($D116, regions[], COLUMN(AY$1)-COLUMN($A$1), FALSE), VLOOKUP($A116,raw[],COLUMN(AY$1)-COLUMN($A$1),FALSE))</f>
        <v>64.947999999999993</v>
      </c>
      <c r="AY116" t="str">
        <f t="shared" si="3"/>
        <v>Yes</v>
      </c>
    </row>
    <row r="117" spans="1:51" x14ac:dyDescent="0.25">
      <c r="A117" s="55" t="s">
        <v>454</v>
      </c>
      <c r="B117" s="56" t="s">
        <v>455</v>
      </c>
      <c r="C117" s="56">
        <v>740</v>
      </c>
      <c r="D117" s="56" t="s">
        <v>215</v>
      </c>
      <c r="E117" s="56" t="s">
        <v>232</v>
      </c>
      <c r="F117" s="56" t="s">
        <v>217</v>
      </c>
      <c r="G117" s="56" t="s">
        <v>204</v>
      </c>
      <c r="H117" s="74">
        <f>VLOOKUP(lmics[[#This Row],[setting]],raw[],8,FALSE)</f>
        <v>586634</v>
      </c>
      <c r="I117" s="74">
        <f>VLOOKUP(lmics[[#This Row],[setting]],raw[],9,FALSE)</f>
        <v>10950.110244000001</v>
      </c>
      <c r="J117" s="67">
        <f>IF(VLOOKUP($A117,raw[],COLUMN(J$1),FALSE)=0, VLOOKUP($D117, regions[], COLUMN(J$1), FALSE), VLOOKUP($A117,raw[],COLUMN(J$1),FALSE))</f>
        <v>0.92900000000000005</v>
      </c>
      <c r="K117" s="77">
        <f>VLOOKUP($A117, raw[], 11, FALSE)</f>
        <v>0.79</v>
      </c>
      <c r="L117" s="77">
        <f>VLOOKUP($A117, raw[], 12, FALSE)</f>
        <v>0.51</v>
      </c>
      <c r="M117" s="77">
        <f>IF(VLOOKUP($A117,raw[],COLUMN(M$1),FALSE)=0, VLOOKUP($D117, regions[], COLUMN(M$1), FALSE), VLOOKUP($A117,raw[],COLUMN(M$1),FALSE))</f>
        <v>1.2500000000000001E-2</v>
      </c>
      <c r="N117" s="68">
        <f>IF(VLOOKUP($A117,raw[],COLUMN(N$1),FALSE)=0, VLOOKUP($D117, regions[], COLUMN(N$1), FALSE), VLOOKUP($A117,raw[],COLUMN(N$1),FALSE))</f>
        <v>0.30692004376449455</v>
      </c>
      <c r="O117" s="67">
        <f>IF(VLOOKUP($A117,raw[],COLUMN(O$1),FALSE)=0, VLOOKUP($D117, regions[], COLUMN(O$1), FALSE), VLOOKUP($A117,raw[],COLUMN(O$1),FALSE))</f>
        <v>0.8</v>
      </c>
      <c r="P117" s="68">
        <f>IF(VLOOKUP($A117,raw[],COLUMN(P$1),FALSE)=0, VLOOKUP($D117, regions[], COLUMN(P$1), FALSE), VLOOKUP($A117,raw[],COLUMN(P$1),FALSE))</f>
        <v>0.17499999999999999</v>
      </c>
      <c r="Q117" s="70">
        <f>IF(VLOOKUP($A117,raw[],COLUMN(Q$1),FALSE)=0, VLOOKUP($D117, regions[], COLUMN(Q$1), FALSE), VLOOKUP($A117,raw[],COLUMN(Q$1),FALSE))</f>
        <v>10.02874341399608</v>
      </c>
      <c r="R117" s="70">
        <f>IF(VLOOKUP($A117,raw[],COLUMN(R$1),FALSE)=0, VLOOKUP($D117, regions[], COLUMN(R$1), FALSE), VLOOKUP($A117,raw[],COLUMN(R$1),FALSE))</f>
        <v>32.354123413996085</v>
      </c>
      <c r="S117" s="70">
        <f>IF(VLOOKUP($A117,raw[],COLUMN(S$1),FALSE)=0, VLOOKUP($D117, regions[], COLUMN(S$1), FALSE), VLOOKUP($A117,raw[],COLUMN(S$1),FALSE))</f>
        <v>86.357068240053849</v>
      </c>
      <c r="T117" s="70">
        <f>IF(VLOOKUP($A117,raw[],COLUMN(U$1)-COLUMN($A$1),FALSE)=0, VLOOKUP($D117, regions[], COLUMN(U$1)-COLUMN($A$1), FALSE), VLOOKUP($A117,raw[],COLUMN(U$1)-COLUMN($A$1),FALSE))</f>
        <v>99.255724829657566</v>
      </c>
      <c r="U117" s="70">
        <f>IF(VLOOKUP($A117,raw[],COLUMN(V$1)-COLUMN($A$1),FALSE)=0, VLOOKUP($D117, regions[], COLUMN(V$1)-COLUMN($A$1), FALSE), VLOOKUP($A117,raw[],COLUMN(V$1)-COLUMN($A$1),FALSE))</f>
        <v>93.332934366578456</v>
      </c>
      <c r="V117" s="70">
        <f>IF(VLOOKUP($A117,raw[],COLUMN(W$1)-COLUMN($A$1),FALSE)=0, VLOOKUP($D117, regions[], COLUMN(W$1)-COLUMN($A$1), FALSE), VLOOKUP($A117,raw[],COLUMN(W$1)-COLUMN($A$1),FALSE))</f>
        <v>9.2518841186004064</v>
      </c>
      <c r="W117" s="70">
        <f>IF(VLOOKUP($A117,raw[],COLUMN(X$1)-COLUMN($A$1),FALSE)=0, VLOOKUP($D117, regions[], COLUMN(X$1)-COLUMN($A$1), FALSE), VLOOKUP($A117,raw[],COLUMN(X$1)-COLUMN($A$1),FALSE))</f>
        <v>9.271884118600406</v>
      </c>
      <c r="X117" s="70">
        <f>IF(VLOOKUP($A117,raw[],COLUMN(Y$1)-COLUMN($A$1),FALSE)=0, VLOOKUP($D117, regions[], COLUMN(Y$1)-COLUMN($A$1), FALSE), VLOOKUP($A117,raw[],COLUMN(Y$1)-COLUMN($A$1),FALSE))</f>
        <v>8.8355014782152992</v>
      </c>
      <c r="Y117" s="70">
        <f>IF(VLOOKUP($A117,raw[],COLUMN(Z$1)-COLUMN($A$1),FALSE)=0, VLOOKUP($D117, regions[], COLUMN(Z$1)-COLUMN($A$1), FALSE), VLOOKUP($A117,raw[],COLUMN(Z$1)-COLUMN($A$1),FALSE))</f>
        <v>8.8555014782152988</v>
      </c>
      <c r="Z117" s="70">
        <f>IF(VLOOKUP($A117,raw[],COLUMN(AA$1)-COLUMN($A$1),FALSE)=0, VLOOKUP($D117, regions[], COLUMN(AA$1)-COLUMN($A$1), FALSE), VLOOKUP($A117,raw[],COLUMN(AA$1)-COLUMN($A$1),FALSE))</f>
        <v>8.8494323061703444</v>
      </c>
      <c r="AA117" s="70">
        <f>IF(VLOOKUP($A117,raw[],COLUMN(AB$1)-COLUMN($A$1),FALSE)=0, VLOOKUP($D117, regions[], COLUMN(AB$1)-COLUMN($A$1), FALSE), VLOOKUP($A117,raw[],COLUMN(AB$1)-COLUMN($A$1),FALSE))</f>
        <v>9.4590935082748153</v>
      </c>
      <c r="AB117" s="70">
        <f>IF(VLOOKUP($A117,raw[],COLUMN(AC$1)-COLUMN($A$1),FALSE)=0, VLOOKUP($D117, regions[], COLUMN(AC$1)-COLUMN($A$1), FALSE), VLOOKUP($A117,raw[],COLUMN(AC$1)-COLUMN($A$1),FALSE))</f>
        <v>9.4790935082748149</v>
      </c>
      <c r="AC117" s="72">
        <f>IF(VLOOKUP($A117,raw[],COLUMN(AD$1)-COLUMN($A$1),FALSE)=0, VLOOKUP($D117, regions[], COLUMN(AD$1)-COLUMN($A$1), FALSE), VLOOKUP($A117,raw[],COLUMN(AD$1)-COLUMN($A$1),FALSE))</f>
        <v>1.7496539999999949E-2</v>
      </c>
      <c r="AD117" s="72">
        <f>IF(VLOOKUP($A117,raw[],COLUMN(AE$1)-COLUMN($A$1),FALSE)=0, VLOOKUP($D117, regions[], COLUMN(AE$1)-COLUMN($A$1), FALSE), VLOOKUP($A117,raw[],COLUMN(AE$1)-COLUMN($A$1),FALSE))</f>
        <v>5.2713045916398212E-4</v>
      </c>
      <c r="AE117" s="72">
        <f>IF(VLOOKUP($A117,raw[],COLUMN(AF$1)-COLUMN($A$1),FALSE)=0, VLOOKUP($D117, regions[], COLUMN(AF$1)-COLUMN($A$1), FALSE), VLOOKUP($A117,raw[],COLUMN(AF$1)-COLUMN($A$1),FALSE))</f>
        <v>5.5092254603772059E-4</v>
      </c>
      <c r="AF117" s="72">
        <f>IF(VLOOKUP($A117,raw[],COLUMN(AG$1)-COLUMN($A$1),FALSE)=0, VLOOKUP($D117, regions[], COLUMN(AG$1)-COLUMN($A$1), FALSE), VLOOKUP($A117,raw[],COLUMN(AG$1)-COLUMN($A$1),FALSE))</f>
        <v>3.1541800571920048E-4</v>
      </c>
      <c r="AG117" s="72">
        <f>IF(VLOOKUP($A117,raw[],COLUMN(AH$1)-COLUMN($A$1),FALSE)=0, VLOOKUP($D117, regions[], COLUMN(AH$1)-COLUMN($A$1), FALSE), VLOOKUP($A117,raw[],COLUMN(AH$1)-COLUMN($A$1),FALSE))</f>
        <v>5.7519180580934001E-4</v>
      </c>
      <c r="AH117" s="72">
        <f>IF(VLOOKUP($A117,raw[],COLUMN(AI$1)-COLUMN($A$1),FALSE)=0, VLOOKUP($D117, regions[], COLUMN(AI$1)-COLUMN($A$1), FALSE), VLOOKUP($A117,raw[],COLUMN(AI$1)-COLUMN($A$1),FALSE))</f>
        <v>1.1746985126604994E-3</v>
      </c>
      <c r="AI117" s="72">
        <f>IF(VLOOKUP($A117,raw[],COLUMN(AJ$1)-COLUMN($A$1),FALSE)=0, VLOOKUP($D117, regions[], COLUMN(AJ$1)-COLUMN($A$1), FALSE), VLOOKUP($A117,raw[],COLUMN(AJ$1)-COLUMN($A$1),FALSE))</f>
        <v>1.8961984882942902E-3</v>
      </c>
      <c r="AJ117" s="72">
        <f>IF(VLOOKUP($A117,raw[],COLUMN(AK$1)-COLUMN($A$1),FALSE)=0, VLOOKUP($D117, regions[], COLUMN(AK$1)-COLUMN($A$1), FALSE), VLOOKUP($A117,raw[],COLUMN(AK$1)-COLUMN($A$1),FALSE))</f>
        <v>2.568637902467637E-3</v>
      </c>
      <c r="AK117" s="72">
        <f>IF(VLOOKUP($A117,raw[],COLUMN(AL$1)-COLUMN($A$1),FALSE)=0, VLOOKUP($D117, regions[], COLUMN(AL$1)-COLUMN($A$1), FALSE), VLOOKUP($A117,raw[],COLUMN(AL$1)-COLUMN($A$1),FALSE))</f>
        <v>3.2158150706266654E-3</v>
      </c>
      <c r="AL117" s="72">
        <f>IF(VLOOKUP($A117,raw[],COLUMN(AM$1)-COLUMN($A$1),FALSE)=0, VLOOKUP($D117, regions[], COLUMN(AM$1)-COLUMN($A$1), FALSE), VLOOKUP($A117,raw[],COLUMN(AM$1)-COLUMN($A$1),FALSE))</f>
        <v>3.9342196188770747E-3</v>
      </c>
      <c r="AM117" s="72">
        <f>IF(VLOOKUP($A117,raw[],COLUMN(AN$1)-COLUMN($A$1),FALSE)=0, VLOOKUP($D117, regions[], COLUMN(AN$1)-COLUMN($A$1), FALSE), VLOOKUP($A117,raw[],COLUMN(AN$1)-COLUMN($A$1),FALSE))</f>
        <v>5.0566020039156468E-3</v>
      </c>
      <c r="AN117" s="72">
        <f>IF(VLOOKUP($A117,raw[],COLUMN(AO$1)-COLUMN($A$1),FALSE)=0, VLOOKUP($D117, regions[], COLUMN(AO$1)-COLUMN($A$1), FALSE), VLOOKUP($A117,raw[],COLUMN(AO$1)-COLUMN($A$1),FALSE))</f>
        <v>7.3277731125225339E-3</v>
      </c>
      <c r="AO117" s="72">
        <f>IF(VLOOKUP($A117,raw[],COLUMN(AP$1)-COLUMN($A$1),FALSE)=0, VLOOKUP($D117, regions[], COLUMN(AP$1)-COLUMN($A$1), FALSE), VLOOKUP($A117,raw[],COLUMN(AP$1)-COLUMN($A$1),FALSE))</f>
        <v>1.1357376285848873E-2</v>
      </c>
      <c r="AP117" s="72">
        <f>IF(VLOOKUP($A117,raw[],COLUMN(AQ$1)-COLUMN($A$1),FALSE)=0, VLOOKUP($D117, regions[], COLUMN(AQ$1)-COLUMN($A$1), FALSE), VLOOKUP($A117,raw[],COLUMN(AQ$1)-COLUMN($A$1),FALSE))</f>
        <v>1.7535594509055171E-2</v>
      </c>
      <c r="AQ117" s="72">
        <f>IF(VLOOKUP($A117,raw[],COLUMN(AR$1)-COLUMN($A$1),FALSE)=0, VLOOKUP($D117, regions[], COLUMN(AR$1)-COLUMN($A$1), FALSE), VLOOKUP($A117,raw[],COLUMN(AR$1)-COLUMN($A$1),FALSE))</f>
        <v>2.6472253876052673E-2</v>
      </c>
      <c r="AR117" s="72">
        <f>IF(VLOOKUP($A117,raw[],COLUMN(AS$1)-COLUMN($A$1),FALSE)=0, VLOOKUP($D117, regions[], COLUMN(AS$1)-COLUMN($A$1), FALSE), VLOOKUP($A117,raw[],COLUMN(AS$1)-COLUMN($A$1),FALSE))</f>
        <v>3.9200376957628798E-2</v>
      </c>
      <c r="AS117" s="72">
        <f>IF(VLOOKUP($A117,raw[],COLUMN(AT$1)-COLUMN($A$1),FALSE)=0, VLOOKUP($D117, regions[], COLUMN(AT$1)-COLUMN($A$1), FALSE), VLOOKUP($A117,raw[],COLUMN(AT$1)-COLUMN($A$1),FALSE))</f>
        <v>5.680284239063222E-2</v>
      </c>
      <c r="AT117" s="72">
        <f>IF(VLOOKUP($A117,raw[],COLUMN(AU$1)-COLUMN($A$1),FALSE)=0, VLOOKUP($D117, regions[], COLUMN(AU$1)-COLUMN($A$1), FALSE), VLOOKUP($A117,raw[],COLUMN(AU$1)-COLUMN($A$1),FALSE))</f>
        <v>7.981422650900577E-2</v>
      </c>
      <c r="AU117" s="72">
        <f>IF(VLOOKUP($A117,raw[],COLUMN(AV$1)-COLUMN($A$1),FALSE)=0, VLOOKUP($D117, regions[], COLUMN(AV$1)-COLUMN($A$1), FALSE), VLOOKUP($A117,raw[],COLUMN(AV$1)-COLUMN($A$1),FALSE))</f>
        <v>0.10661921371183349</v>
      </c>
      <c r="AV117" s="72">
        <f>IF(VLOOKUP($A117,raw[],COLUMN(AW$1)-COLUMN($A$1),FALSE)=0, VLOOKUP($D117, regions[], COLUMN(AW$1)-COLUMN($A$1), FALSE), VLOOKUP($A117,raw[],COLUMN(AW$1)-COLUMN($A$1),FALSE))</f>
        <v>0.13385074379608689</v>
      </c>
      <c r="AW117" s="72">
        <f>IF(VLOOKUP($A117,raw[],COLUMN(AX$1)-COLUMN($A$1),FALSE)=0, VLOOKUP($D117, regions[], COLUMN(AX$1)-COLUMN($A$1), FALSE), VLOOKUP($A117,raw[],COLUMN(AX$1)-COLUMN($A$1),FALSE))</f>
        <v>0.15756882013185389</v>
      </c>
      <c r="AX117" s="72">
        <f>IF(VLOOKUP($A117,raw[],COLUMN(AY$1)-COLUMN($A$1),FALSE)=0, VLOOKUP($D117, regions[], COLUMN(AY$1)-COLUMN($A$1), FALSE), VLOOKUP($A117,raw[],COLUMN(AY$1)-COLUMN($A$1),FALSE))</f>
        <v>71.488</v>
      </c>
      <c r="AY117" t="str">
        <f t="shared" si="3"/>
        <v>No</v>
      </c>
    </row>
    <row r="118" spans="1:51" x14ac:dyDescent="0.25">
      <c r="A118" s="53" t="s">
        <v>456</v>
      </c>
      <c r="B118" s="54" t="s">
        <v>457</v>
      </c>
      <c r="C118" s="54">
        <v>760</v>
      </c>
      <c r="D118" s="54" t="s">
        <v>196</v>
      </c>
      <c r="E118" s="54" t="s">
        <v>197</v>
      </c>
      <c r="F118" s="54" t="s">
        <v>197</v>
      </c>
      <c r="G118" s="54" t="s">
        <v>198</v>
      </c>
      <c r="H118" s="73">
        <f>VLOOKUP(lmics[[#This Row],[setting]],raw[],8,FALSE)</f>
        <v>17500657</v>
      </c>
      <c r="I118" s="73">
        <f>VLOOKUP(lmics[[#This Row],[setting]],raw[],9,FALSE)</f>
        <v>420085.77062800003</v>
      </c>
      <c r="J118" s="67">
        <f>IF(VLOOKUP($A118,raw[],COLUMN(J$1),FALSE)=0, VLOOKUP($D118, regions[], COLUMN(J$1), FALSE), VLOOKUP($A118,raw[],COLUMN(J$1),FALSE))</f>
        <v>0.78200000000000003</v>
      </c>
      <c r="K118" s="77">
        <f>VLOOKUP($A118, raw[], 11, FALSE)</f>
        <v>0</v>
      </c>
      <c r="L118" s="77">
        <f>VLOOKUP($A118, raw[], 12, FALSE)</f>
        <v>0.49</v>
      </c>
      <c r="M118" s="77">
        <f>IF(VLOOKUP($A118,raw[],COLUMN(M$1),FALSE)=0, VLOOKUP($D118, regions[], COLUMN(M$1), FALSE), VLOOKUP($A118,raw[],COLUMN(M$1),FALSE))</f>
        <v>1.41E-2</v>
      </c>
      <c r="N118" s="68">
        <f>IF(VLOOKUP($A118,raw[],COLUMN(N$1),FALSE)=0, VLOOKUP($D118, regions[], COLUMN(N$1), FALSE), VLOOKUP($A118,raw[],COLUMN(N$1),FALSE))</f>
        <v>0.25842474074213168</v>
      </c>
      <c r="O118" s="67">
        <f>IF(VLOOKUP($A118,raw[],COLUMN(O$1),FALSE)=0, VLOOKUP($D118, regions[], COLUMN(O$1), FALSE), VLOOKUP($A118,raw[],COLUMN(O$1),FALSE))</f>
        <v>0.8</v>
      </c>
      <c r="P118" s="68">
        <f>IF(VLOOKUP($A118,raw[],COLUMN(P$1),FALSE)=0, VLOOKUP($D118, regions[], COLUMN(P$1), FALSE), VLOOKUP($A118,raw[],COLUMN(P$1),FALSE))</f>
        <v>0.17499999999999999</v>
      </c>
      <c r="Q118" s="70">
        <f>IF(VLOOKUP($A118,raw[],COLUMN(Q$1),FALSE)=0, VLOOKUP($D118, regions[], COLUMN(Q$1), FALSE), VLOOKUP($A118,raw[],COLUMN(Q$1),FALSE))</f>
        <v>7.5935429031230095</v>
      </c>
      <c r="R118" s="70">
        <f>IF(VLOOKUP($A118,raw[],COLUMN(R$1),FALSE)=0, VLOOKUP($D118, regions[], COLUMN(R$1), FALSE), VLOOKUP($A118,raw[],COLUMN(R$1),FALSE))</f>
        <v>29.918922903123011</v>
      </c>
      <c r="S118" s="70">
        <f>IF(VLOOKUP($A118,raw[],COLUMN(S$1),FALSE)=0, VLOOKUP($D118, regions[], COLUMN(S$1), FALSE), VLOOKUP($A118,raw[],COLUMN(S$1),FALSE))</f>
        <v>74.517847023200645</v>
      </c>
      <c r="T118" s="70">
        <f>IF(VLOOKUP($A118,raw[],COLUMN(U$1)-COLUMN($A$1),FALSE)=0, VLOOKUP($D118, regions[], COLUMN(U$1)-COLUMN($A$1), FALSE), VLOOKUP($A118,raw[],COLUMN(U$1)-COLUMN($A$1),FALSE))</f>
        <v>82.522039516656207</v>
      </c>
      <c r="U118" s="70">
        <f>IF(VLOOKUP($A118,raw[],COLUMN(V$1)-COLUMN($A$1),FALSE)=0, VLOOKUP($D118, regions[], COLUMN(V$1)-COLUMN($A$1), FALSE), VLOOKUP($A118,raw[],COLUMN(V$1)-COLUMN($A$1),FALSE))</f>
        <v>78.846683510737094</v>
      </c>
      <c r="V118" s="70">
        <f>IF(VLOOKUP($A118,raw[],COLUMN(W$1)-COLUMN($A$1),FALSE)=0, VLOOKUP($D118, regions[], COLUMN(W$1)-COLUMN($A$1), FALSE), VLOOKUP($A118,raw[],COLUMN(W$1)-COLUMN($A$1),FALSE))</f>
        <v>1.1974491789647508</v>
      </c>
      <c r="W118" s="70">
        <f>IF(VLOOKUP($A118,raw[],COLUMN(X$1)-COLUMN($A$1),FALSE)=0, VLOOKUP($D118, regions[], COLUMN(X$1)-COLUMN($A$1), FALSE), VLOOKUP($A118,raw[],COLUMN(X$1)-COLUMN($A$1),FALSE))</f>
        <v>1.6774491789647508</v>
      </c>
      <c r="X118" s="70">
        <f>IF(VLOOKUP($A118,raw[],COLUMN(Y$1)-COLUMN($A$1),FALSE)=0, VLOOKUP($D118, regions[], COLUMN(Y$1)-COLUMN($A$1), FALSE), VLOOKUP($A118,raw[],COLUMN(Y$1)-COLUMN($A$1),FALSE))</f>
        <v>0.78396312436439086</v>
      </c>
      <c r="Y118" s="70">
        <f>IF(VLOOKUP($A118,raw[],COLUMN(Z$1)-COLUMN($A$1),FALSE)=0, VLOOKUP($D118, regions[], COLUMN(Z$1)-COLUMN($A$1), FALSE), VLOOKUP($A118,raw[],COLUMN(Z$1)-COLUMN($A$1),FALSE))</f>
        <v>1.2639631243643907</v>
      </c>
      <c r="Z118" s="70">
        <f>IF(VLOOKUP($A118,raw[],COLUMN(AA$1)-COLUMN($A$1),FALSE)=0, VLOOKUP($D118, regions[], COLUMN(AA$1)-COLUMN($A$1), FALSE), VLOOKUP($A118,raw[],COLUMN(AA$1)-COLUMN($A$1),FALSE))</f>
        <v>1.2587405094266237</v>
      </c>
      <c r="AA118" s="70">
        <f>IF(VLOOKUP($A118,raw[],COLUMN(AB$1)-COLUMN($A$1),FALSE)=0, VLOOKUP($D118, regions[], COLUMN(AB$1)-COLUMN($A$1), FALSE), VLOOKUP($A118,raw[],COLUMN(AB$1)-COLUMN($A$1),FALSE))</f>
        <v>1.4036258728376416</v>
      </c>
      <c r="AB118" s="70">
        <f>IF(VLOOKUP($A118,raw[],COLUMN(AC$1)-COLUMN($A$1),FALSE)=0, VLOOKUP($D118, regions[], COLUMN(AC$1)-COLUMN($A$1), FALSE), VLOOKUP($A118,raw[],COLUMN(AC$1)-COLUMN($A$1),FALSE))</f>
        <v>1.8836258728376416</v>
      </c>
      <c r="AC118" s="72">
        <f>IF(VLOOKUP($A118,raw[],COLUMN(AD$1)-COLUMN($A$1),FALSE)=0, VLOOKUP($D118, regions[], COLUMN(AD$1)-COLUMN($A$1), FALSE), VLOOKUP($A118,raw[],COLUMN(AD$1)-COLUMN($A$1),FALSE))</f>
        <v>1.5543830000000017E-2</v>
      </c>
      <c r="AD118" s="72">
        <f>IF(VLOOKUP($A118,raw[],COLUMN(AE$1)-COLUMN($A$1),FALSE)=0, VLOOKUP($D118, regions[], COLUMN(AE$1)-COLUMN($A$1), FALSE), VLOOKUP($A118,raw[],COLUMN(AE$1)-COLUMN($A$1),FALSE))</f>
        <v>5.6625933889975239E-4</v>
      </c>
      <c r="AE118" s="72">
        <f>IF(VLOOKUP($A118,raw[],COLUMN(AF$1)-COLUMN($A$1),FALSE)=0, VLOOKUP($D118, regions[], COLUMN(AF$1)-COLUMN($A$1), FALSE), VLOOKUP($A118,raw[],COLUMN(AF$1)-COLUMN($A$1),FALSE))</f>
        <v>3.5458222388945384E-4</v>
      </c>
      <c r="AF118" s="72">
        <f>IF(VLOOKUP($A118,raw[],COLUMN(AG$1)-COLUMN($A$1),FALSE)=0, VLOOKUP($D118, regions[], COLUMN(AG$1)-COLUMN($A$1), FALSE), VLOOKUP($A118,raw[],COLUMN(AG$1)-COLUMN($A$1),FALSE))</f>
        <v>3.160905255719894E-4</v>
      </c>
      <c r="AG118" s="72">
        <f>IF(VLOOKUP($A118,raw[],COLUMN(AH$1)-COLUMN($A$1),FALSE)=0, VLOOKUP($D118, regions[], COLUMN(AH$1)-COLUMN($A$1), FALSE), VLOOKUP($A118,raw[],COLUMN(AH$1)-COLUMN($A$1),FALSE))</f>
        <v>2.1476597437748864E-3</v>
      </c>
      <c r="AH118" s="72">
        <f>IF(VLOOKUP($A118,raw[],COLUMN(AI$1)-COLUMN($A$1),FALSE)=0, VLOOKUP($D118, regions[], COLUMN(AI$1)-COLUMN($A$1), FALSE), VLOOKUP($A118,raw[],COLUMN(AI$1)-COLUMN($A$1),FALSE))</f>
        <v>3.1342040401075512E-3</v>
      </c>
      <c r="AI118" s="72">
        <f>IF(VLOOKUP($A118,raw[],COLUMN(AJ$1)-COLUMN($A$1),FALSE)=0, VLOOKUP($D118, regions[], COLUMN(AJ$1)-COLUMN($A$1), FALSE), VLOOKUP($A118,raw[],COLUMN(AJ$1)-COLUMN($A$1),FALSE))</f>
        <v>4.6487466182035487E-3</v>
      </c>
      <c r="AJ118" s="72">
        <f>IF(VLOOKUP($A118,raw[],COLUMN(AK$1)-COLUMN($A$1),FALSE)=0, VLOOKUP($D118, regions[], COLUMN(AK$1)-COLUMN($A$1), FALSE), VLOOKUP($A118,raw[],COLUMN(AK$1)-COLUMN($A$1),FALSE))</f>
        <v>3.9935579591588938E-3</v>
      </c>
      <c r="AK118" s="72">
        <f>IF(VLOOKUP($A118,raw[],COLUMN(AL$1)-COLUMN($A$1),FALSE)=0, VLOOKUP($D118, regions[], COLUMN(AL$1)-COLUMN($A$1), FALSE), VLOOKUP($A118,raw[],COLUMN(AL$1)-COLUMN($A$1),FALSE))</f>
        <v>2.7207746224425407E-3</v>
      </c>
      <c r="AL118" s="72">
        <f>IF(VLOOKUP($A118,raw[],COLUMN(AM$1)-COLUMN($A$1),FALSE)=0, VLOOKUP($D118, regions[], COLUMN(AM$1)-COLUMN($A$1), FALSE), VLOOKUP($A118,raw[],COLUMN(AM$1)-COLUMN($A$1),FALSE))</f>
        <v>2.7222126681832074E-3</v>
      </c>
      <c r="AM118" s="72">
        <f>IF(VLOOKUP($A118,raw[],COLUMN(AN$1)-COLUMN($A$1),FALSE)=0, VLOOKUP($D118, regions[], COLUMN(AN$1)-COLUMN($A$1), FALSE), VLOOKUP($A118,raw[],COLUMN(AN$1)-COLUMN($A$1),FALSE))</f>
        <v>4.0660547201637901E-3</v>
      </c>
      <c r="AN118" s="72">
        <f>IF(VLOOKUP($A118,raw[],COLUMN(AO$1)-COLUMN($A$1),FALSE)=0, VLOOKUP($D118, regions[], COLUMN(AO$1)-COLUMN($A$1), FALSE), VLOOKUP($A118,raw[],COLUMN(AO$1)-COLUMN($A$1),FALSE))</f>
        <v>6.6229891408634122E-3</v>
      </c>
      <c r="AO118" s="72">
        <f>IF(VLOOKUP($A118,raw[],COLUMN(AP$1)-COLUMN($A$1),FALSE)=0, VLOOKUP($D118, regions[], COLUMN(AP$1)-COLUMN($A$1), FALSE), VLOOKUP($A118,raw[],COLUMN(AP$1)-COLUMN($A$1),FALSE))</f>
        <v>8.1106364299420378E-3</v>
      </c>
      <c r="AP118" s="72">
        <f>IF(VLOOKUP($A118,raw[],COLUMN(AQ$1)-COLUMN($A$1),FALSE)=0, VLOOKUP($D118, regions[], COLUMN(AQ$1)-COLUMN($A$1), FALSE), VLOOKUP($A118,raw[],COLUMN(AQ$1)-COLUMN($A$1),FALSE))</f>
        <v>1.3012347206928504E-2</v>
      </c>
      <c r="AQ118" s="72">
        <f>IF(VLOOKUP($A118,raw[],COLUMN(AR$1)-COLUMN($A$1),FALSE)=0, VLOOKUP($D118, regions[], COLUMN(AR$1)-COLUMN($A$1), FALSE), VLOOKUP($A118,raw[],COLUMN(AR$1)-COLUMN($A$1),FALSE))</f>
        <v>2.1574450519031115E-2</v>
      </c>
      <c r="AR118" s="72">
        <f>IF(VLOOKUP($A118,raw[],COLUMN(AS$1)-COLUMN($A$1),FALSE)=0, VLOOKUP($D118, regions[], COLUMN(AS$1)-COLUMN($A$1), FALSE), VLOOKUP($A118,raw[],COLUMN(AS$1)-COLUMN($A$1),FALSE))</f>
        <v>3.549759510730266E-2</v>
      </c>
      <c r="AS118" s="72">
        <f>IF(VLOOKUP($A118,raw[],COLUMN(AT$1)-COLUMN($A$1),FALSE)=0, VLOOKUP($D118, regions[], COLUMN(AT$1)-COLUMN($A$1), FALSE), VLOOKUP($A118,raw[],COLUMN(AT$1)-COLUMN($A$1),FALSE))</f>
        <v>5.2152995053446186E-2</v>
      </c>
      <c r="AT118" s="72">
        <f>IF(VLOOKUP($A118,raw[],COLUMN(AU$1)-COLUMN($A$1),FALSE)=0, VLOOKUP($D118, regions[], COLUMN(AU$1)-COLUMN($A$1), FALSE), VLOOKUP($A118,raw[],COLUMN(AU$1)-COLUMN($A$1),FALSE))</f>
        <v>8.2738468449409353E-2</v>
      </c>
      <c r="AU118" s="72">
        <f>IF(VLOOKUP($A118,raw[],COLUMN(AV$1)-COLUMN($A$1),FALSE)=0, VLOOKUP($D118, regions[], COLUMN(AV$1)-COLUMN($A$1), FALSE), VLOOKUP($A118,raw[],COLUMN(AV$1)-COLUMN($A$1),FALSE))</f>
        <v>0.11748124899706361</v>
      </c>
      <c r="AV118" s="72">
        <f>IF(VLOOKUP($A118,raw[],COLUMN(AW$1)-COLUMN($A$1),FALSE)=0, VLOOKUP($D118, regions[], COLUMN(AW$1)-COLUMN($A$1), FALSE), VLOOKUP($A118,raw[],COLUMN(AW$1)-COLUMN($A$1),FALSE))</f>
        <v>0.15074816066722091</v>
      </c>
      <c r="AW118" s="72">
        <f>IF(VLOOKUP($A118,raw[],COLUMN(AX$1)-COLUMN($A$1),FALSE)=0, VLOOKUP($D118, regions[], COLUMN(AX$1)-COLUMN($A$1), FALSE), VLOOKUP($A118,raw[],COLUMN(AX$1)-COLUMN($A$1),FALSE))</f>
        <v>0.17290816915071688</v>
      </c>
      <c r="AX118" s="72">
        <f>IF(VLOOKUP($A118,raw[],COLUMN(AY$1)-COLUMN($A$1),FALSE)=0, VLOOKUP($D118, regions[], COLUMN(AY$1)-COLUMN($A$1), FALSE), VLOOKUP($A118,raw[],COLUMN(AY$1)-COLUMN($A$1),FALSE))</f>
        <v>71.319999999999993</v>
      </c>
      <c r="AY118" t="str">
        <f t="shared" si="3"/>
        <v>Yes</v>
      </c>
    </row>
    <row r="119" spans="1:51" x14ac:dyDescent="0.25">
      <c r="A119" s="55" t="s">
        <v>458</v>
      </c>
      <c r="B119" s="56" t="s">
        <v>459</v>
      </c>
      <c r="C119" s="56">
        <v>762</v>
      </c>
      <c r="D119" s="56" t="s">
        <v>201</v>
      </c>
      <c r="E119" s="56" t="s">
        <v>220</v>
      </c>
      <c r="F119" s="56" t="s">
        <v>203</v>
      </c>
      <c r="G119" s="56" t="s">
        <v>198</v>
      </c>
      <c r="H119" s="74">
        <f>VLOOKUP(lmics[[#This Row],[setting]],raw[],8,FALSE)</f>
        <v>9537642</v>
      </c>
      <c r="I119" s="74">
        <f>VLOOKUP(lmics[[#This Row],[setting]],raw[],9,FALSE)</f>
        <v>297688.88210400002</v>
      </c>
      <c r="J119" s="67">
        <f>IF(VLOOKUP($A119,raw[],COLUMN(J$1),FALSE)=0, VLOOKUP($D119, regions[], COLUMN(J$1), FALSE), VLOOKUP($A119,raw[],COLUMN(J$1),FALSE))</f>
        <v>0.88200000000000001</v>
      </c>
      <c r="K119" s="77">
        <f>VLOOKUP($A119, raw[], 11, FALSE)</f>
        <v>0.99</v>
      </c>
      <c r="L119" s="77">
        <f>VLOOKUP($A119, raw[], 12, FALSE)</f>
        <v>0.97</v>
      </c>
      <c r="M119" s="77">
        <f>IF(VLOOKUP($A119,raw[],COLUMN(M$1),FALSE)=0, VLOOKUP($D119, regions[], COLUMN(M$1), FALSE), VLOOKUP($A119,raw[],COLUMN(M$1),FALSE))</f>
        <v>4.5599999999999995E-2</v>
      </c>
      <c r="N119" s="68">
        <f>IF(VLOOKUP($A119,raw[],COLUMN(N$1),FALSE)=0, VLOOKUP($D119, regions[], COLUMN(N$1), FALSE), VLOOKUP($A119,raw[],COLUMN(N$1),FALSE))</f>
        <v>0.31299880290704257</v>
      </c>
      <c r="O119" s="67">
        <f>IF(VLOOKUP($A119,raw[],COLUMN(O$1),FALSE)=0, VLOOKUP($D119, regions[], COLUMN(O$1), FALSE), VLOOKUP($A119,raw[],COLUMN(O$1),FALSE))</f>
        <v>0.8</v>
      </c>
      <c r="P119" s="68">
        <f>IF(VLOOKUP($A119,raw[],COLUMN(P$1),FALSE)=0, VLOOKUP($D119, regions[], COLUMN(P$1), FALSE), VLOOKUP($A119,raw[],COLUMN(P$1),FALSE))</f>
        <v>0.17499999999999999</v>
      </c>
      <c r="Q119" s="70">
        <f>IF(VLOOKUP($A119,raw[],COLUMN(Q$1),FALSE)=0, VLOOKUP($D119, regions[], COLUMN(Q$1), FALSE), VLOOKUP($A119,raw[],COLUMN(Q$1),FALSE))</f>
        <v>3.3658591445086703</v>
      </c>
      <c r="R119" s="70">
        <f>IF(VLOOKUP($A119,raw[],COLUMN(R$1),FALSE)=0, VLOOKUP($D119, regions[], COLUMN(R$1), FALSE), VLOOKUP($A119,raw[],COLUMN(R$1),FALSE))</f>
        <v>25.691239144508671</v>
      </c>
      <c r="S119" s="70">
        <f>IF(VLOOKUP($A119,raw[],COLUMN(S$1),FALSE)=0, VLOOKUP($D119, regions[], COLUMN(S$1), FALSE), VLOOKUP($A119,raw[],COLUMN(S$1),FALSE))</f>
        <v>57.462386712624905</v>
      </c>
      <c r="T119" s="70">
        <f>IF(VLOOKUP($A119,raw[],COLUMN(U$1)-COLUMN($A$1),FALSE)=0, VLOOKUP($D119, regions[], COLUMN(U$1)-COLUMN($A$1), FALSE), VLOOKUP($A119,raw[],COLUMN(U$1)-COLUMN($A$1),FALSE))</f>
        <v>58.790169856294533</v>
      </c>
      <c r="U119" s="70">
        <f>IF(VLOOKUP($A119,raw[],COLUMN(V$1)-COLUMN($A$1),FALSE)=0, VLOOKUP($D119, regions[], COLUMN(V$1)-COLUMN($A$1), FALSE), VLOOKUP($A119,raw[],COLUMN(V$1)-COLUMN($A$1),FALSE))</f>
        <v>58.18047990248165</v>
      </c>
      <c r="V119" s="70">
        <f>IF(VLOOKUP($A119,raw[],COLUMN(W$1)-COLUMN($A$1),FALSE)=0, VLOOKUP($D119, regions[], COLUMN(W$1)-COLUMN($A$1), FALSE), VLOOKUP($A119,raw[],COLUMN(W$1)-COLUMN($A$1),FALSE))</f>
        <v>3.3890503366776219</v>
      </c>
      <c r="W119" s="70">
        <f>IF(VLOOKUP($A119,raw[],COLUMN(X$1)-COLUMN($A$1),FALSE)=0, VLOOKUP($D119, regions[], COLUMN(X$1)-COLUMN($A$1), FALSE), VLOOKUP($A119,raw[],COLUMN(X$1)-COLUMN($A$1),FALSE))</f>
        <v>7.4590503366776222</v>
      </c>
      <c r="X119" s="70">
        <f>IF(VLOOKUP($A119,raw[],COLUMN(Y$1)-COLUMN($A$1),FALSE)=0, VLOOKUP($D119, regions[], COLUMN(Y$1)-COLUMN($A$1), FALSE), VLOOKUP($A119,raw[],COLUMN(Y$1)-COLUMN($A$1),FALSE))</f>
        <v>2.9829442213516217</v>
      </c>
      <c r="Y119" s="70">
        <f>IF(VLOOKUP($A119,raw[],COLUMN(Z$1)-COLUMN($A$1),FALSE)=0, VLOOKUP($D119, regions[], COLUMN(Z$1)-COLUMN($A$1), FALSE), VLOOKUP($A119,raw[],COLUMN(Z$1)-COLUMN($A$1),FALSE))</f>
        <v>7.0529442213516216</v>
      </c>
      <c r="Z119" s="70">
        <f>IF(VLOOKUP($A119,raw[],COLUMN(AA$1)-COLUMN($A$1),FALSE)=0, VLOOKUP($D119, regions[], COLUMN(AA$1)-COLUMN($A$1), FALSE), VLOOKUP($A119,raw[],COLUMN(AA$1)-COLUMN($A$1),FALSE))</f>
        <v>7.0508523142609345</v>
      </c>
      <c r="AA119" s="70">
        <f>IF(VLOOKUP($A119,raw[],COLUMN(AB$1)-COLUMN($A$1),FALSE)=0, VLOOKUP($D119, regions[], COLUMN(AB$1)-COLUMN($A$1), FALSE), VLOOKUP($A119,raw[],COLUMN(AB$1)-COLUMN($A$1),FALSE))</f>
        <v>3.5925959217657408</v>
      </c>
      <c r="AB119" s="70">
        <f>IF(VLOOKUP($A119,raw[],COLUMN(AC$1)-COLUMN($A$1),FALSE)=0, VLOOKUP($D119, regions[], COLUMN(AC$1)-COLUMN($A$1), FALSE), VLOOKUP($A119,raw[],COLUMN(AC$1)-COLUMN($A$1),FALSE))</f>
        <v>7.6625959217657407</v>
      </c>
      <c r="AC119" s="72">
        <f>IF(VLOOKUP($A119,raw[],COLUMN(AD$1)-COLUMN($A$1),FALSE)=0, VLOOKUP($D119, regions[], COLUMN(AD$1)-COLUMN($A$1), FALSE), VLOOKUP($A119,raw[],COLUMN(AD$1)-COLUMN($A$1),FALSE))</f>
        <v>2.927524000000005E-2</v>
      </c>
      <c r="AD119" s="72">
        <f>IF(VLOOKUP($A119,raw[],COLUMN(AE$1)-COLUMN($A$1),FALSE)=0, VLOOKUP($D119, regions[], COLUMN(AE$1)-COLUMN($A$1), FALSE), VLOOKUP($A119,raw[],COLUMN(AE$1)-COLUMN($A$1),FALSE))</f>
        <v>7.7581466037807297E-4</v>
      </c>
      <c r="AE119" s="72">
        <f>IF(VLOOKUP($A119,raw[],COLUMN(AF$1)-COLUMN($A$1),FALSE)=0, VLOOKUP($D119, regions[], COLUMN(AF$1)-COLUMN($A$1), FALSE), VLOOKUP($A119,raw[],COLUMN(AF$1)-COLUMN($A$1),FALSE))</f>
        <v>1.9153625558257422E-4</v>
      </c>
      <c r="AF119" s="72">
        <f>IF(VLOOKUP($A119,raw[],COLUMN(AG$1)-COLUMN($A$1),FALSE)=0, VLOOKUP($D119, regions[], COLUMN(AG$1)-COLUMN($A$1), FALSE), VLOOKUP($A119,raw[],COLUMN(AG$1)-COLUMN($A$1),FALSE))</f>
        <v>2.0033190606407914E-4</v>
      </c>
      <c r="AG119" s="72">
        <f>IF(VLOOKUP($A119,raw[],COLUMN(AH$1)-COLUMN($A$1),FALSE)=0, VLOOKUP($D119, regions[], COLUMN(AH$1)-COLUMN($A$1), FALSE), VLOOKUP($A119,raw[],COLUMN(AH$1)-COLUMN($A$1),FALSE))</f>
        <v>3.3197793536914093E-4</v>
      </c>
      <c r="AH119" s="72">
        <f>IF(VLOOKUP($A119,raw[],COLUMN(AI$1)-COLUMN($A$1),FALSE)=0, VLOOKUP($D119, regions[], COLUMN(AI$1)-COLUMN($A$1), FALSE), VLOOKUP($A119,raw[],COLUMN(AI$1)-COLUMN($A$1),FALSE))</f>
        <v>5.1082433407809646E-4</v>
      </c>
      <c r="AI119" s="72">
        <f>IF(VLOOKUP($A119,raw[],COLUMN(AJ$1)-COLUMN($A$1),FALSE)=0, VLOOKUP($D119, regions[], COLUMN(AJ$1)-COLUMN($A$1), FALSE), VLOOKUP($A119,raw[],COLUMN(AJ$1)-COLUMN($A$1),FALSE))</f>
        <v>8.5562449911040473E-4</v>
      </c>
      <c r="AJ119" s="72">
        <f>IF(VLOOKUP($A119,raw[],COLUMN(AK$1)-COLUMN($A$1),FALSE)=0, VLOOKUP($D119, regions[], COLUMN(AK$1)-COLUMN($A$1), FALSE), VLOOKUP($A119,raw[],COLUMN(AK$1)-COLUMN($A$1),FALSE))</f>
        <v>1.3151874984257913E-3</v>
      </c>
      <c r="AK119" s="72">
        <f>IF(VLOOKUP($A119,raw[],COLUMN(AL$1)-COLUMN($A$1),FALSE)=0, VLOOKUP($D119, regions[], COLUMN(AL$1)-COLUMN($A$1), FALSE), VLOOKUP($A119,raw[],COLUMN(AL$1)-COLUMN($A$1),FALSE))</f>
        <v>2.0121145398065451E-3</v>
      </c>
      <c r="AL119" s="72">
        <f>IF(VLOOKUP($A119,raw[],COLUMN(AM$1)-COLUMN($A$1),FALSE)=0, VLOOKUP($D119, regions[], COLUMN(AM$1)-COLUMN($A$1), FALSE), VLOOKUP($A119,raw[],COLUMN(AM$1)-COLUMN($A$1),FALSE))</f>
        <v>2.5521857039043322E-3</v>
      </c>
      <c r="AM119" s="72">
        <f>IF(VLOOKUP($A119,raw[],COLUMN(AN$1)-COLUMN($A$1),FALSE)=0, VLOOKUP($D119, regions[], COLUMN(AN$1)-COLUMN($A$1), FALSE), VLOOKUP($A119,raw[],COLUMN(AN$1)-COLUMN($A$1),FALSE))</f>
        <v>3.6395738031344445E-3</v>
      </c>
      <c r="AN119" s="72">
        <f>IF(VLOOKUP($A119,raw[],COLUMN(AO$1)-COLUMN($A$1),FALSE)=0, VLOOKUP($D119, regions[], COLUMN(AO$1)-COLUMN($A$1), FALSE), VLOOKUP($A119,raw[],COLUMN(AO$1)-COLUMN($A$1),FALSE))</f>
        <v>5.9855955396087698E-3</v>
      </c>
      <c r="AO119" s="72">
        <f>IF(VLOOKUP($A119,raw[],COLUMN(AP$1)-COLUMN($A$1),FALSE)=0, VLOOKUP($D119, regions[], COLUMN(AP$1)-COLUMN($A$1), FALSE), VLOOKUP($A119,raw[],COLUMN(AP$1)-COLUMN($A$1),FALSE))</f>
        <v>1.0656165622609622E-2</v>
      </c>
      <c r="AP119" s="72">
        <f>IF(VLOOKUP($A119,raw[],COLUMN(AQ$1)-COLUMN($A$1),FALSE)=0, VLOOKUP($D119, regions[], COLUMN(AQ$1)-COLUMN($A$1), FALSE), VLOOKUP($A119,raw[],COLUMN(AQ$1)-COLUMN($A$1),FALSE))</f>
        <v>1.8402639796966141E-2</v>
      </c>
      <c r="AQ119" s="72">
        <f>IF(VLOOKUP($A119,raw[],COLUMN(AR$1)-COLUMN($A$1),FALSE)=0, VLOOKUP($D119, regions[], COLUMN(AR$1)-COLUMN($A$1), FALSE), VLOOKUP($A119,raw[],COLUMN(AR$1)-COLUMN($A$1),FALSE))</f>
        <v>2.8834750727873303E-2</v>
      </c>
      <c r="AR119" s="72">
        <f>IF(VLOOKUP($A119,raw[],COLUMN(AS$1)-COLUMN($A$1),FALSE)=0, VLOOKUP($D119, regions[], COLUMN(AS$1)-COLUMN($A$1), FALSE), VLOOKUP($A119,raw[],COLUMN(AS$1)-COLUMN($A$1),FALSE))</f>
        <v>4.7612475607663025E-2</v>
      </c>
      <c r="AS119" s="72">
        <f>IF(VLOOKUP($A119,raw[],COLUMN(AT$1)-COLUMN($A$1),FALSE)=0, VLOOKUP($D119, regions[], COLUMN(AT$1)-COLUMN($A$1), FALSE), VLOOKUP($A119,raw[],COLUMN(AT$1)-COLUMN($A$1),FALSE))</f>
        <v>7.3903502966553611E-2</v>
      </c>
      <c r="AT119" s="72">
        <f>IF(VLOOKUP($A119,raw[],COLUMN(AU$1)-COLUMN($A$1),FALSE)=0, VLOOKUP($D119, regions[], COLUMN(AU$1)-COLUMN($A$1), FALSE), VLOOKUP($A119,raw[],COLUMN(AU$1)-COLUMN($A$1),FALSE))</f>
        <v>0.10565750197029085</v>
      </c>
      <c r="AU119" s="72">
        <f>IF(VLOOKUP($A119,raw[],COLUMN(AV$1)-COLUMN($A$1),FALSE)=0, VLOOKUP($D119, regions[], COLUMN(AV$1)-COLUMN($A$1), FALSE), VLOOKUP($A119,raw[],COLUMN(AV$1)-COLUMN($A$1),FALSE))</f>
        <v>0.13716167840228499</v>
      </c>
      <c r="AV119" s="72">
        <f>IF(VLOOKUP($A119,raw[],COLUMN(AW$1)-COLUMN($A$1),FALSE)=0, VLOOKUP($D119, regions[], COLUMN(AW$1)-COLUMN($A$1), FALSE), VLOOKUP($A119,raw[],COLUMN(AW$1)-COLUMN($A$1),FALSE))</f>
        <v>0.16443487588606648</v>
      </c>
      <c r="AW119" s="72">
        <f>IF(VLOOKUP($A119,raw[],COLUMN(AX$1)-COLUMN($A$1),FALSE)=0, VLOOKUP($D119, regions[], COLUMN(AX$1)-COLUMN($A$1), FALSE), VLOOKUP($A119,raw[],COLUMN(AX$1)-COLUMN($A$1),FALSE))</f>
        <v>0.18225710446641838</v>
      </c>
      <c r="AX119" s="72">
        <f>IF(VLOOKUP($A119,raw[],COLUMN(AY$1)-COLUMN($A$1),FALSE)=0, VLOOKUP($D119, regions[], COLUMN(AY$1)-COLUMN($A$1), FALSE), VLOOKUP($A119,raw[],COLUMN(AY$1)-COLUMN($A$1),FALSE))</f>
        <v>70.77</v>
      </c>
      <c r="AY119" t="str">
        <f t="shared" si="3"/>
        <v>No</v>
      </c>
    </row>
    <row r="120" spans="1:51" x14ac:dyDescent="0.25">
      <c r="A120" s="53" t="s">
        <v>460</v>
      </c>
      <c r="B120" s="54" t="s">
        <v>461</v>
      </c>
      <c r="C120" s="54">
        <v>834</v>
      </c>
      <c r="D120" s="54" t="s">
        <v>207</v>
      </c>
      <c r="E120" s="54" t="s">
        <v>255</v>
      </c>
      <c r="F120" s="54" t="s">
        <v>211</v>
      </c>
      <c r="G120" s="54" t="s">
        <v>198</v>
      </c>
      <c r="H120" s="73">
        <f>VLOOKUP(lmics[[#This Row],[setting]],raw[],8,FALSE)</f>
        <v>59734213</v>
      </c>
      <c r="I120" s="73">
        <f>VLOOKUP(lmics[[#This Row],[setting]],raw[],9,FALSE)</f>
        <v>2204252.1939130002</v>
      </c>
      <c r="J120" s="67">
        <f>IF(VLOOKUP($A120,raw[],COLUMN(J$1),FALSE)=0, VLOOKUP($D120, regions[], COLUMN(J$1), FALSE), VLOOKUP($A120,raw[],COLUMN(J$1),FALSE))</f>
        <v>0.626</v>
      </c>
      <c r="K120" s="77">
        <f>VLOOKUP($A120, raw[], 11, FALSE)</f>
        <v>0</v>
      </c>
      <c r="L120" s="77">
        <f>VLOOKUP($A120, raw[], 12, FALSE)</f>
        <v>0.86</v>
      </c>
      <c r="M120" s="77">
        <f>IF(VLOOKUP($A120,raw[],COLUMN(M$1),FALSE)=0, VLOOKUP($D120, regions[], COLUMN(M$1), FALSE), VLOOKUP($A120,raw[],COLUMN(M$1),FALSE))</f>
        <v>4.2500000000000003E-2</v>
      </c>
      <c r="N120" s="68">
        <f>IF(VLOOKUP($A120,raw[],COLUMN(N$1),FALSE)=0, VLOOKUP($D120, regions[], COLUMN(N$1), FALSE), VLOOKUP($A120,raw[],COLUMN(N$1),FALSE))</f>
        <v>0.29198880212287792</v>
      </c>
      <c r="O120" s="67">
        <f>IF(VLOOKUP($A120,raw[],COLUMN(O$1),FALSE)=0, VLOOKUP($D120, regions[], COLUMN(O$1), FALSE), VLOOKUP($A120,raw[],COLUMN(O$1),FALSE))</f>
        <v>0.38300000000000001</v>
      </c>
      <c r="P120" s="68">
        <f>IF(VLOOKUP($A120,raw[],COLUMN(P$1),FALSE)=0, VLOOKUP($D120, regions[], COLUMN(P$1), FALSE), VLOOKUP($A120,raw[],COLUMN(P$1),FALSE))</f>
        <v>4.8000000000000001E-2</v>
      </c>
      <c r="Q120" s="70">
        <f>IF(VLOOKUP($A120,raw[],COLUMN(Q$1),FALSE)=0, VLOOKUP($D120, regions[], COLUMN(Q$1), FALSE), VLOOKUP($A120,raw[],COLUMN(Q$1),FALSE))</f>
        <v>2.9695790146931702</v>
      </c>
      <c r="R120" s="70">
        <f>IF(VLOOKUP($A120,raw[],COLUMN(R$1),FALSE)=0, VLOOKUP($D120, regions[], COLUMN(R$1), FALSE), VLOOKUP($A120,raw[],COLUMN(R$1),FALSE))</f>
        <v>25.294959014693173</v>
      </c>
      <c r="S120" s="70">
        <f>IF(VLOOKUP($A120,raw[],COLUMN(S$1),FALSE)=0, VLOOKUP($D120, regions[], COLUMN(S$1), FALSE), VLOOKUP($A120,raw[],COLUMN(S$1),FALSE))</f>
        <v>56.123549600837791</v>
      </c>
      <c r="T120" s="70">
        <f>IF(VLOOKUP($A120,raw[],COLUMN(U$1)-COLUMN($A$1),FALSE)=0, VLOOKUP($D120, regions[], COLUMN(U$1)-COLUMN($A$1), FALSE), VLOOKUP($A120,raw[],COLUMN(U$1)-COLUMN($A$1),FALSE))</f>
        <v>56.960764778839277</v>
      </c>
      <c r="U120" s="70">
        <f>IF(VLOOKUP($A120,raw[],COLUMN(V$1)-COLUMN($A$1),FALSE)=0, VLOOKUP($D120, regions[], COLUMN(V$1)-COLUMN($A$1), FALSE), VLOOKUP($A120,raw[],COLUMN(V$1)-COLUMN($A$1),FALSE))</f>
        <v>56.576333265575414</v>
      </c>
      <c r="V120" s="70">
        <f>IF(VLOOKUP($A120,raw[],COLUMN(W$1)-COLUMN($A$1),FALSE)=0, VLOOKUP($D120, regions[], COLUMN(W$1)-COLUMN($A$1), FALSE), VLOOKUP($A120,raw[],COLUMN(W$1)-COLUMN($A$1),FALSE))</f>
        <v>2.7106027806003254</v>
      </c>
      <c r="W120" s="70">
        <f>IF(VLOOKUP($A120,raw[],COLUMN(X$1)-COLUMN($A$1),FALSE)=0, VLOOKUP($D120, regions[], COLUMN(X$1)-COLUMN($A$1), FALSE), VLOOKUP($A120,raw[],COLUMN(X$1)-COLUMN($A$1),FALSE))</f>
        <v>7.5406027806003255</v>
      </c>
      <c r="X120" s="70">
        <f>IF(VLOOKUP($A120,raw[],COLUMN(Y$1)-COLUMN($A$1),FALSE)=0, VLOOKUP($D120, regions[], COLUMN(Y$1)-COLUMN($A$1), FALSE), VLOOKUP($A120,raw[],COLUMN(Y$1)-COLUMN($A$1),FALSE))</f>
        <v>2.3035672151151068</v>
      </c>
      <c r="Y120" s="70">
        <f>IF(VLOOKUP($A120,raw[],COLUMN(Z$1)-COLUMN($A$1),FALSE)=0, VLOOKUP($D120, regions[], COLUMN(Z$1)-COLUMN($A$1), FALSE), VLOOKUP($A120,raw[],COLUMN(Z$1)-COLUMN($A$1),FALSE))</f>
        <v>7.1335672151151073</v>
      </c>
      <c r="Z120" s="70">
        <f>IF(VLOOKUP($A120,raw[],COLUMN(AA$1)-COLUMN($A$1),FALSE)=0, VLOOKUP($D120, regions[], COLUMN(AA$1)-COLUMN($A$1), FALSE), VLOOKUP($A120,raw[],COLUMN(AA$1)-COLUMN($A$1),FALSE))</f>
        <v>7.1312680647861502</v>
      </c>
      <c r="AA120" s="70">
        <f>IF(VLOOKUP($A120,raw[],COLUMN(AB$1)-COLUMN($A$1),FALSE)=0, VLOOKUP($D120, regions[], COLUMN(AB$1)-COLUMN($A$1), FALSE), VLOOKUP($A120,raw[],COLUMN(AB$1)-COLUMN($A$1),FALSE))</f>
        <v>2.9144797348756444</v>
      </c>
      <c r="AB120" s="70">
        <f>IF(VLOOKUP($A120,raw[],COLUMN(AC$1)-COLUMN($A$1),FALSE)=0, VLOOKUP($D120, regions[], COLUMN(AC$1)-COLUMN($A$1), FALSE), VLOOKUP($A120,raw[],COLUMN(AC$1)-COLUMN($A$1),FALSE))</f>
        <v>7.7444797348756449</v>
      </c>
      <c r="AC120" s="72">
        <f>IF(VLOOKUP($A120,raw[],COLUMN(AD$1)-COLUMN($A$1),FALSE)=0, VLOOKUP($D120, regions[], COLUMN(AD$1)-COLUMN($A$1), FALSE), VLOOKUP($A120,raw[],COLUMN(AD$1)-COLUMN($A$1),FALSE))</f>
        <v>4.1214049999999988E-2</v>
      </c>
      <c r="AD120" s="72">
        <f>IF(VLOOKUP($A120,raw[],COLUMN(AE$1)-COLUMN($A$1),FALSE)=0, VLOOKUP($D120, regions[], COLUMN(AE$1)-COLUMN($A$1), FALSE), VLOOKUP($A120,raw[],COLUMN(AE$1)-COLUMN($A$1),FALSE))</f>
        <v>3.9968514348797191E-3</v>
      </c>
      <c r="AE120" s="72">
        <f>IF(VLOOKUP($A120,raw[],COLUMN(AF$1)-COLUMN($A$1),FALSE)=0, VLOOKUP($D120, regions[], COLUMN(AF$1)-COLUMN($A$1), FALSE), VLOOKUP($A120,raw[],COLUMN(AF$1)-COLUMN($A$1),FALSE))</f>
        <v>1.5692769186358136E-3</v>
      </c>
      <c r="AF120" s="72">
        <f>IF(VLOOKUP($A120,raw[],COLUMN(AG$1)-COLUMN($A$1),FALSE)=0, VLOOKUP($D120, regions[], COLUMN(AG$1)-COLUMN($A$1), FALSE), VLOOKUP($A120,raw[],COLUMN(AG$1)-COLUMN($A$1),FALSE))</f>
        <v>1.1113239191828232E-3</v>
      </c>
      <c r="AG120" s="72">
        <f>IF(VLOOKUP($A120,raw[],COLUMN(AH$1)-COLUMN($A$1),FALSE)=0, VLOOKUP($D120, regions[], COLUMN(AH$1)-COLUMN($A$1), FALSE), VLOOKUP($A120,raw[],COLUMN(AH$1)-COLUMN($A$1),FALSE))</f>
        <v>1.7773475011780174E-3</v>
      </c>
      <c r="AH120" s="72">
        <f>IF(VLOOKUP($A120,raw[],COLUMN(AI$1)-COLUMN($A$1),FALSE)=0, VLOOKUP($D120, regions[], COLUMN(AI$1)-COLUMN($A$1), FALSE), VLOOKUP($A120,raw[],COLUMN(AI$1)-COLUMN($A$1),FALSE))</f>
        <v>2.5708480479825877E-3</v>
      </c>
      <c r="AI120" s="72">
        <f>IF(VLOOKUP($A120,raw[],COLUMN(AJ$1)-COLUMN($A$1),FALSE)=0, VLOOKUP($D120, regions[], COLUMN(AJ$1)-COLUMN($A$1), FALSE), VLOOKUP($A120,raw[],COLUMN(AJ$1)-COLUMN($A$1),FALSE))</f>
        <v>2.9820183674253557E-3</v>
      </c>
      <c r="AJ120" s="72">
        <f>IF(VLOOKUP($A120,raw[],COLUMN(AK$1)-COLUMN($A$1),FALSE)=0, VLOOKUP($D120, regions[], COLUMN(AK$1)-COLUMN($A$1), FALSE), VLOOKUP($A120,raw[],COLUMN(AK$1)-COLUMN($A$1),FALSE))</f>
        <v>3.4975578144642535E-3</v>
      </c>
      <c r="AK120" s="72">
        <f>IF(VLOOKUP($A120,raw[],COLUMN(AL$1)-COLUMN($A$1),FALSE)=0, VLOOKUP($D120, regions[], COLUMN(AL$1)-COLUMN($A$1), FALSE), VLOOKUP($A120,raw[],COLUMN(AL$1)-COLUMN($A$1),FALSE))</f>
        <v>4.2742986194550395E-3</v>
      </c>
      <c r="AL120" s="72">
        <f>IF(VLOOKUP($A120,raw[],COLUMN(AM$1)-COLUMN($A$1),FALSE)=0, VLOOKUP($D120, regions[], COLUMN(AM$1)-COLUMN($A$1), FALSE), VLOOKUP($A120,raw[],COLUMN(AM$1)-COLUMN($A$1),FALSE))</f>
        <v>5.4100149533494717E-3</v>
      </c>
      <c r="AM120" s="72">
        <f>IF(VLOOKUP($A120,raw[],COLUMN(AN$1)-COLUMN($A$1),FALSE)=0, VLOOKUP($D120, regions[], COLUMN(AN$1)-COLUMN($A$1), FALSE), VLOOKUP($A120,raw[],COLUMN(AN$1)-COLUMN($A$1),FALSE))</f>
        <v>6.8191765804846644E-3</v>
      </c>
      <c r="AN120" s="72">
        <f>IF(VLOOKUP($A120,raw[],COLUMN(AO$1)-COLUMN($A$1),FALSE)=0, VLOOKUP($D120, regions[], COLUMN(AO$1)-COLUMN($A$1), FALSE), VLOOKUP($A120,raw[],COLUMN(AO$1)-COLUMN($A$1),FALSE))</f>
        <v>9.6619323711781557E-3</v>
      </c>
      <c r="AO120" s="72">
        <f>IF(VLOOKUP($A120,raw[],COLUMN(AP$1)-COLUMN($A$1),FALSE)=0, VLOOKUP($D120, regions[], COLUMN(AP$1)-COLUMN($A$1), FALSE), VLOOKUP($A120,raw[],COLUMN(AP$1)-COLUMN($A$1),FALSE))</f>
        <v>1.2971158291646218E-2</v>
      </c>
      <c r="AP120" s="72">
        <f>IF(VLOOKUP($A120,raw[],COLUMN(AQ$1)-COLUMN($A$1),FALSE)=0, VLOOKUP($D120, regions[], COLUMN(AQ$1)-COLUMN($A$1), FALSE), VLOOKUP($A120,raw[],COLUMN(AQ$1)-COLUMN($A$1),FALSE))</f>
        <v>1.9534292045119091E-2</v>
      </c>
      <c r="AQ120" s="72">
        <f>IF(VLOOKUP($A120,raw[],COLUMN(AR$1)-COLUMN($A$1),FALSE)=0, VLOOKUP($D120, regions[], COLUMN(AR$1)-COLUMN($A$1), FALSE), VLOOKUP($A120,raw[],COLUMN(AR$1)-COLUMN($A$1),FALSE))</f>
        <v>3.0200797379379536E-2</v>
      </c>
      <c r="AR120" s="72">
        <f>IF(VLOOKUP($A120,raw[],COLUMN(AS$1)-COLUMN($A$1),FALSE)=0, VLOOKUP($D120, regions[], COLUMN(AS$1)-COLUMN($A$1), FALSE), VLOOKUP($A120,raw[],COLUMN(AS$1)-COLUMN($A$1),FALSE))</f>
        <v>4.6954893484656667E-2</v>
      </c>
      <c r="AS120" s="72">
        <f>IF(VLOOKUP($A120,raw[],COLUMN(AT$1)-COLUMN($A$1),FALSE)=0, VLOOKUP($D120, regions[], COLUMN(AT$1)-COLUMN($A$1), FALSE), VLOOKUP($A120,raw[],COLUMN(AT$1)-COLUMN($A$1),FALSE))</f>
        <v>7.1872878971078025E-2</v>
      </c>
      <c r="AT120" s="72">
        <f>IF(VLOOKUP($A120,raw[],COLUMN(AU$1)-COLUMN($A$1),FALSE)=0, VLOOKUP($D120, regions[], COLUMN(AU$1)-COLUMN($A$1), FALSE), VLOOKUP($A120,raw[],COLUMN(AU$1)-COLUMN($A$1),FALSE))</f>
        <v>0.10698365598780905</v>
      </c>
      <c r="AU120" s="72">
        <f>IF(VLOOKUP($A120,raw[],COLUMN(AV$1)-COLUMN($A$1),FALSE)=0, VLOOKUP($D120, regions[], COLUMN(AV$1)-COLUMN($A$1), FALSE), VLOOKUP($A120,raw[],COLUMN(AV$1)-COLUMN($A$1),FALSE))</f>
        <v>0.14690133868387881</v>
      </c>
      <c r="AV120" s="72">
        <f>IF(VLOOKUP($A120,raw[],COLUMN(AW$1)-COLUMN($A$1),FALSE)=0, VLOOKUP($D120, regions[], COLUMN(AW$1)-COLUMN($A$1), FALSE), VLOOKUP($A120,raw[],COLUMN(AW$1)-COLUMN($A$1),FALSE))</f>
        <v>0.17985227207817817</v>
      </c>
      <c r="AW120" s="72">
        <f>IF(VLOOKUP($A120,raw[],COLUMN(AX$1)-COLUMN($A$1),FALSE)=0, VLOOKUP($D120, regions[], COLUMN(AX$1)-COLUMN($A$1), FALSE), VLOOKUP($A120,raw[],COLUMN(AX$1)-COLUMN($A$1),FALSE))</f>
        <v>0.18984651902912544</v>
      </c>
      <c r="AX120" s="72">
        <f>IF(VLOOKUP($A120,raw[],COLUMN(AY$1)-COLUMN($A$1),FALSE)=0, VLOOKUP($D120, regions[], COLUMN(AY$1)-COLUMN($A$1), FALSE), VLOOKUP($A120,raw[],COLUMN(AY$1)-COLUMN($A$1),FALSE))</f>
        <v>64.841999999999999</v>
      </c>
      <c r="AY120" t="str">
        <f t="shared" si="3"/>
        <v>Yes</v>
      </c>
    </row>
    <row r="121" spans="1:51" x14ac:dyDescent="0.25">
      <c r="A121" s="55" t="s">
        <v>462</v>
      </c>
      <c r="B121" s="56" t="s">
        <v>463</v>
      </c>
      <c r="C121" s="56">
        <v>764</v>
      </c>
      <c r="D121" s="56" t="s">
        <v>225</v>
      </c>
      <c r="E121" s="56" t="s">
        <v>261</v>
      </c>
      <c r="F121" s="56" t="s">
        <v>262</v>
      </c>
      <c r="G121" s="56" t="s">
        <v>204</v>
      </c>
      <c r="H121" s="74">
        <f>VLOOKUP(lmics[[#This Row],[setting]],raw[],8,FALSE)</f>
        <v>69799978</v>
      </c>
      <c r="I121" s="74">
        <f>VLOOKUP(lmics[[#This Row],[setting]],raw[],9,FALSE)</f>
        <v>730247.36983600003</v>
      </c>
      <c r="J121" s="67">
        <f>IF(VLOOKUP($A121,raw[],COLUMN(J$1),FALSE)=0, VLOOKUP($D121, regions[], COLUMN(J$1), FALSE), VLOOKUP($A121,raw[],COLUMN(J$1),FALSE))</f>
        <v>0.98599999999999999</v>
      </c>
      <c r="K121" s="77">
        <f>VLOOKUP($A121, raw[], 11, FALSE)</f>
        <v>0.99</v>
      </c>
      <c r="L121" s="77">
        <f>VLOOKUP($A121, raw[], 12, FALSE)</f>
        <v>0.97</v>
      </c>
      <c r="M121" s="77">
        <f>IF(VLOOKUP($A121,raw[],COLUMN(M$1),FALSE)=0, VLOOKUP($D121, regions[], COLUMN(M$1), FALSE), VLOOKUP($A121,raw[],COLUMN(M$1),FALSE))</f>
        <v>2.8500000000000001E-2</v>
      </c>
      <c r="N121" s="68">
        <f>IF(VLOOKUP($A121,raw[],COLUMN(N$1),FALSE)=0, VLOOKUP($D121, regions[], COLUMN(N$1), FALSE), VLOOKUP($A121,raw[],COLUMN(N$1),FALSE))</f>
        <v>0.33797130006472659</v>
      </c>
      <c r="O121" s="67">
        <f>IF(VLOOKUP($A121,raw[],COLUMN(O$1),FALSE)=0, VLOOKUP($D121, regions[], COLUMN(O$1), FALSE), VLOOKUP($A121,raw[],COLUMN(O$1),FALSE))</f>
        <v>0.8</v>
      </c>
      <c r="P121" s="68">
        <f>IF(VLOOKUP($A121,raw[],COLUMN(P$1),FALSE)=0, VLOOKUP($D121, regions[], COLUMN(P$1), FALSE), VLOOKUP($A121,raw[],COLUMN(P$1),FALSE))</f>
        <v>0.17499999999999999</v>
      </c>
      <c r="Q121" s="70">
        <f>IF(VLOOKUP($A121,raw[],COLUMN(Q$1),FALSE)=0, VLOOKUP($D121, regions[], COLUMN(Q$1), FALSE), VLOOKUP($A121,raw[],COLUMN(Q$1),FALSE))</f>
        <v>7.62807715586756</v>
      </c>
      <c r="R121" s="70">
        <f>IF(VLOOKUP($A121,raw[],COLUMN(R$1),FALSE)=0, VLOOKUP($D121, regions[], COLUMN(R$1), FALSE), VLOOKUP($A121,raw[],COLUMN(R$1),FALSE))</f>
        <v>29.953457155867561</v>
      </c>
      <c r="S121" s="70">
        <f>IF(VLOOKUP($A121,raw[],COLUMN(S$1),FALSE)=0, VLOOKUP($D121, regions[], COLUMN(S$1), FALSE), VLOOKUP($A121,raw[],COLUMN(S$1),FALSE))</f>
        <v>77.376600385686999</v>
      </c>
      <c r="T121" s="70">
        <f>IF(VLOOKUP($A121,raw[],COLUMN(U$1)-COLUMN($A$1),FALSE)=0, VLOOKUP($D121, regions[], COLUMN(U$1)-COLUMN($A$1), FALSE), VLOOKUP($A121,raw[],COLUMN(U$1)-COLUMN($A$1),FALSE))</f>
        <v>86.850700216064581</v>
      </c>
      <c r="U121" s="70">
        <f>IF(VLOOKUP($A121,raw[],COLUMN(V$1)-COLUMN($A$1),FALSE)=0, VLOOKUP($D121, regions[], COLUMN(V$1)-COLUMN($A$1), FALSE), VLOOKUP($A121,raw[],COLUMN(V$1)-COLUMN($A$1),FALSE))</f>
        <v>82.500393830913836</v>
      </c>
      <c r="V121" s="70">
        <f>IF(VLOOKUP($A121,raw[],COLUMN(W$1)-COLUMN($A$1),FALSE)=0, VLOOKUP($D121, regions[], COLUMN(W$1)-COLUMN($A$1), FALSE), VLOOKUP($A121,raw[],COLUMN(W$1)-COLUMN($A$1),FALSE))</f>
        <v>4.1527686684629668</v>
      </c>
      <c r="W121" s="70">
        <f>IF(VLOOKUP($A121,raw[],COLUMN(X$1)-COLUMN($A$1),FALSE)=0, VLOOKUP($D121, regions[], COLUMN(X$1)-COLUMN($A$1), FALSE), VLOOKUP($A121,raw[],COLUMN(X$1)-COLUMN($A$1),FALSE))</f>
        <v>4.7827686684629667</v>
      </c>
      <c r="X121" s="70">
        <f>IF(VLOOKUP($A121,raw[],COLUMN(Y$1)-COLUMN($A$1),FALSE)=0, VLOOKUP($D121, regions[], COLUMN(Y$1)-COLUMN($A$1), FALSE), VLOOKUP($A121,raw[],COLUMN(Y$1)-COLUMN($A$1),FALSE))</f>
        <v>3.7296558436362823</v>
      </c>
      <c r="Y121" s="70">
        <f>IF(VLOOKUP($A121,raw[],COLUMN(Z$1)-COLUMN($A$1),FALSE)=0, VLOOKUP($D121, regions[], COLUMN(Z$1)-COLUMN($A$1), FALSE), VLOOKUP($A121,raw[],COLUMN(Z$1)-COLUMN($A$1),FALSE))</f>
        <v>4.3596558436362827</v>
      </c>
      <c r="Z121" s="70">
        <f>IF(VLOOKUP($A121,raw[],COLUMN(AA$1)-COLUMN($A$1),FALSE)=0, VLOOKUP($D121, regions[], COLUMN(AA$1)-COLUMN($A$1), FALSE), VLOOKUP($A121,raw[],COLUMN(AA$1)-COLUMN($A$1),FALSE))</f>
        <v>4.3511177648193833</v>
      </c>
      <c r="AA121" s="70">
        <f>IF(VLOOKUP($A121,raw[],COLUMN(AB$1)-COLUMN($A$1),FALSE)=0, VLOOKUP($D121, regions[], COLUMN(AB$1)-COLUMN($A$1), FALSE), VLOOKUP($A121,raw[],COLUMN(AB$1)-COLUMN($A$1),FALSE))</f>
        <v>4.3623775151991557</v>
      </c>
      <c r="AB121" s="70">
        <f>IF(VLOOKUP($A121,raw[],COLUMN(AC$1)-COLUMN($A$1),FALSE)=0, VLOOKUP($D121, regions[], COLUMN(AC$1)-COLUMN($A$1), FALSE), VLOOKUP($A121,raw[],COLUMN(AC$1)-COLUMN($A$1),FALSE))</f>
        <v>4.9923775151991556</v>
      </c>
      <c r="AC121" s="72">
        <f>IF(VLOOKUP($A121,raw[],COLUMN(AD$1)-COLUMN($A$1),FALSE)=0, VLOOKUP($D121, regions[], COLUMN(AD$1)-COLUMN($A$1), FALSE), VLOOKUP($A121,raw[],COLUMN(AD$1)-COLUMN($A$1),FALSE))</f>
        <v>7.7542100000000209E-3</v>
      </c>
      <c r="AD121" s="72">
        <f>IF(VLOOKUP($A121,raw[],COLUMN(AE$1)-COLUMN($A$1),FALSE)=0, VLOOKUP($D121, regions[], COLUMN(AE$1)-COLUMN($A$1), FALSE), VLOOKUP($A121,raw[],COLUMN(AE$1)-COLUMN($A$1),FALSE))</f>
        <v>3.1376046453168293E-4</v>
      </c>
      <c r="AE121" s="72">
        <f>IF(VLOOKUP($A121,raw[],COLUMN(AF$1)-COLUMN($A$1),FALSE)=0, VLOOKUP($D121, regions[], COLUMN(AF$1)-COLUMN($A$1), FALSE), VLOOKUP($A121,raw[],COLUMN(AF$1)-COLUMN($A$1),FALSE))</f>
        <v>2.6511793415073733E-4</v>
      </c>
      <c r="AF121" s="72">
        <f>IF(VLOOKUP($A121,raw[],COLUMN(AG$1)-COLUMN($A$1),FALSE)=0, VLOOKUP($D121, regions[], COLUMN(AG$1)-COLUMN($A$1), FALSE), VLOOKUP($A121,raw[],COLUMN(AG$1)-COLUMN($A$1),FALSE))</f>
        <v>4.1268610609565656E-4</v>
      </c>
      <c r="AG121" s="72">
        <f>IF(VLOOKUP($A121,raw[],COLUMN(AH$1)-COLUMN($A$1),FALSE)=0, VLOOKUP($D121, regions[], COLUMN(AH$1)-COLUMN($A$1), FALSE), VLOOKUP($A121,raw[],COLUMN(AH$1)-COLUMN($A$1),FALSE))</f>
        <v>1.0755852102153319E-3</v>
      </c>
      <c r="AH121" s="72">
        <f>IF(VLOOKUP($A121,raw[],COLUMN(AI$1)-COLUMN($A$1),FALSE)=0, VLOOKUP($D121, regions[], COLUMN(AI$1)-COLUMN($A$1), FALSE), VLOOKUP($A121,raw[],COLUMN(AI$1)-COLUMN($A$1),FALSE))</f>
        <v>1.030660482926388E-3</v>
      </c>
      <c r="AI121" s="72">
        <f>IF(VLOOKUP($A121,raw[],COLUMN(AJ$1)-COLUMN($A$1),FALSE)=0, VLOOKUP($D121, regions[], COLUMN(AJ$1)-COLUMN($A$1), FALSE), VLOOKUP($A121,raw[],COLUMN(AJ$1)-COLUMN($A$1),FALSE))</f>
        <v>1.1309371496397516E-3</v>
      </c>
      <c r="AJ121" s="72">
        <f>IF(VLOOKUP($A121,raw[],COLUMN(AK$1)-COLUMN($A$1),FALSE)=0, VLOOKUP($D121, regions[], COLUMN(AK$1)-COLUMN($A$1), FALSE), VLOOKUP($A121,raw[],COLUMN(AK$1)-COLUMN($A$1),FALSE))</f>
        <v>1.6092497209941237E-3</v>
      </c>
      <c r="AK121" s="72">
        <f>IF(VLOOKUP($A121,raw[],COLUMN(AL$1)-COLUMN($A$1),FALSE)=0, VLOOKUP($D121, regions[], COLUMN(AL$1)-COLUMN($A$1), FALSE), VLOOKUP($A121,raw[],COLUMN(AL$1)-COLUMN($A$1),FALSE))</f>
        <v>2.4445801003348941E-3</v>
      </c>
      <c r="AL121" s="72">
        <f>IF(VLOOKUP($A121,raw[],COLUMN(AM$1)-COLUMN($A$1),FALSE)=0, VLOOKUP($D121, regions[], COLUMN(AM$1)-COLUMN($A$1), FALSE), VLOOKUP($A121,raw[],COLUMN(AM$1)-COLUMN($A$1),FALSE))</f>
        <v>3.3453934851654273E-3</v>
      </c>
      <c r="AM121" s="72">
        <f>IF(VLOOKUP($A121,raw[],COLUMN(AN$1)-COLUMN($A$1),FALSE)=0, VLOOKUP($D121, regions[], COLUMN(AN$1)-COLUMN($A$1), FALSE), VLOOKUP($A121,raw[],COLUMN(AN$1)-COLUMN($A$1),FALSE))</f>
        <v>4.3620359040103997E-3</v>
      </c>
      <c r="AN121" s="72">
        <f>IF(VLOOKUP($A121,raw[],COLUMN(AO$1)-COLUMN($A$1),FALSE)=0, VLOOKUP($D121, regions[], COLUMN(AO$1)-COLUMN($A$1), FALSE), VLOOKUP($A121,raw[],COLUMN(AO$1)-COLUMN($A$1),FALSE))</f>
        <v>5.7565773076573038E-3</v>
      </c>
      <c r="AO121" s="72">
        <f>IF(VLOOKUP($A121,raw[],COLUMN(AP$1)-COLUMN($A$1),FALSE)=0, VLOOKUP($D121, regions[], COLUMN(AP$1)-COLUMN($A$1), FALSE), VLOOKUP($A121,raw[],COLUMN(AP$1)-COLUMN($A$1),FALSE))</f>
        <v>7.698281466240583E-3</v>
      </c>
      <c r="AP121" s="72">
        <f>IF(VLOOKUP($A121,raw[],COLUMN(AQ$1)-COLUMN($A$1),FALSE)=0, VLOOKUP($D121, regions[], COLUMN(AQ$1)-COLUMN($A$1), FALSE), VLOOKUP($A121,raw[],COLUMN(AQ$1)-COLUMN($A$1),FALSE))</f>
        <v>1.1153551833355365E-2</v>
      </c>
      <c r="AQ121" s="72">
        <f>IF(VLOOKUP($A121,raw[],COLUMN(AR$1)-COLUMN($A$1),FALSE)=0, VLOOKUP($D121, regions[], COLUMN(AR$1)-COLUMN($A$1), FALSE), VLOOKUP($A121,raw[],COLUMN(AR$1)-COLUMN($A$1),FALSE))</f>
        <v>1.551458711682388E-2</v>
      </c>
      <c r="AR121" s="72">
        <f>IF(VLOOKUP($A121,raw[],COLUMN(AS$1)-COLUMN($A$1),FALSE)=0, VLOOKUP($D121, regions[], COLUMN(AS$1)-COLUMN($A$1), FALSE), VLOOKUP($A121,raw[],COLUMN(AS$1)-COLUMN($A$1),FALSE))</f>
        <v>2.4142227644320099E-2</v>
      </c>
      <c r="AS121" s="72">
        <f>IF(VLOOKUP($A121,raw[],COLUMN(AT$1)-COLUMN($A$1),FALSE)=0, VLOOKUP($D121, regions[], COLUMN(AT$1)-COLUMN($A$1), FALSE), VLOOKUP($A121,raw[],COLUMN(AT$1)-COLUMN($A$1),FALSE))</f>
        <v>3.8239856574070391E-2</v>
      </c>
      <c r="AT121" s="72">
        <f>IF(VLOOKUP($A121,raw[],COLUMN(AU$1)-COLUMN($A$1),FALSE)=0, VLOOKUP($D121, regions[], COLUMN(AU$1)-COLUMN($A$1), FALSE), VLOOKUP($A121,raw[],COLUMN(AU$1)-COLUMN($A$1),FALSE))</f>
        <v>5.8128074558650787E-2</v>
      </c>
      <c r="AU121" s="72">
        <f>IF(VLOOKUP($A121,raw[],COLUMN(AV$1)-COLUMN($A$1),FALSE)=0, VLOOKUP($D121, regions[], COLUMN(AV$1)-COLUMN($A$1), FALSE), VLOOKUP($A121,raw[],COLUMN(AV$1)-COLUMN($A$1),FALSE))</f>
        <v>8.4472703489192891E-2</v>
      </c>
      <c r="AV121" s="72">
        <f>IF(VLOOKUP($A121,raw[],COLUMN(AW$1)-COLUMN($A$1),FALSE)=0, VLOOKUP($D121, regions[], COLUMN(AW$1)-COLUMN($A$1), FALSE), VLOOKUP($A121,raw[],COLUMN(AW$1)-COLUMN($A$1),FALSE))</f>
        <v>0.11348109923047969</v>
      </c>
      <c r="AW121" s="72">
        <f>IF(VLOOKUP($A121,raw[],COLUMN(AX$1)-COLUMN($A$1),FALSE)=0, VLOOKUP($D121, regions[], COLUMN(AX$1)-COLUMN($A$1), FALSE), VLOOKUP($A121,raw[],COLUMN(AX$1)-COLUMN($A$1),FALSE))</f>
        <v>0.14059689474071249</v>
      </c>
      <c r="AX121" s="72">
        <f>IF(VLOOKUP($A121,raw[],COLUMN(AY$1)-COLUMN($A$1),FALSE)=0, VLOOKUP($D121, regions[], COLUMN(AY$1)-COLUMN($A$1), FALSE), VLOOKUP($A121,raw[],COLUMN(AY$1)-COLUMN($A$1),FALSE))</f>
        <v>76.831999999999994</v>
      </c>
      <c r="AY121" t="str">
        <f t="shared" si="3"/>
        <v>No</v>
      </c>
    </row>
    <row r="122" spans="1:51" x14ac:dyDescent="0.25">
      <c r="A122" s="53" t="s">
        <v>464</v>
      </c>
      <c r="B122" s="54" t="s">
        <v>465</v>
      </c>
      <c r="C122" s="54">
        <v>626</v>
      </c>
      <c r="D122" s="54" t="s">
        <v>225</v>
      </c>
      <c r="E122" s="54" t="s">
        <v>261</v>
      </c>
      <c r="F122" s="54" t="s">
        <v>262</v>
      </c>
      <c r="G122" s="54" t="s">
        <v>212</v>
      </c>
      <c r="H122" s="73">
        <f>VLOOKUP(lmics[[#This Row],[setting]],raw[],8,FALSE)</f>
        <v>1318442</v>
      </c>
      <c r="I122" s="73">
        <f>VLOOKUP(lmics[[#This Row],[setting]],raw[],9,FALSE)</f>
        <v>39211.783521999998</v>
      </c>
      <c r="J122" s="67">
        <f>IF(VLOOKUP($A122,raw[],COLUMN(J$1),FALSE)=0, VLOOKUP($D122, regions[], COLUMN(J$1), FALSE), VLOOKUP($A122,raw[],COLUMN(J$1),FALSE))</f>
        <v>0.48499999999999999</v>
      </c>
      <c r="K122" s="77">
        <f>VLOOKUP($A122, raw[], 11, FALSE)</f>
        <v>0.72</v>
      </c>
      <c r="L122" s="77">
        <f>VLOOKUP($A122, raw[], 12, FALSE)</f>
        <v>0.86</v>
      </c>
      <c r="M122" s="77">
        <f>IF(VLOOKUP($A122,raw[],COLUMN(M$1),FALSE)=0, VLOOKUP($D122, regions[], COLUMN(M$1), FALSE), VLOOKUP($A122,raw[],COLUMN(M$1),FALSE))</f>
        <v>4.9100000000000005E-2</v>
      </c>
      <c r="N122" s="68">
        <f>IF(VLOOKUP($A122,raw[],COLUMN(N$1),FALSE)=0, VLOOKUP($D122, regions[], COLUMN(N$1), FALSE), VLOOKUP($A122,raw[],COLUMN(N$1),FALSE))</f>
        <v>0.32696072607084226</v>
      </c>
      <c r="O122" s="67">
        <f>IF(VLOOKUP($A122,raw[],COLUMN(O$1),FALSE)=0, VLOOKUP($D122, regions[], COLUMN(O$1), FALSE), VLOOKUP($A122,raw[],COLUMN(O$1),FALSE))</f>
        <v>0.8</v>
      </c>
      <c r="P122" s="68">
        <f>IF(VLOOKUP($A122,raw[],COLUMN(P$1),FALSE)=0, VLOOKUP($D122, regions[], COLUMN(P$1), FALSE), VLOOKUP($A122,raw[],COLUMN(P$1),FALSE))</f>
        <v>0.17499999999999999</v>
      </c>
      <c r="Q122" s="70">
        <f>IF(VLOOKUP($A122,raw[],COLUMN(Q$1),FALSE)=0, VLOOKUP($D122, regions[], COLUMN(Q$1), FALSE), VLOOKUP($A122,raw[],COLUMN(Q$1),FALSE))</f>
        <v>4.1911279395996512</v>
      </c>
      <c r="R122" s="70">
        <f>IF(VLOOKUP($A122,raw[],COLUMN(R$1),FALSE)=0, VLOOKUP($D122, regions[], COLUMN(R$1), FALSE), VLOOKUP($A122,raw[],COLUMN(R$1),FALSE))</f>
        <v>26.516507939599656</v>
      </c>
      <c r="S122" s="70">
        <f>IF(VLOOKUP($A122,raw[],COLUMN(S$1),FALSE)=0, VLOOKUP($D122, regions[], COLUMN(S$1), FALSE), VLOOKUP($A122,raw[],COLUMN(S$1),FALSE))</f>
        <v>60.98336822040153</v>
      </c>
      <c r="T122" s="70">
        <f>IF(VLOOKUP($A122,raw[],COLUMN(U$1)-COLUMN($A$1),FALSE)=0, VLOOKUP($D122, regions[], COLUMN(U$1)-COLUMN($A$1), FALSE), VLOOKUP($A122,raw[],COLUMN(U$1)-COLUMN($A$1),FALSE))</f>
        <v>63.714175612771484</v>
      </c>
      <c r="U122" s="70">
        <f>IF(VLOOKUP($A122,raw[],COLUMN(V$1)-COLUMN($A$1),FALSE)=0, VLOOKUP($D122, regions[], COLUMN(V$1)-COLUMN($A$1), FALSE), VLOOKUP($A122,raw[],COLUMN(V$1)-COLUMN($A$1),FALSE))</f>
        <v>62.460246580109981</v>
      </c>
      <c r="V122" s="70">
        <f>IF(VLOOKUP($A122,raw[],COLUMN(W$1)-COLUMN($A$1),FALSE)=0, VLOOKUP($D122, regions[], COLUMN(W$1)-COLUMN($A$1), FALSE), VLOOKUP($A122,raw[],COLUMN(W$1)-COLUMN($A$1),FALSE))</f>
        <v>4.1994438055446173</v>
      </c>
      <c r="W122" s="70">
        <f>IF(VLOOKUP($A122,raw[],COLUMN(X$1)-COLUMN($A$1),FALSE)=0, VLOOKUP($D122, regions[], COLUMN(X$1)-COLUMN($A$1), FALSE), VLOOKUP($A122,raw[],COLUMN(X$1)-COLUMN($A$1),FALSE))</f>
        <v>4.8294438055446172</v>
      </c>
      <c r="X122" s="70">
        <f>IF(VLOOKUP($A122,raw[],COLUMN(Y$1)-COLUMN($A$1),FALSE)=0, VLOOKUP($D122, regions[], COLUMN(Y$1)-COLUMN($A$1), FALSE), VLOOKUP($A122,raw[],COLUMN(Y$1)-COLUMN($A$1),FALSE))</f>
        <v>3.789868835427995</v>
      </c>
      <c r="Y122" s="70">
        <f>IF(VLOOKUP($A122,raw[],COLUMN(Z$1)-COLUMN($A$1),FALSE)=0, VLOOKUP($D122, regions[], COLUMN(Z$1)-COLUMN($A$1), FALSE), VLOOKUP($A122,raw[],COLUMN(Z$1)-COLUMN($A$1),FALSE))</f>
        <v>4.4198688354279954</v>
      </c>
      <c r="Z122" s="70">
        <f>IF(VLOOKUP($A122,raw[],COLUMN(AA$1)-COLUMN($A$1),FALSE)=0, VLOOKUP($D122, regions[], COLUMN(AA$1)-COLUMN($A$1), FALSE), VLOOKUP($A122,raw[],COLUMN(AA$1)-COLUMN($A$1),FALSE))</f>
        <v>4.4163630198558153</v>
      </c>
      <c r="AA122" s="70">
        <f>IF(VLOOKUP($A122,raw[],COLUMN(AB$1)-COLUMN($A$1),FALSE)=0, VLOOKUP($D122, regions[], COLUMN(AB$1)-COLUMN($A$1), FALSE), VLOOKUP($A122,raw[],COLUMN(AB$1)-COLUMN($A$1),FALSE))</f>
        <v>4.4042261127754792</v>
      </c>
      <c r="AB122" s="70">
        <f>IF(VLOOKUP($A122,raw[],COLUMN(AC$1)-COLUMN($A$1),FALSE)=0, VLOOKUP($D122, regions[], COLUMN(AC$1)-COLUMN($A$1), FALSE), VLOOKUP($A122,raw[],COLUMN(AC$1)-COLUMN($A$1),FALSE))</f>
        <v>5.034226112775479</v>
      </c>
      <c r="AC122" s="72">
        <f>IF(VLOOKUP($A122,raw[],COLUMN(AD$1)-COLUMN($A$1),FALSE)=0, VLOOKUP($D122, regions[], COLUMN(AD$1)-COLUMN($A$1), FALSE), VLOOKUP($A122,raw[],COLUMN(AD$1)-COLUMN($A$1),FALSE))</f>
        <v>3.7353289999999977E-2</v>
      </c>
      <c r="AD122" s="72">
        <f>IF(VLOOKUP($A122,raw[],COLUMN(AE$1)-COLUMN($A$1),FALSE)=0, VLOOKUP($D122, regions[], COLUMN(AE$1)-COLUMN($A$1), FALSE), VLOOKUP($A122,raw[],COLUMN(AE$1)-COLUMN($A$1),FALSE))</f>
        <v>2.4417628768502436E-3</v>
      </c>
      <c r="AE122" s="72">
        <f>IF(VLOOKUP($A122,raw[],COLUMN(AF$1)-COLUMN($A$1),FALSE)=0, VLOOKUP($D122, regions[], COLUMN(AF$1)-COLUMN($A$1), FALSE), VLOOKUP($A122,raw[],COLUMN(AF$1)-COLUMN($A$1),FALSE))</f>
        <v>7.5046224500073598E-4</v>
      </c>
      <c r="AF122" s="72">
        <f>IF(VLOOKUP($A122,raw[],COLUMN(AG$1)-COLUMN($A$1),FALSE)=0, VLOOKUP($D122, regions[], COLUMN(AG$1)-COLUMN($A$1), FALSE), VLOOKUP($A122,raw[],COLUMN(AG$1)-COLUMN($A$1),FALSE))</f>
        <v>5.7988920376164806E-4</v>
      </c>
      <c r="AG122" s="72">
        <f>IF(VLOOKUP($A122,raw[],COLUMN(AH$1)-COLUMN($A$1),FALSE)=0, VLOOKUP($D122, regions[], COLUMN(AH$1)-COLUMN($A$1), FALSE), VLOOKUP($A122,raw[],COLUMN(AH$1)-COLUMN($A$1),FALSE))</f>
        <v>9.9963659850836736E-4</v>
      </c>
      <c r="AH122" s="72">
        <f>IF(VLOOKUP($A122,raw[],COLUMN(AI$1)-COLUMN($A$1),FALSE)=0, VLOOKUP($D122, regions[], COLUMN(AI$1)-COLUMN($A$1), FALSE), VLOOKUP($A122,raw[],COLUMN(AI$1)-COLUMN($A$1),FALSE))</f>
        <v>1.2610949192515483E-3</v>
      </c>
      <c r="AI122" s="72">
        <f>IF(VLOOKUP($A122,raw[],COLUMN(AJ$1)-COLUMN($A$1),FALSE)=0, VLOOKUP($D122, regions[], COLUMN(AJ$1)-COLUMN($A$1), FALSE), VLOOKUP($A122,raw[],COLUMN(AJ$1)-COLUMN($A$1),FALSE))</f>
        <v>1.2042655371105656E-3</v>
      </c>
      <c r="AJ122" s="72">
        <f>IF(VLOOKUP($A122,raw[],COLUMN(AK$1)-COLUMN($A$1),FALSE)=0, VLOOKUP($D122, regions[], COLUMN(AK$1)-COLUMN($A$1), FALSE), VLOOKUP($A122,raw[],COLUMN(AK$1)-COLUMN($A$1),FALSE))</f>
        <v>1.3393810969544002E-3</v>
      </c>
      <c r="AK122" s="72">
        <f>IF(VLOOKUP($A122,raw[],COLUMN(AL$1)-COLUMN($A$1),FALSE)=0, VLOOKUP($D122, regions[], COLUMN(AL$1)-COLUMN($A$1), FALSE), VLOOKUP($A122,raw[],COLUMN(AL$1)-COLUMN($A$1),FALSE))</f>
        <v>1.7495403549045371E-3</v>
      </c>
      <c r="AL122" s="72">
        <f>IF(VLOOKUP($A122,raw[],COLUMN(AM$1)-COLUMN($A$1),FALSE)=0, VLOOKUP($D122, regions[], COLUMN(AM$1)-COLUMN($A$1), FALSE), VLOOKUP($A122,raw[],COLUMN(AM$1)-COLUMN($A$1),FALSE))</f>
        <v>2.5167331458246425E-3</v>
      </c>
      <c r="AM122" s="72">
        <f>IF(VLOOKUP($A122,raw[],COLUMN(AN$1)-COLUMN($A$1),FALSE)=0, VLOOKUP($D122, regions[], COLUMN(AN$1)-COLUMN($A$1), FALSE), VLOOKUP($A122,raw[],COLUMN(AN$1)-COLUMN($A$1),FALSE))</f>
        <v>4.0084334484345617E-3</v>
      </c>
      <c r="AN122" s="72">
        <f>IF(VLOOKUP($A122,raw[],COLUMN(AO$1)-COLUMN($A$1),FALSE)=0, VLOOKUP($D122, regions[], COLUMN(AO$1)-COLUMN($A$1), FALSE), VLOOKUP($A122,raw[],COLUMN(AO$1)-COLUMN($A$1),FALSE))</f>
        <v>6.5767792764623734E-3</v>
      </c>
      <c r="AO122" s="72">
        <f>IF(VLOOKUP($A122,raw[],COLUMN(AP$1)-COLUMN($A$1),FALSE)=0, VLOOKUP($D122, regions[], COLUMN(AP$1)-COLUMN($A$1), FALSE), VLOOKUP($A122,raw[],COLUMN(AP$1)-COLUMN($A$1),FALSE))</f>
        <v>1.127669195844757E-2</v>
      </c>
      <c r="AP122" s="72">
        <f>IF(VLOOKUP($A122,raw[],COLUMN(AQ$1)-COLUMN($A$1),FALSE)=0, VLOOKUP($D122, regions[], COLUMN(AQ$1)-COLUMN($A$1), FALSE), VLOOKUP($A122,raw[],COLUMN(AQ$1)-COLUMN($A$1),FALSE))</f>
        <v>1.8097948710298718E-2</v>
      </c>
      <c r="AQ122" s="72">
        <f>IF(VLOOKUP($A122,raw[],COLUMN(AR$1)-COLUMN($A$1),FALSE)=0, VLOOKUP($D122, regions[], COLUMN(AR$1)-COLUMN($A$1), FALSE), VLOOKUP($A122,raw[],COLUMN(AR$1)-COLUMN($A$1),FALSE))</f>
        <v>2.8766280262766567E-2</v>
      </c>
      <c r="AR122" s="72">
        <f>IF(VLOOKUP($A122,raw[],COLUMN(AS$1)-COLUMN($A$1),FALSE)=0, VLOOKUP($D122, regions[], COLUMN(AS$1)-COLUMN($A$1), FALSE), VLOOKUP($A122,raw[],COLUMN(AS$1)-COLUMN($A$1),FALSE))</f>
        <v>4.5617304860966094E-2</v>
      </c>
      <c r="AS122" s="72">
        <f>IF(VLOOKUP($A122,raw[],COLUMN(AT$1)-COLUMN($A$1),FALSE)=0, VLOOKUP($D122, regions[], COLUMN(AT$1)-COLUMN($A$1), FALSE), VLOOKUP($A122,raw[],COLUMN(AT$1)-COLUMN($A$1),FALSE))</f>
        <v>7.006155706294212E-2</v>
      </c>
      <c r="AT122" s="72">
        <f>IF(VLOOKUP($A122,raw[],COLUMN(AU$1)-COLUMN($A$1),FALSE)=0, VLOOKUP($D122, regions[], COLUMN(AU$1)-COLUMN($A$1), FALSE), VLOOKUP($A122,raw[],COLUMN(AU$1)-COLUMN($A$1),FALSE))</f>
        <v>0.10010623874858736</v>
      </c>
      <c r="AU122" s="72">
        <f>IF(VLOOKUP($A122,raw[],COLUMN(AV$1)-COLUMN($A$1),FALSE)=0, VLOOKUP($D122, regions[], COLUMN(AV$1)-COLUMN($A$1), FALSE), VLOOKUP($A122,raw[],COLUMN(AV$1)-COLUMN($A$1),FALSE))</f>
        <v>0.13269986785632931</v>
      </c>
      <c r="AV122" s="72">
        <f>IF(VLOOKUP($A122,raw[],COLUMN(AW$1)-COLUMN($A$1),FALSE)=0, VLOOKUP($D122, regions[], COLUMN(AW$1)-COLUMN($A$1), FALSE), VLOOKUP($A122,raw[],COLUMN(AW$1)-COLUMN($A$1),FALSE))</f>
        <v>0.15930605284793065</v>
      </c>
      <c r="AW122" s="72">
        <f>IF(VLOOKUP($A122,raw[],COLUMN(AX$1)-COLUMN($A$1),FALSE)=0, VLOOKUP($D122, regions[], COLUMN(AX$1)-COLUMN($A$1), FALSE), VLOOKUP($A122,raw[],COLUMN(AX$1)-COLUMN($A$1),FALSE))</f>
        <v>0.17797230829114155</v>
      </c>
      <c r="AX122" s="72">
        <f>IF(VLOOKUP($A122,raw[],COLUMN(AY$1)-COLUMN($A$1),FALSE)=0, VLOOKUP($D122, regions[], COLUMN(AY$1)-COLUMN($A$1), FALSE), VLOOKUP($A122,raw[],COLUMN(AY$1)-COLUMN($A$1),FALSE))</f>
        <v>69.153000000000006</v>
      </c>
      <c r="AY122" t="str">
        <f t="shared" si="3"/>
        <v>No</v>
      </c>
    </row>
    <row r="123" spans="1:51" x14ac:dyDescent="0.25">
      <c r="A123" s="55" t="s">
        <v>466</v>
      </c>
      <c r="B123" s="56" t="s">
        <v>467</v>
      </c>
      <c r="C123" s="56">
        <v>768</v>
      </c>
      <c r="D123" s="56" t="s">
        <v>207</v>
      </c>
      <c r="E123" s="56" t="s">
        <v>235</v>
      </c>
      <c r="F123" s="56" t="s">
        <v>211</v>
      </c>
      <c r="G123" s="56" t="s">
        <v>198</v>
      </c>
      <c r="H123" s="74">
        <f>VLOOKUP(lmics[[#This Row],[setting]],raw[],8,FALSE)</f>
        <v>8278736.9999999991</v>
      </c>
      <c r="I123" s="74">
        <f>VLOOKUP(lmics[[#This Row],[setting]],raw[],9,FALSE)</f>
        <v>275797.84441799996</v>
      </c>
      <c r="J123" s="67">
        <f>IF(VLOOKUP($A123,raw[],COLUMN(J$1),FALSE)=0, VLOOKUP($D123, regions[], COLUMN(J$1), FALSE), VLOOKUP($A123,raw[],COLUMN(J$1),FALSE))</f>
        <v>0.8</v>
      </c>
      <c r="K123" s="77">
        <f>VLOOKUP($A123, raw[], 11, FALSE)</f>
        <v>0</v>
      </c>
      <c r="L123" s="77">
        <f>VLOOKUP($A123, raw[], 12, FALSE)</f>
        <v>0.82</v>
      </c>
      <c r="M123" s="77">
        <f>IF(VLOOKUP($A123,raw[],COLUMN(M$1),FALSE)=0, VLOOKUP($D123, regions[], COLUMN(M$1), FALSE), VLOOKUP($A123,raw[],COLUMN(M$1),FALSE))</f>
        <v>0.13089999999999999</v>
      </c>
      <c r="N123" s="68">
        <f>IF(VLOOKUP($A123,raw[],COLUMN(N$1),FALSE)=0, VLOOKUP($D123, regions[], COLUMN(N$1), FALSE), VLOOKUP($A123,raw[],COLUMN(N$1),FALSE))</f>
        <v>0.29252493331506846</v>
      </c>
      <c r="O123" s="67">
        <f>IF(VLOOKUP($A123,raw[],COLUMN(O$1),FALSE)=0, VLOOKUP($D123, regions[], COLUMN(O$1), FALSE), VLOOKUP($A123,raw[],COLUMN(O$1),FALSE))</f>
        <v>0.38300000000000001</v>
      </c>
      <c r="P123" s="68">
        <f>IF(VLOOKUP($A123,raw[],COLUMN(P$1),FALSE)=0, VLOOKUP($D123, regions[], COLUMN(P$1), FALSE), VLOOKUP($A123,raw[],COLUMN(P$1),FALSE))</f>
        <v>4.8000000000000001E-2</v>
      </c>
      <c r="Q123" s="70">
        <f>IF(VLOOKUP($A123,raw[],COLUMN(Q$1),FALSE)=0, VLOOKUP($D123, regions[], COLUMN(Q$1), FALSE), VLOOKUP($A123,raw[],COLUMN(Q$1),FALSE))</f>
        <v>2.8224420838971582</v>
      </c>
      <c r="R123" s="70">
        <f>IF(VLOOKUP($A123,raw[],COLUMN(R$1),FALSE)=0, VLOOKUP($D123, regions[], COLUMN(R$1), FALSE), VLOOKUP($A123,raw[],COLUMN(R$1),FALSE))</f>
        <v>25.147822083897161</v>
      </c>
      <c r="S123" s="70">
        <f>IF(VLOOKUP($A123,raw[],COLUMN(S$1),FALSE)=0, VLOOKUP($D123, regions[], COLUMN(S$1), FALSE), VLOOKUP($A123,raw[],COLUMN(S$1),FALSE))</f>
        <v>55.542097625926971</v>
      </c>
      <c r="T123" s="70">
        <f>IF(VLOOKUP($A123,raw[],COLUMN(U$1)-COLUMN($A$1),FALSE)=0, VLOOKUP($D123, regions[], COLUMN(U$1)-COLUMN($A$1), FALSE), VLOOKUP($A123,raw[],COLUMN(U$1)-COLUMN($A$1),FALSE))</f>
        <v>56.153267003275843</v>
      </c>
      <c r="U123" s="70">
        <f>IF(VLOOKUP($A123,raw[],COLUMN(V$1)-COLUMN($A$1),FALSE)=0, VLOOKUP($D123, regions[], COLUMN(V$1)-COLUMN($A$1), FALSE), VLOOKUP($A123,raw[],COLUMN(V$1)-COLUMN($A$1),FALSE))</f>
        <v>55.872630943672121</v>
      </c>
      <c r="V123" s="70">
        <f>IF(VLOOKUP($A123,raw[],COLUMN(W$1)-COLUMN($A$1),FALSE)=0, VLOOKUP($D123, regions[], COLUMN(W$1)-COLUMN($A$1), FALSE), VLOOKUP($A123,raw[],COLUMN(W$1)-COLUMN($A$1),FALSE))</f>
        <v>2.6525585158331859</v>
      </c>
      <c r="W123" s="70">
        <f>IF(VLOOKUP($A123,raw[],COLUMN(X$1)-COLUMN($A$1),FALSE)=0, VLOOKUP($D123, regions[], COLUMN(X$1)-COLUMN($A$1), FALSE), VLOOKUP($A123,raw[],COLUMN(X$1)-COLUMN($A$1),FALSE))</f>
        <v>7.482558515833186</v>
      </c>
      <c r="X123" s="70">
        <f>IF(VLOOKUP($A123,raw[],COLUMN(Y$1)-COLUMN($A$1),FALSE)=0, VLOOKUP($D123, regions[], COLUMN(Y$1)-COLUMN($A$1), FALSE), VLOOKUP($A123,raw[],COLUMN(Y$1)-COLUMN($A$1),FALSE))</f>
        <v>2.2435073129745668</v>
      </c>
      <c r="Y123" s="70">
        <f>IF(VLOOKUP($A123,raw[],COLUMN(Z$1)-COLUMN($A$1),FALSE)=0, VLOOKUP($D123, regions[], COLUMN(Z$1)-COLUMN($A$1), FALSE), VLOOKUP($A123,raw[],COLUMN(Z$1)-COLUMN($A$1),FALSE))</f>
        <v>7.0735073129745665</v>
      </c>
      <c r="Z123" s="70">
        <f>IF(VLOOKUP($A123,raw[],COLUMN(AA$1)-COLUMN($A$1),FALSE)=0, VLOOKUP($D123, regions[], COLUMN(AA$1)-COLUMN($A$1), FALSE), VLOOKUP($A123,raw[],COLUMN(AA$1)-COLUMN($A$1),FALSE))</f>
        <v>7.070372434611695</v>
      </c>
      <c r="AA123" s="70">
        <f>IF(VLOOKUP($A123,raw[],COLUMN(AB$1)-COLUMN($A$1),FALSE)=0, VLOOKUP($D123, regions[], COLUMN(AB$1)-COLUMN($A$1), FALSE), VLOOKUP($A123,raw[],COLUMN(AB$1)-COLUMN($A$1),FALSE))</f>
        <v>2.8571540886503253</v>
      </c>
      <c r="AB123" s="70">
        <f>IF(VLOOKUP($A123,raw[],COLUMN(AC$1)-COLUMN($A$1),FALSE)=0, VLOOKUP($D123, regions[], COLUMN(AC$1)-COLUMN($A$1), FALSE), VLOOKUP($A123,raw[],COLUMN(AC$1)-COLUMN($A$1),FALSE))</f>
        <v>7.6871540886503258</v>
      </c>
      <c r="AC123" s="72">
        <f>IF(VLOOKUP($A123,raw[],COLUMN(AD$1)-COLUMN($A$1),FALSE)=0, VLOOKUP($D123, regions[], COLUMN(AD$1)-COLUMN($A$1), FALSE), VLOOKUP($A123,raw[],COLUMN(AD$1)-COLUMN($A$1),FALSE))</f>
        <v>4.969623000000007E-2</v>
      </c>
      <c r="AD123" s="72">
        <f>IF(VLOOKUP($A123,raw[],COLUMN(AE$1)-COLUMN($A$1),FALSE)=0, VLOOKUP($D123, regions[], COLUMN(AE$1)-COLUMN($A$1), FALSE), VLOOKUP($A123,raw[],COLUMN(AE$1)-COLUMN($A$1),FALSE))</f>
        <v>6.7678911765234797E-3</v>
      </c>
      <c r="AE123" s="72">
        <f>IF(VLOOKUP($A123,raw[],COLUMN(AF$1)-COLUMN($A$1),FALSE)=0, VLOOKUP($D123, regions[], COLUMN(AF$1)-COLUMN($A$1), FALSE), VLOOKUP($A123,raw[],COLUMN(AF$1)-COLUMN($A$1),FALSE))</f>
        <v>3.0947733578997726E-3</v>
      </c>
      <c r="AF123" s="72">
        <f>IF(VLOOKUP($A123,raw[],COLUMN(AG$1)-COLUMN($A$1),FALSE)=0, VLOOKUP($D123, regions[], COLUMN(AG$1)-COLUMN($A$1), FALSE), VLOOKUP($A123,raw[],COLUMN(AG$1)-COLUMN($A$1),FALSE))</f>
        <v>1.8112940174932904E-3</v>
      </c>
      <c r="AG123" s="72">
        <f>IF(VLOOKUP($A123,raw[],COLUMN(AH$1)-COLUMN($A$1),FALSE)=0, VLOOKUP($D123, regions[], COLUMN(AH$1)-COLUMN($A$1), FALSE), VLOOKUP($A123,raw[],COLUMN(AH$1)-COLUMN($A$1),FALSE))</f>
        <v>2.7661457956693228E-3</v>
      </c>
      <c r="AH123" s="72">
        <f>IF(VLOOKUP($A123,raw[],COLUMN(AI$1)-COLUMN($A$1),FALSE)=0, VLOOKUP($D123, regions[], COLUMN(AI$1)-COLUMN($A$1), FALSE), VLOOKUP($A123,raw[],COLUMN(AI$1)-COLUMN($A$1),FALSE))</f>
        <v>3.8635098749342186E-3</v>
      </c>
      <c r="AI123" s="72">
        <f>IF(VLOOKUP($A123,raw[],COLUMN(AJ$1)-COLUMN($A$1),FALSE)=0, VLOOKUP($D123, regions[], COLUMN(AJ$1)-COLUMN($A$1), FALSE), VLOOKUP($A123,raw[],COLUMN(AJ$1)-COLUMN($A$1),FALSE))</f>
        <v>4.1076620376263922E-3</v>
      </c>
      <c r="AJ123" s="72">
        <f>IF(VLOOKUP($A123,raw[],COLUMN(AK$1)-COLUMN($A$1),FALSE)=0, VLOOKUP($D123, regions[], COLUMN(AK$1)-COLUMN($A$1), FALSE), VLOOKUP($A123,raw[],COLUMN(AK$1)-COLUMN($A$1),FALSE))</f>
        <v>4.4948405076414245E-3</v>
      </c>
      <c r="AK123" s="72">
        <f>IF(VLOOKUP($A123,raw[],COLUMN(AL$1)-COLUMN($A$1),FALSE)=0, VLOOKUP($D123, regions[], COLUMN(AL$1)-COLUMN($A$1), FALSE), VLOOKUP($A123,raw[],COLUMN(AL$1)-COLUMN($A$1),FALSE))</f>
        <v>5.1105513966074384E-3</v>
      </c>
      <c r="AL123" s="72">
        <f>IF(VLOOKUP($A123,raw[],COLUMN(AM$1)-COLUMN($A$1),FALSE)=0, VLOOKUP($D123, regions[], COLUMN(AM$1)-COLUMN($A$1), FALSE), VLOOKUP($A123,raw[],COLUMN(AM$1)-COLUMN($A$1),FALSE))</f>
        <v>6.2099948399343616E-3</v>
      </c>
      <c r="AM123" s="72">
        <f>IF(VLOOKUP($A123,raw[],COLUMN(AN$1)-COLUMN($A$1),FALSE)=0, VLOOKUP($D123, regions[], COLUMN(AN$1)-COLUMN($A$1), FALSE), VLOOKUP($A123,raw[],COLUMN(AN$1)-COLUMN($A$1),FALSE))</f>
        <v>7.6812973015688134E-3</v>
      </c>
      <c r="AN123" s="72">
        <f>IF(VLOOKUP($A123,raw[],COLUMN(AO$1)-COLUMN($A$1),FALSE)=0, VLOOKUP($D123, regions[], COLUMN(AO$1)-COLUMN($A$1), FALSE), VLOOKUP($A123,raw[],COLUMN(AO$1)-COLUMN($A$1),FALSE))</f>
        <v>1.068530292173713E-2</v>
      </c>
      <c r="AO123" s="72">
        <f>IF(VLOOKUP($A123,raw[],COLUMN(AP$1)-COLUMN($A$1),FALSE)=0, VLOOKUP($D123, regions[], COLUMN(AP$1)-COLUMN($A$1), FALSE), VLOOKUP($A123,raw[],COLUMN(AP$1)-COLUMN($A$1),FALSE))</f>
        <v>1.511104924550352E-2</v>
      </c>
      <c r="AP123" s="72">
        <f>IF(VLOOKUP($A123,raw[],COLUMN(AQ$1)-COLUMN($A$1),FALSE)=0, VLOOKUP($D123, regions[], COLUMN(AQ$1)-COLUMN($A$1), FALSE), VLOOKUP($A123,raw[],COLUMN(AQ$1)-COLUMN($A$1),FALSE))</f>
        <v>2.3399658356689515E-2</v>
      </c>
      <c r="AQ123" s="72">
        <f>IF(VLOOKUP($A123,raw[],COLUMN(AR$1)-COLUMN($A$1),FALSE)=0, VLOOKUP($D123, regions[], COLUMN(AR$1)-COLUMN($A$1), FALSE), VLOOKUP($A123,raw[],COLUMN(AR$1)-COLUMN($A$1),FALSE))</f>
        <v>3.5843422857449771E-2</v>
      </c>
      <c r="AR123" s="72">
        <f>IF(VLOOKUP($A123,raw[],COLUMN(AS$1)-COLUMN($A$1),FALSE)=0, VLOOKUP($D123, regions[], COLUMN(AS$1)-COLUMN($A$1), FALSE), VLOOKUP($A123,raw[],COLUMN(AS$1)-COLUMN($A$1),FALSE))</f>
        <v>5.6966775396661257E-2</v>
      </c>
      <c r="AS123" s="72">
        <f>IF(VLOOKUP($A123,raw[],COLUMN(AT$1)-COLUMN($A$1),FALSE)=0, VLOOKUP($D123, regions[], COLUMN(AT$1)-COLUMN($A$1), FALSE), VLOOKUP($A123,raw[],COLUMN(AT$1)-COLUMN($A$1),FALSE))</f>
        <v>8.6854207534117892E-2</v>
      </c>
      <c r="AT123" s="72">
        <f>IF(VLOOKUP($A123,raw[],COLUMN(AU$1)-COLUMN($A$1),FALSE)=0, VLOOKUP($D123, regions[], COLUMN(AU$1)-COLUMN($A$1), FALSE), VLOOKUP($A123,raw[],COLUMN(AU$1)-COLUMN($A$1),FALSE))</f>
        <v>0.12301208774582718</v>
      </c>
      <c r="AU123" s="72">
        <f>IF(VLOOKUP($A123,raw[],COLUMN(AV$1)-COLUMN($A$1),FALSE)=0, VLOOKUP($D123, regions[], COLUMN(AV$1)-COLUMN($A$1), FALSE), VLOOKUP($A123,raw[],COLUMN(AV$1)-COLUMN($A$1),FALSE))</f>
        <v>0.15561358021648744</v>
      </c>
      <c r="AV123" s="72">
        <f>IF(VLOOKUP($A123,raw[],COLUMN(AW$1)-COLUMN($A$1),FALSE)=0, VLOOKUP($D123, regions[], COLUMN(AW$1)-COLUMN($A$1), FALSE), VLOOKUP($A123,raw[],COLUMN(AW$1)-COLUMN($A$1),FALSE))</f>
        <v>0.17778575770131999</v>
      </c>
      <c r="AW123" s="72">
        <f>IF(VLOOKUP($A123,raw[],COLUMN(AX$1)-COLUMN($A$1),FALSE)=0, VLOOKUP($D123, regions[], COLUMN(AX$1)-COLUMN($A$1), FALSE), VLOOKUP($A123,raw[],COLUMN(AX$1)-COLUMN($A$1),FALSE))</f>
        <v>0.19405840489771495</v>
      </c>
      <c r="AX123" s="72">
        <f>IF(VLOOKUP($A123,raw[],COLUMN(AY$1)-COLUMN($A$1),FALSE)=0, VLOOKUP($D123, regions[], COLUMN(AY$1)-COLUMN($A$1), FALSE), VLOOKUP($A123,raw[],COLUMN(AY$1)-COLUMN($A$1),FALSE))</f>
        <v>60.527999999999999</v>
      </c>
      <c r="AY123" t="str">
        <f t="shared" si="3"/>
        <v>Yes</v>
      </c>
    </row>
    <row r="124" spans="1:51" x14ac:dyDescent="0.25">
      <c r="A124" s="53" t="s">
        <v>468</v>
      </c>
      <c r="B124" s="54" t="s">
        <v>469</v>
      </c>
      <c r="C124" s="54">
        <v>776</v>
      </c>
      <c r="D124" s="54" t="s">
        <v>260</v>
      </c>
      <c r="E124" s="54" t="s">
        <v>309</v>
      </c>
      <c r="F124" s="54" t="s">
        <v>262</v>
      </c>
      <c r="G124" s="54" t="s">
        <v>204</v>
      </c>
      <c r="H124" s="73">
        <f>VLOOKUP(lmics[[#This Row],[setting]],raw[],8,FALSE)</f>
        <v>105697</v>
      </c>
      <c r="I124" s="73">
        <f>VLOOKUP(lmics[[#This Row],[setting]],raw[],9,FALSE)</f>
        <v>2584.714438</v>
      </c>
      <c r="J124" s="67">
        <f>IF(VLOOKUP($A124,raw[],COLUMN(J$1),FALSE)=0, VLOOKUP($D124, regions[], COLUMN(J$1), FALSE), VLOOKUP($A124,raw[],COLUMN(J$1),FALSE))</f>
        <v>0.98</v>
      </c>
      <c r="K124" s="77">
        <f>VLOOKUP($A124, raw[], 11, FALSE)</f>
        <v>0.99</v>
      </c>
      <c r="L124" s="77">
        <f>VLOOKUP($A124, raw[], 12, FALSE)</f>
        <v>0.99</v>
      </c>
      <c r="M124" s="77">
        <f>IF(VLOOKUP($A124,raw[],COLUMN(M$1),FALSE)=0, VLOOKUP($D124, regions[], COLUMN(M$1), FALSE), VLOOKUP($A124,raw[],COLUMN(M$1),FALSE))</f>
        <v>9.0500000000000011E-2</v>
      </c>
      <c r="N124" s="68">
        <f>IF(VLOOKUP($A124,raw[],COLUMN(N$1),FALSE)=0, VLOOKUP($D124, regions[], COLUMN(N$1), FALSE), VLOOKUP($A124,raw[],COLUMN(N$1),FALSE))</f>
        <v>0.3121111146320209</v>
      </c>
      <c r="O124" s="67">
        <f>IF(VLOOKUP($A124,raw[],COLUMN(O$1),FALSE)=0, VLOOKUP($D124, regions[], COLUMN(O$1), FALSE), VLOOKUP($A124,raw[],COLUMN(O$1),FALSE))</f>
        <v>0.8</v>
      </c>
      <c r="P124" s="68">
        <f>IF(VLOOKUP($A124,raw[],COLUMN(P$1),FALSE)=0, VLOOKUP($D124, regions[], COLUMN(P$1), FALSE), VLOOKUP($A124,raw[],COLUMN(P$1),FALSE))</f>
        <v>0.17499999999999999</v>
      </c>
      <c r="Q124" s="70">
        <f>IF(VLOOKUP($A124,raw[],COLUMN(Q$1),FALSE)=0, VLOOKUP($D124, regions[], COLUMN(Q$1), FALSE), VLOOKUP($A124,raw[],COLUMN(Q$1),FALSE))</f>
        <v>8.1257213374999999</v>
      </c>
      <c r="R124" s="70">
        <f>IF(VLOOKUP($A124,raw[],COLUMN(R$1),FALSE)=0, VLOOKUP($D124, regions[], COLUMN(R$1), FALSE), VLOOKUP($A124,raw[],COLUMN(R$1),FALSE))</f>
        <v>30.451101337500003</v>
      </c>
      <c r="S124" s="70">
        <f>IF(VLOOKUP($A124,raw[],COLUMN(S$1),FALSE)=0, VLOOKUP($D124, regions[], COLUMN(S$1), FALSE), VLOOKUP($A124,raw[],COLUMN(S$1),FALSE))</f>
        <v>75.096891220683545</v>
      </c>
      <c r="T124" s="70">
        <f>IF(VLOOKUP($A124,raw[],COLUMN(U$1)-COLUMN($A$1),FALSE)=0, VLOOKUP($D124, regions[], COLUMN(U$1)-COLUMN($A$1), FALSE), VLOOKUP($A124,raw[],COLUMN(U$1)-COLUMN($A$1),FALSE))</f>
        <v>83.125475705823547</v>
      </c>
      <c r="U124" s="70">
        <f>IF(VLOOKUP($A124,raw[],COLUMN(V$1)-COLUMN($A$1),FALSE)=0, VLOOKUP($D124, regions[], COLUMN(V$1)-COLUMN($A$1), FALSE), VLOOKUP($A124,raw[],COLUMN(V$1)-COLUMN($A$1),FALSE))</f>
        <v>79.438919412903971</v>
      </c>
      <c r="V124" s="70">
        <f>IF(VLOOKUP($A124,raw[],COLUMN(W$1)-COLUMN($A$1),FALSE)=0, VLOOKUP($D124, regions[], COLUMN(W$1)-COLUMN($A$1), FALSE), VLOOKUP($A124,raw[],COLUMN(W$1)-COLUMN($A$1),FALSE))</f>
        <v>8.3421370436712792</v>
      </c>
      <c r="W124" s="70">
        <f>IF(VLOOKUP($A124,raw[],COLUMN(X$1)-COLUMN($A$1),FALSE)=0, VLOOKUP($D124, regions[], COLUMN(X$1)-COLUMN($A$1), FALSE), VLOOKUP($A124,raw[],COLUMN(X$1)-COLUMN($A$1),FALSE))</f>
        <v>8.97213704367128</v>
      </c>
      <c r="X124" s="70">
        <f>IF(VLOOKUP($A124,raw[],COLUMN(Y$1)-COLUMN($A$1),FALSE)=0, VLOOKUP($D124, regions[], COLUMN(Y$1)-COLUMN($A$1), FALSE), VLOOKUP($A124,raw[],COLUMN(Y$1)-COLUMN($A$1),FALSE))</f>
        <v>7.9272529870312383</v>
      </c>
      <c r="Y124" s="70">
        <f>IF(VLOOKUP($A124,raw[],COLUMN(Z$1)-COLUMN($A$1),FALSE)=0, VLOOKUP($D124, regions[], COLUMN(Z$1)-COLUMN($A$1), FALSE), VLOOKUP($A124,raw[],COLUMN(Z$1)-COLUMN($A$1),FALSE))</f>
        <v>8.557252987031239</v>
      </c>
      <c r="Z124" s="70">
        <f>IF(VLOOKUP($A124,raw[],COLUMN(AA$1)-COLUMN($A$1),FALSE)=0, VLOOKUP($D124, regions[], COLUMN(AA$1)-COLUMN($A$1), FALSE), VLOOKUP($A124,raw[],COLUMN(AA$1)-COLUMN($A$1),FALSE))</f>
        <v>8.552059428344819</v>
      </c>
      <c r="AA124" s="70">
        <f>IF(VLOOKUP($A124,raw[],COLUMN(AB$1)-COLUMN($A$1),FALSE)=0, VLOOKUP($D124, regions[], COLUMN(AB$1)-COLUMN($A$1), FALSE), VLOOKUP($A124,raw[],COLUMN(AB$1)-COLUMN($A$1),FALSE))</f>
        <v>8.5488121556626631</v>
      </c>
      <c r="AB124" s="70">
        <f>IF(VLOOKUP($A124,raw[],COLUMN(AC$1)-COLUMN($A$1),FALSE)=0, VLOOKUP($D124, regions[], COLUMN(AC$1)-COLUMN($A$1), FALSE), VLOOKUP($A124,raw[],COLUMN(AC$1)-COLUMN($A$1),FALSE))</f>
        <v>9.1788121556626638</v>
      </c>
      <c r="AC124" s="72">
        <f>IF(VLOOKUP($A124,raw[],COLUMN(AD$1)-COLUMN($A$1),FALSE)=0, VLOOKUP($D124, regions[], COLUMN(AD$1)-COLUMN($A$1), FALSE), VLOOKUP($A124,raw[],COLUMN(AD$1)-COLUMN($A$1),FALSE))</f>
        <v>1.2516630000000004E-2</v>
      </c>
      <c r="AD124" s="72">
        <f>IF(VLOOKUP($A124,raw[],COLUMN(AE$1)-COLUMN($A$1),FALSE)=0, VLOOKUP($D124, regions[], COLUMN(AE$1)-COLUMN($A$1), FALSE), VLOOKUP($A124,raw[],COLUMN(AE$1)-COLUMN($A$1),FALSE))</f>
        <v>7.8586133556862703E-4</v>
      </c>
      <c r="AE124" s="72">
        <f>IF(VLOOKUP($A124,raw[],COLUMN(AF$1)-COLUMN($A$1),FALSE)=0, VLOOKUP($D124, regions[], COLUMN(AF$1)-COLUMN($A$1), FALSE), VLOOKUP($A124,raw[],COLUMN(AF$1)-COLUMN($A$1),FALSE))</f>
        <v>3.9811078102040137E-4</v>
      </c>
      <c r="AF124" s="72">
        <f>IF(VLOOKUP($A124,raw[],COLUMN(AG$1)-COLUMN($A$1),FALSE)=0, VLOOKUP($D124, regions[], COLUMN(AG$1)-COLUMN($A$1), FALSE), VLOOKUP($A124,raw[],COLUMN(AG$1)-COLUMN($A$1),FALSE))</f>
        <v>3.7813773319574111E-4</v>
      </c>
      <c r="AG124" s="72">
        <f>IF(VLOOKUP($A124,raw[],COLUMN(AH$1)-COLUMN($A$1),FALSE)=0, VLOOKUP($D124, regions[], COLUMN(AH$1)-COLUMN($A$1), FALSE), VLOOKUP($A124,raw[],COLUMN(AH$1)-COLUMN($A$1),FALSE))</f>
        <v>9.4484556800651653E-4</v>
      </c>
      <c r="AH124" s="72">
        <f>IF(VLOOKUP($A124,raw[],COLUMN(AI$1)-COLUMN($A$1),FALSE)=0, VLOOKUP($D124, regions[], COLUMN(AI$1)-COLUMN($A$1), FALSE), VLOOKUP($A124,raw[],COLUMN(AI$1)-COLUMN($A$1),FALSE))</f>
        <v>1.3732255950006816E-3</v>
      </c>
      <c r="AI124" s="72">
        <f>IF(VLOOKUP($A124,raw[],COLUMN(AJ$1)-COLUMN($A$1),FALSE)=0, VLOOKUP($D124, regions[], COLUMN(AJ$1)-COLUMN($A$1), FALSE), VLOOKUP($A124,raw[],COLUMN(AJ$1)-COLUMN($A$1),FALSE))</f>
        <v>1.5029202074101973E-3</v>
      </c>
      <c r="AJ124" s="72">
        <f>IF(VLOOKUP($A124,raw[],COLUMN(AK$1)-COLUMN($A$1),FALSE)=0, VLOOKUP($D124, regions[], COLUMN(AK$1)-COLUMN($A$1), FALSE), VLOOKUP($A124,raw[],COLUMN(AK$1)-COLUMN($A$1),FALSE))</f>
        <v>1.7968539659716511E-3</v>
      </c>
      <c r="AK124" s="72">
        <f>IF(VLOOKUP($A124,raw[],COLUMN(AL$1)-COLUMN($A$1),FALSE)=0, VLOOKUP($D124, regions[], COLUMN(AL$1)-COLUMN($A$1), FALSE), VLOOKUP($A124,raw[],COLUMN(AL$1)-COLUMN($A$1),FALSE))</f>
        <v>2.4218398057659412E-3</v>
      </c>
      <c r="AL124" s="72">
        <f>IF(VLOOKUP($A124,raw[],COLUMN(AM$1)-COLUMN($A$1),FALSE)=0, VLOOKUP($D124, regions[], COLUMN(AM$1)-COLUMN($A$1), FALSE), VLOOKUP($A124,raw[],COLUMN(AM$1)-COLUMN($A$1),FALSE))</f>
        <v>3.4808012206002121E-3</v>
      </c>
      <c r="AM124" s="72">
        <f>IF(VLOOKUP($A124,raw[],COLUMN(AN$1)-COLUMN($A$1),FALSE)=0, VLOOKUP($D124, regions[], COLUMN(AN$1)-COLUMN($A$1), FALSE), VLOOKUP($A124,raw[],COLUMN(AN$1)-COLUMN($A$1),FALSE))</f>
        <v>5.2317906143452856E-3</v>
      </c>
      <c r="AN124" s="72">
        <f>IF(VLOOKUP($A124,raw[],COLUMN(AO$1)-COLUMN($A$1),FALSE)=0, VLOOKUP($D124, regions[], COLUMN(AO$1)-COLUMN($A$1), FALSE), VLOOKUP($A124,raw[],COLUMN(AO$1)-COLUMN($A$1),FALSE))</f>
        <v>7.9078565328276531E-3</v>
      </c>
      <c r="AO124" s="72">
        <f>IF(VLOOKUP($A124,raw[],COLUMN(AP$1)-COLUMN($A$1),FALSE)=0, VLOOKUP($D124, regions[], COLUMN(AP$1)-COLUMN($A$1), FALSE), VLOOKUP($A124,raw[],COLUMN(AP$1)-COLUMN($A$1),FALSE))</f>
        <v>1.1677580060920043E-2</v>
      </c>
      <c r="AP124" s="72">
        <f>IF(VLOOKUP($A124,raw[],COLUMN(AQ$1)-COLUMN($A$1),FALSE)=0, VLOOKUP($D124, regions[], COLUMN(AQ$1)-COLUMN($A$1), FALSE), VLOOKUP($A124,raw[],COLUMN(AQ$1)-COLUMN($A$1),FALSE))</f>
        <v>1.8528062502888052E-2</v>
      </c>
      <c r="AQ124" s="72">
        <f>IF(VLOOKUP($A124,raw[],COLUMN(AR$1)-COLUMN($A$1),FALSE)=0, VLOOKUP($D124, regions[], COLUMN(AR$1)-COLUMN($A$1), FALSE), VLOOKUP($A124,raw[],COLUMN(AR$1)-COLUMN($A$1),FALSE))</f>
        <v>2.9504773065557197E-2</v>
      </c>
      <c r="AR124" s="72">
        <f>IF(VLOOKUP($A124,raw[],COLUMN(AS$1)-COLUMN($A$1),FALSE)=0, VLOOKUP($D124, regions[], COLUMN(AS$1)-COLUMN($A$1), FALSE), VLOOKUP($A124,raw[],COLUMN(AS$1)-COLUMN($A$1),FALSE))</f>
        <v>4.5748277535170925E-2</v>
      </c>
      <c r="AS124" s="72">
        <f>IF(VLOOKUP($A124,raw[],COLUMN(AT$1)-COLUMN($A$1),FALSE)=0, VLOOKUP($D124, regions[], COLUMN(AT$1)-COLUMN($A$1), FALSE), VLOOKUP($A124,raw[],COLUMN(AT$1)-COLUMN($A$1),FALSE))</f>
        <v>6.8800985138411583E-2</v>
      </c>
      <c r="AT124" s="72">
        <f>IF(VLOOKUP($A124,raw[],COLUMN(AU$1)-COLUMN($A$1),FALSE)=0, VLOOKUP($D124, regions[], COLUMN(AU$1)-COLUMN($A$1), FALSE), VLOOKUP($A124,raw[],COLUMN(AU$1)-COLUMN($A$1),FALSE))</f>
        <v>9.9582487239060005E-2</v>
      </c>
      <c r="AU124" s="72">
        <f>IF(VLOOKUP($A124,raw[],COLUMN(AV$1)-COLUMN($A$1),FALSE)=0, VLOOKUP($D124, regions[], COLUMN(AV$1)-COLUMN($A$1), FALSE), VLOOKUP($A124,raw[],COLUMN(AV$1)-COLUMN($A$1),FALSE))</f>
        <v>0.13436603086610061</v>
      </c>
      <c r="AV124" s="72">
        <f>IF(VLOOKUP($A124,raw[],COLUMN(AW$1)-COLUMN($A$1),FALSE)=0, VLOOKUP($D124, regions[], COLUMN(AW$1)-COLUMN($A$1), FALSE), VLOOKUP($A124,raw[],COLUMN(AW$1)-COLUMN($A$1),FALSE))</f>
        <v>0.16388950357319268</v>
      </c>
      <c r="AW124" s="72">
        <f>IF(VLOOKUP($A124,raw[],COLUMN(AX$1)-COLUMN($A$1),FALSE)=0, VLOOKUP($D124, regions[], COLUMN(AX$1)-COLUMN($A$1), FALSE), VLOOKUP($A124,raw[],COLUMN(AX$1)-COLUMN($A$1),FALSE))</f>
        <v>0.18198957321540954</v>
      </c>
      <c r="AX124" s="72">
        <f>IF(VLOOKUP($A124,raw[],COLUMN(AY$1)-COLUMN($A$1),FALSE)=0, VLOOKUP($D124, regions[], COLUMN(AY$1)-COLUMN($A$1), FALSE), VLOOKUP($A124,raw[],COLUMN(AY$1)-COLUMN($A$1),FALSE))</f>
        <v>70.741</v>
      </c>
      <c r="AY124" t="str">
        <f t="shared" si="3"/>
        <v>No</v>
      </c>
    </row>
    <row r="125" spans="1:51" x14ac:dyDescent="0.25">
      <c r="A125" s="55" t="s">
        <v>470</v>
      </c>
      <c r="B125" s="56" t="s">
        <v>471</v>
      </c>
      <c r="C125" s="56">
        <v>788</v>
      </c>
      <c r="D125" s="56" t="s">
        <v>196</v>
      </c>
      <c r="E125" s="56" t="s">
        <v>197</v>
      </c>
      <c r="F125" s="56" t="s">
        <v>197</v>
      </c>
      <c r="G125" s="56" t="s">
        <v>212</v>
      </c>
      <c r="H125" s="74">
        <f>VLOOKUP(lmics[[#This Row],[setting]],raw[],8,FALSE)</f>
        <v>11818618</v>
      </c>
      <c r="I125" s="74">
        <f>VLOOKUP(lmics[[#This Row],[setting]],raw[],9,FALSE)</f>
        <v>209354.99925199998</v>
      </c>
      <c r="J125" s="67">
        <f>IF(VLOOKUP($A125,raw[],COLUMN(J$1),FALSE)=0, VLOOKUP($D125, regions[], COLUMN(J$1), FALSE), VLOOKUP($A125,raw[],COLUMN(J$1),FALSE))</f>
        <v>0.997</v>
      </c>
      <c r="K125" s="77">
        <f>VLOOKUP($A125, raw[], 11, FALSE)</f>
        <v>0.74</v>
      </c>
      <c r="L125" s="77">
        <f>VLOOKUP($A125, raw[], 12, FALSE)</f>
        <v>0.92</v>
      </c>
      <c r="M125" s="77">
        <f>IF(VLOOKUP($A125,raw[],COLUMN(M$1),FALSE)=0, VLOOKUP($D125, regions[], COLUMN(M$1), FALSE), VLOOKUP($A125,raw[],COLUMN(M$1),FALSE))</f>
        <v>2.7900000000000001E-2</v>
      </c>
      <c r="N125" s="68">
        <f>IF(VLOOKUP($A125,raw[],COLUMN(N$1),FALSE)=0, VLOOKUP($D125, regions[], COLUMN(N$1), FALSE), VLOOKUP($A125,raw[],COLUMN(N$1),FALSE))</f>
        <v>0.24242703990008532</v>
      </c>
      <c r="O125" s="67">
        <f>IF(VLOOKUP($A125,raw[],COLUMN(O$1),FALSE)=0, VLOOKUP($D125, regions[], COLUMN(O$1), FALSE), VLOOKUP($A125,raw[],COLUMN(O$1),FALSE))</f>
        <v>0.8</v>
      </c>
      <c r="P125" s="68">
        <f>IF(VLOOKUP($A125,raw[],COLUMN(P$1),FALSE)=0, VLOOKUP($D125, regions[], COLUMN(P$1), FALSE), VLOOKUP($A125,raw[],COLUMN(P$1),FALSE))</f>
        <v>0.17499999999999999</v>
      </c>
      <c r="Q125" s="70">
        <f>IF(VLOOKUP($A125,raw[],COLUMN(Q$1),FALSE)=0, VLOOKUP($D125, regions[], COLUMN(Q$1), FALSE), VLOOKUP($A125,raw[],COLUMN(Q$1),FALSE))</f>
        <v>8.4154129513797606</v>
      </c>
      <c r="R125" s="70">
        <f>IF(VLOOKUP($A125,raw[],COLUMN(R$1),FALSE)=0, VLOOKUP($D125, regions[], COLUMN(R$1), FALSE), VLOOKUP($A125,raw[],COLUMN(R$1),FALSE))</f>
        <v>30.740792951379763</v>
      </c>
      <c r="S125" s="70">
        <f>IF(VLOOKUP($A125,raw[],COLUMN(S$1),FALSE)=0, VLOOKUP($D125, regions[], COLUMN(S$1), FALSE), VLOOKUP($A125,raw[],COLUMN(S$1),FALSE))</f>
        <v>81.196220710525708</v>
      </c>
      <c r="T125" s="70">
        <f>IF(VLOOKUP($A125,raw[],COLUMN(U$1)-COLUMN($A$1),FALSE)=0, VLOOKUP($D125, regions[], COLUMN(U$1)-COLUMN($A$1), FALSE), VLOOKUP($A125,raw[],COLUMN(U$1)-COLUMN($A$1),FALSE))</f>
        <v>92.248518656593973</v>
      </c>
      <c r="U125" s="70">
        <f>IF(VLOOKUP($A125,raw[],COLUMN(V$1)-COLUMN($A$1),FALSE)=0, VLOOKUP($D125, regions[], COLUMN(V$1)-COLUMN($A$1), FALSE), VLOOKUP($A125,raw[],COLUMN(V$1)-COLUMN($A$1),FALSE))</f>
        <v>87.173537055576475</v>
      </c>
      <c r="V125" s="70">
        <f>IF(VLOOKUP($A125,raw[],COLUMN(W$1)-COLUMN($A$1),FALSE)=0, VLOOKUP($D125, regions[], COLUMN(W$1)-COLUMN($A$1), FALSE), VLOOKUP($A125,raw[],COLUMN(W$1)-COLUMN($A$1),FALSE))</f>
        <v>4.6558844138493498</v>
      </c>
      <c r="W125" s="70">
        <f>IF(VLOOKUP($A125,raw[],COLUMN(X$1)-COLUMN($A$1),FALSE)=0, VLOOKUP($D125, regions[], COLUMN(X$1)-COLUMN($A$1), FALSE), VLOOKUP($A125,raw[],COLUMN(X$1)-COLUMN($A$1),FALSE))</f>
        <v>5.1358844138493502</v>
      </c>
      <c r="X125" s="70">
        <f>IF(VLOOKUP($A125,raw[],COLUMN(Y$1)-COLUMN($A$1),FALSE)=0, VLOOKUP($D125, regions[], COLUMN(Y$1)-COLUMN($A$1), FALSE), VLOOKUP($A125,raw[],COLUMN(Y$1)-COLUMN($A$1),FALSE))</f>
        <v>4.2337700448650351</v>
      </c>
      <c r="Y125" s="70">
        <f>IF(VLOOKUP($A125,raw[],COLUMN(Z$1)-COLUMN($A$1),FALSE)=0, VLOOKUP($D125, regions[], COLUMN(Z$1)-COLUMN($A$1), FALSE), VLOOKUP($A125,raw[],COLUMN(Z$1)-COLUMN($A$1),FALSE))</f>
        <v>4.7137700448650346</v>
      </c>
      <c r="Z125" s="70">
        <f>IF(VLOOKUP($A125,raw[],COLUMN(AA$1)-COLUMN($A$1),FALSE)=0, VLOOKUP($D125, regions[], COLUMN(AA$1)-COLUMN($A$1), FALSE), VLOOKUP($A125,raw[],COLUMN(AA$1)-COLUMN($A$1),FALSE))</f>
        <v>4.7050666291872059</v>
      </c>
      <c r="AA125" s="70">
        <f>IF(VLOOKUP($A125,raw[],COLUMN(AB$1)-COLUMN($A$1),FALSE)=0, VLOOKUP($D125, regions[], COLUMN(AB$1)-COLUMN($A$1), FALSE), VLOOKUP($A125,raw[],COLUMN(AB$1)-COLUMN($A$1),FALSE))</f>
        <v>4.8651372893721723</v>
      </c>
      <c r="AB125" s="70">
        <f>IF(VLOOKUP($A125,raw[],COLUMN(AC$1)-COLUMN($A$1),FALSE)=0, VLOOKUP($D125, regions[], COLUMN(AC$1)-COLUMN($A$1), FALSE), VLOOKUP($A125,raw[],COLUMN(AC$1)-COLUMN($A$1),FALSE))</f>
        <v>5.3451372893721718</v>
      </c>
      <c r="AC125" s="72">
        <f>IF(VLOOKUP($A125,raw[],COLUMN(AD$1)-COLUMN($A$1),FALSE)=0, VLOOKUP($D125, regions[], COLUMN(AD$1)-COLUMN($A$1), FALSE), VLOOKUP($A125,raw[],COLUMN(AD$1)-COLUMN($A$1),FALSE))</f>
        <v>1.2677660000000033E-2</v>
      </c>
      <c r="AD125" s="72">
        <f>IF(VLOOKUP($A125,raw[],COLUMN(AE$1)-COLUMN($A$1),FALSE)=0, VLOOKUP($D125, regions[], COLUMN(AE$1)-COLUMN($A$1), FALSE), VLOOKUP($A125,raw[],COLUMN(AE$1)-COLUMN($A$1),FALSE))</f>
        <v>1.9627581808793928E-4</v>
      </c>
      <c r="AE125" s="72">
        <f>IF(VLOOKUP($A125,raw[],COLUMN(AF$1)-COLUMN($A$1),FALSE)=0, VLOOKUP($D125, regions[], COLUMN(AF$1)-COLUMN($A$1), FALSE), VLOOKUP($A125,raw[],COLUMN(AF$1)-COLUMN($A$1),FALSE))</f>
        <v>1.4528651183933218E-4</v>
      </c>
      <c r="AF125" s="72">
        <f>IF(VLOOKUP($A125,raw[],COLUMN(AG$1)-COLUMN($A$1),FALSE)=0, VLOOKUP($D125, regions[], COLUMN(AG$1)-COLUMN($A$1), FALSE), VLOOKUP($A125,raw[],COLUMN(AG$1)-COLUMN($A$1),FALSE))</f>
        <v>2.4567711450364222E-4</v>
      </c>
      <c r="AG125" s="72">
        <f>IF(VLOOKUP($A125,raw[],COLUMN(AH$1)-COLUMN($A$1),FALSE)=0, VLOOKUP($D125, regions[], COLUMN(AH$1)-COLUMN($A$1), FALSE), VLOOKUP($A125,raw[],COLUMN(AH$1)-COLUMN($A$1),FALSE))</f>
        <v>3.6946046825902569E-4</v>
      </c>
      <c r="AH125" s="72">
        <f>IF(VLOOKUP($A125,raw[],COLUMN(AI$1)-COLUMN($A$1),FALSE)=0, VLOOKUP($D125, regions[], COLUMN(AI$1)-COLUMN($A$1), FALSE), VLOOKUP($A125,raw[],COLUMN(AI$1)-COLUMN($A$1),FALSE))</f>
        <v>5.0218321994208073E-4</v>
      </c>
      <c r="AI125" s="72">
        <f>IF(VLOOKUP($A125,raw[],COLUMN(AJ$1)-COLUMN($A$1),FALSE)=0, VLOOKUP($D125, regions[], COLUMN(AJ$1)-COLUMN($A$1), FALSE), VLOOKUP($A125,raw[],COLUMN(AJ$1)-COLUMN($A$1),FALSE))</f>
        <v>5.7026953078073554E-4</v>
      </c>
      <c r="AJ125" s="72">
        <f>IF(VLOOKUP($A125,raw[],COLUMN(AK$1)-COLUMN($A$1),FALSE)=0, VLOOKUP($D125, regions[], COLUMN(AK$1)-COLUMN($A$1), FALSE), VLOOKUP($A125,raw[],COLUMN(AK$1)-COLUMN($A$1),FALSE))</f>
        <v>6.6872513126501731E-4</v>
      </c>
      <c r="AK125" s="72">
        <f>IF(VLOOKUP($A125,raw[],COLUMN(AL$1)-COLUMN($A$1),FALSE)=0, VLOOKUP($D125, regions[], COLUMN(AL$1)-COLUMN($A$1), FALSE), VLOOKUP($A125,raw[],COLUMN(AL$1)-COLUMN($A$1),FALSE))</f>
        <v>9.3910189950180975E-4</v>
      </c>
      <c r="AL125" s="72">
        <f>IF(VLOOKUP($A125,raw[],COLUMN(AM$1)-COLUMN($A$1),FALSE)=0, VLOOKUP($D125, regions[], COLUMN(AM$1)-COLUMN($A$1), FALSE), VLOOKUP($A125,raw[],COLUMN(AM$1)-COLUMN($A$1),FALSE))</f>
        <v>1.4957061989991033E-3</v>
      </c>
      <c r="AM125" s="72">
        <f>IF(VLOOKUP($A125,raw[],COLUMN(AN$1)-COLUMN($A$1),FALSE)=0, VLOOKUP($D125, regions[], COLUMN(AN$1)-COLUMN($A$1), FALSE), VLOOKUP($A125,raw[],COLUMN(AN$1)-COLUMN($A$1),FALSE))</f>
        <v>2.4580043509297789E-3</v>
      </c>
      <c r="AN125" s="72">
        <f>IF(VLOOKUP($A125,raw[],COLUMN(AO$1)-COLUMN($A$1),FALSE)=0, VLOOKUP($D125, regions[], COLUMN(AO$1)-COLUMN($A$1), FALSE), VLOOKUP($A125,raw[],COLUMN(AO$1)-COLUMN($A$1),FALSE))</f>
        <v>4.2143535591497288E-3</v>
      </c>
      <c r="AO125" s="72">
        <f>IF(VLOOKUP($A125,raw[],COLUMN(AP$1)-COLUMN($A$1),FALSE)=0, VLOOKUP($D125, regions[], COLUMN(AP$1)-COLUMN($A$1), FALSE), VLOOKUP($A125,raw[],COLUMN(AP$1)-COLUMN($A$1),FALSE))</f>
        <v>7.0562475351473204E-3</v>
      </c>
      <c r="AP125" s="72">
        <f>IF(VLOOKUP($A125,raw[],COLUMN(AQ$1)-COLUMN($A$1),FALSE)=0, VLOOKUP($D125, regions[], COLUMN(AQ$1)-COLUMN($A$1), FALSE), VLOOKUP($A125,raw[],COLUMN(AQ$1)-COLUMN($A$1),FALSE))</f>
        <v>1.1396783036291771E-2</v>
      </c>
      <c r="AQ125" s="72">
        <f>IF(VLOOKUP($A125,raw[],COLUMN(AR$1)-COLUMN($A$1),FALSE)=0, VLOOKUP($D125, regions[], COLUMN(AR$1)-COLUMN($A$1), FALSE), VLOOKUP($A125,raw[],COLUMN(AR$1)-COLUMN($A$1),FALSE))</f>
        <v>1.8035765263121787E-2</v>
      </c>
      <c r="AR125" s="72">
        <f>IF(VLOOKUP($A125,raw[],COLUMN(AS$1)-COLUMN($A$1),FALSE)=0, VLOOKUP($D125, regions[], COLUMN(AS$1)-COLUMN($A$1), FALSE), VLOOKUP($A125,raw[],COLUMN(AS$1)-COLUMN($A$1),FALSE))</f>
        <v>3.0927293601049979E-2</v>
      </c>
      <c r="AS125" s="72">
        <f>IF(VLOOKUP($A125,raw[],COLUMN(AT$1)-COLUMN($A$1),FALSE)=0, VLOOKUP($D125, regions[], COLUMN(AT$1)-COLUMN($A$1), FALSE), VLOOKUP($A125,raw[],COLUMN(AT$1)-COLUMN($A$1),FALSE))</f>
        <v>5.1611262134234469E-2</v>
      </c>
      <c r="AT125" s="72">
        <f>IF(VLOOKUP($A125,raw[],COLUMN(AU$1)-COLUMN($A$1),FALSE)=0, VLOOKUP($D125, regions[], COLUMN(AU$1)-COLUMN($A$1), FALSE), VLOOKUP($A125,raw[],COLUMN(AU$1)-COLUMN($A$1),FALSE))</f>
        <v>8.0339742551862076E-2</v>
      </c>
      <c r="AU125" s="72">
        <f>IF(VLOOKUP($A125,raw[],COLUMN(AV$1)-COLUMN($A$1),FALSE)=0, VLOOKUP($D125, regions[], COLUMN(AV$1)-COLUMN($A$1), FALSE), VLOOKUP($A125,raw[],COLUMN(AV$1)-COLUMN($A$1),FALSE))</f>
        <v>0.11383684488647333</v>
      </c>
      <c r="AV125" s="72">
        <f>IF(VLOOKUP($A125,raw[],COLUMN(AW$1)-COLUMN($A$1),FALSE)=0, VLOOKUP($D125, regions[], COLUMN(AW$1)-COLUMN($A$1), FALSE), VLOOKUP($A125,raw[],COLUMN(AW$1)-COLUMN($A$1),FALSE))</f>
        <v>0.14455560452381014</v>
      </c>
      <c r="AW125" s="72">
        <f>IF(VLOOKUP($A125,raw[],COLUMN(AX$1)-COLUMN($A$1),FALSE)=0, VLOOKUP($D125, regions[], COLUMN(AX$1)-COLUMN($A$1), FALSE), VLOOKUP($A125,raw[],COLUMN(AX$1)-COLUMN($A$1),FALSE))</f>
        <v>0.16765105573113256</v>
      </c>
      <c r="AX125" s="72">
        <f>IF(VLOOKUP($A125,raw[],COLUMN(AY$1)-COLUMN($A$1),FALSE)=0, VLOOKUP($D125, regions[], COLUMN(AY$1)-COLUMN($A$1), FALSE), VLOOKUP($A125,raw[],COLUMN(AY$1)-COLUMN($A$1),FALSE))</f>
        <v>76.412000000000006</v>
      </c>
      <c r="AY125" t="str">
        <f t="shared" si="3"/>
        <v>No</v>
      </c>
    </row>
    <row r="126" spans="1:51" x14ac:dyDescent="0.25">
      <c r="A126" s="53" t="s">
        <v>472</v>
      </c>
      <c r="B126" s="54" t="s">
        <v>473</v>
      </c>
      <c r="C126" s="54">
        <v>792</v>
      </c>
      <c r="D126" s="54" t="s">
        <v>201</v>
      </c>
      <c r="E126" s="54" t="s">
        <v>197</v>
      </c>
      <c r="F126" s="54" t="s">
        <v>197</v>
      </c>
      <c r="G126" s="54" t="s">
        <v>204</v>
      </c>
      <c r="H126" s="73">
        <f>VLOOKUP(lmics[[#This Row],[setting]],raw[],8,FALSE)</f>
        <v>84339067</v>
      </c>
      <c r="I126" s="73">
        <f>VLOOKUP(lmics[[#This Row],[setting]],raw[],9,FALSE)</f>
        <v>1364521.7649929998</v>
      </c>
      <c r="J126" s="67">
        <f>IF(VLOOKUP($A126,raw[],COLUMN(J$1),FALSE)=0, VLOOKUP($D126, regions[], COLUMN(J$1), FALSE), VLOOKUP($A126,raw[],COLUMN(J$1),FALSE))</f>
        <v>0.97199999999999998</v>
      </c>
      <c r="K126" s="77">
        <f>VLOOKUP($A126, raw[], 11, FALSE)</f>
        <v>0.99</v>
      </c>
      <c r="L126" s="77">
        <f>VLOOKUP($A126, raw[], 12, FALSE)</f>
        <v>0.98</v>
      </c>
      <c r="M126" s="77">
        <f>IF(VLOOKUP($A126,raw[],COLUMN(M$1),FALSE)=0, VLOOKUP($D126, regions[], COLUMN(M$1), FALSE), VLOOKUP($A126,raw[],COLUMN(M$1),FALSE))</f>
        <v>3.3599999999999998E-2</v>
      </c>
      <c r="N126" s="68">
        <f>IF(VLOOKUP($A126,raw[],COLUMN(N$1),FALSE)=0, VLOOKUP($D126, regions[], COLUMN(N$1), FALSE), VLOOKUP($A126,raw[],COLUMN(N$1),FALSE))</f>
        <v>0.26035290193446103</v>
      </c>
      <c r="O126" s="67">
        <f>IF(VLOOKUP($A126,raw[],COLUMN(O$1),FALSE)=0, VLOOKUP($D126, regions[], COLUMN(O$1), FALSE), VLOOKUP($A126,raw[],COLUMN(O$1),FALSE))</f>
        <v>0.8</v>
      </c>
      <c r="P126" s="68">
        <f>IF(VLOOKUP($A126,raw[],COLUMN(P$1),FALSE)=0, VLOOKUP($D126, regions[], COLUMN(P$1), FALSE), VLOOKUP($A126,raw[],COLUMN(P$1),FALSE))</f>
        <v>0.17499999999999999</v>
      </c>
      <c r="Q126" s="70">
        <f>IF(VLOOKUP($A126,raw[],COLUMN(Q$1),FALSE)=0, VLOOKUP($D126, regions[], COLUMN(Q$1), FALSE), VLOOKUP($A126,raw[],COLUMN(Q$1),FALSE))</f>
        <v>17.3897577302881</v>
      </c>
      <c r="R126" s="70">
        <f>IF(VLOOKUP($A126,raw[],COLUMN(R$1),FALSE)=0, VLOOKUP($D126, regions[], COLUMN(R$1), FALSE), VLOOKUP($A126,raw[],COLUMN(R$1),FALSE))</f>
        <v>39.715137730288099</v>
      </c>
      <c r="S126" s="70">
        <f>IF(VLOOKUP($A126,raw[],COLUMN(S$1),FALSE)=0, VLOOKUP($D126, regions[], COLUMN(S$1), FALSE), VLOOKUP($A126,raw[],COLUMN(S$1),FALSE))</f>
        <v>130.04887233115298</v>
      </c>
      <c r="T126" s="70">
        <f>IF(VLOOKUP($A126,raw[],COLUMN(U$1)-COLUMN($A$1),FALSE)=0, VLOOKUP($D126, regions[], COLUMN(U$1)-COLUMN($A$1), FALSE), VLOOKUP($A126,raw[],COLUMN(U$1)-COLUMN($A$1),FALSE))</f>
        <v>161.85643519575268</v>
      </c>
      <c r="U126" s="70">
        <f>IF(VLOOKUP($A126,raw[],COLUMN(V$1)-COLUMN($A$1),FALSE)=0, VLOOKUP($D126, regions[], COLUMN(V$1)-COLUMN($A$1), FALSE), VLOOKUP($A126,raw[],COLUMN(V$1)-COLUMN($A$1),FALSE))</f>
        <v>147.25107465455631</v>
      </c>
      <c r="V126" s="70">
        <f>IF(VLOOKUP($A126,raw[],COLUMN(W$1)-COLUMN($A$1),FALSE)=0, VLOOKUP($D126, regions[], COLUMN(W$1)-COLUMN($A$1), FALSE), VLOOKUP($A126,raw[],COLUMN(W$1)-COLUMN($A$1),FALSE))</f>
        <v>4.5026018395645444</v>
      </c>
      <c r="W126" s="70">
        <f>IF(VLOOKUP($A126,raw[],COLUMN(X$1)-COLUMN($A$1),FALSE)=0, VLOOKUP($D126, regions[], COLUMN(X$1)-COLUMN($A$1), FALSE), VLOOKUP($A126,raw[],COLUMN(X$1)-COLUMN($A$1),FALSE))</f>
        <v>4.9826018395645448</v>
      </c>
      <c r="X126" s="70">
        <f>IF(VLOOKUP($A126,raw[],COLUMN(Y$1)-COLUMN($A$1),FALSE)=0, VLOOKUP($D126, regions[], COLUMN(Y$1)-COLUMN($A$1), FALSE), VLOOKUP($A126,raw[],COLUMN(Y$1)-COLUMN($A$1),FALSE))</f>
        <v>4.0743139237824764</v>
      </c>
      <c r="Y126" s="70">
        <f>IF(VLOOKUP($A126,raw[],COLUMN(Z$1)-COLUMN($A$1),FALSE)=0, VLOOKUP($D126, regions[], COLUMN(Z$1)-COLUMN($A$1), FALSE), VLOOKUP($A126,raw[],COLUMN(Z$1)-COLUMN($A$1),FALSE))</f>
        <v>4.5543139237824768</v>
      </c>
      <c r="Z126" s="70">
        <f>IF(VLOOKUP($A126,raw[],COLUMN(AA$1)-COLUMN($A$1),FALSE)=0, VLOOKUP($D126, regions[], COLUMN(AA$1)-COLUMN($A$1), FALSE), VLOOKUP($A126,raw[],COLUMN(AA$1)-COLUMN($A$1),FALSE))</f>
        <v>4.5432734261107584</v>
      </c>
      <c r="AA126" s="70">
        <f>IF(VLOOKUP($A126,raw[],COLUMN(AB$1)-COLUMN($A$1),FALSE)=0, VLOOKUP($D126, regions[], COLUMN(AB$1)-COLUMN($A$1), FALSE), VLOOKUP($A126,raw[],COLUMN(AB$1)-COLUMN($A$1),FALSE))</f>
        <v>4.7140557187283054</v>
      </c>
      <c r="AB126" s="70">
        <f>IF(VLOOKUP($A126,raw[],COLUMN(AC$1)-COLUMN($A$1),FALSE)=0, VLOOKUP($D126, regions[], COLUMN(AC$1)-COLUMN($A$1), FALSE), VLOOKUP($A126,raw[],COLUMN(AC$1)-COLUMN($A$1),FALSE))</f>
        <v>5.1940557187283058</v>
      </c>
      <c r="AC126" s="72">
        <f>IF(VLOOKUP($A126,raw[],COLUMN(AD$1)-COLUMN($A$1),FALSE)=0, VLOOKUP($D126, regions[], COLUMN(AD$1)-COLUMN($A$1), FALSE), VLOOKUP($A126,raw[],COLUMN(AD$1)-COLUMN($A$1),FALSE))</f>
        <v>8.9014999999999424E-3</v>
      </c>
      <c r="AD126" s="72">
        <f>IF(VLOOKUP($A126,raw[],COLUMN(AE$1)-COLUMN($A$1),FALSE)=0, VLOOKUP($D126, regions[], COLUMN(AE$1)-COLUMN($A$1), FALSE), VLOOKUP($A126,raw[],COLUMN(AE$1)-COLUMN($A$1),FALSE))</f>
        <v>1.097020124639483E-3</v>
      </c>
      <c r="AE126" s="72">
        <f>IF(VLOOKUP($A126,raw[],COLUMN(AF$1)-COLUMN($A$1),FALSE)=0, VLOOKUP($D126, regions[], COLUMN(AF$1)-COLUMN($A$1), FALSE), VLOOKUP($A126,raw[],COLUMN(AF$1)-COLUMN($A$1),FALSE))</f>
        <v>6.8233732436322344E-4</v>
      </c>
      <c r="AF126" s="72">
        <f>IF(VLOOKUP($A126,raw[],COLUMN(AG$1)-COLUMN($A$1),FALSE)=0, VLOOKUP($D126, regions[], COLUMN(AG$1)-COLUMN($A$1), FALSE), VLOOKUP($A126,raw[],COLUMN(AG$1)-COLUMN($A$1),FALSE))</f>
        <v>5.8293869224911119E-4</v>
      </c>
      <c r="AG126" s="72">
        <f>IF(VLOOKUP($A126,raw[],COLUMN(AH$1)-COLUMN($A$1),FALSE)=0, VLOOKUP($D126, regions[], COLUMN(AH$1)-COLUMN($A$1), FALSE), VLOOKUP($A126,raw[],COLUMN(AH$1)-COLUMN($A$1),FALSE))</f>
        <v>6.9161083369162935E-4</v>
      </c>
      <c r="AH126" s="72">
        <f>IF(VLOOKUP($A126,raw[],COLUMN(AI$1)-COLUMN($A$1),FALSE)=0, VLOOKUP($D126, regions[], COLUMN(AI$1)-COLUMN($A$1), FALSE), VLOOKUP($A126,raw[],COLUMN(AI$1)-COLUMN($A$1),FALSE))</f>
        <v>9.610203211651119E-4</v>
      </c>
      <c r="AI126" s="72">
        <f>IF(VLOOKUP($A126,raw[],COLUMN(AJ$1)-COLUMN($A$1),FALSE)=0, VLOOKUP($D126, regions[], COLUMN(AJ$1)-COLUMN($A$1), FALSE), VLOOKUP($A126,raw[],COLUMN(AJ$1)-COLUMN($A$1),FALSE))</f>
        <v>1.1743539157698713E-3</v>
      </c>
      <c r="AJ126" s="72">
        <f>IF(VLOOKUP($A126,raw[],COLUMN(AK$1)-COLUMN($A$1),FALSE)=0, VLOOKUP($D126, regions[], COLUMN(AK$1)-COLUMN($A$1), FALSE), VLOOKUP($A126,raw[],COLUMN(AK$1)-COLUMN($A$1),FALSE))</f>
        <v>1.3773674385343317E-3</v>
      </c>
      <c r="AK126" s="72">
        <f>IF(VLOOKUP($A126,raw[],COLUMN(AL$1)-COLUMN($A$1),FALSE)=0, VLOOKUP($D126, regions[], COLUMN(AL$1)-COLUMN($A$1), FALSE), VLOOKUP($A126,raw[],COLUMN(AL$1)-COLUMN($A$1),FALSE))</f>
        <v>1.63236314837688E-3</v>
      </c>
      <c r="AL126" s="72">
        <f>IF(VLOOKUP($A126,raw[],COLUMN(AM$1)-COLUMN($A$1),FALSE)=0, VLOOKUP($D126, regions[], COLUMN(AM$1)-COLUMN($A$1), FALSE), VLOOKUP($A126,raw[],COLUMN(AM$1)-COLUMN($A$1),FALSE))</f>
        <v>2.0036536018016877E-3</v>
      </c>
      <c r="AM126" s="72">
        <f>IF(VLOOKUP($A126,raw[],COLUMN(AN$1)-COLUMN($A$1),FALSE)=0, VLOOKUP($D126, regions[], COLUMN(AN$1)-COLUMN($A$1), FALSE), VLOOKUP($A126,raw[],COLUMN(AN$1)-COLUMN($A$1),FALSE))</f>
        <v>2.5905013303449825E-3</v>
      </c>
      <c r="AN126" s="72">
        <f>IF(VLOOKUP($A126,raw[],COLUMN(AO$1)-COLUMN($A$1),FALSE)=0, VLOOKUP($D126, regions[], COLUMN(AO$1)-COLUMN($A$1), FALSE), VLOOKUP($A126,raw[],COLUMN(AO$1)-COLUMN($A$1),FALSE))</f>
        <v>3.5336754952400335E-3</v>
      </c>
      <c r="AO126" s="72">
        <f>IF(VLOOKUP($A126,raw[],COLUMN(AP$1)-COLUMN($A$1),FALSE)=0, VLOOKUP($D126, regions[], COLUMN(AP$1)-COLUMN($A$1), FALSE), VLOOKUP($A126,raw[],COLUMN(AP$1)-COLUMN($A$1),FALSE))</f>
        <v>5.2342069954233695E-3</v>
      </c>
      <c r="AP126" s="72">
        <f>IF(VLOOKUP($A126,raw[],COLUMN(AQ$1)-COLUMN($A$1),FALSE)=0, VLOOKUP($D126, regions[], COLUMN(AQ$1)-COLUMN($A$1), FALSE), VLOOKUP($A126,raw[],COLUMN(AQ$1)-COLUMN($A$1),FALSE))</f>
        <v>8.141221637455922E-3</v>
      </c>
      <c r="AQ126" s="72">
        <f>IF(VLOOKUP($A126,raw[],COLUMN(AR$1)-COLUMN($A$1),FALSE)=0, VLOOKUP($D126, regions[], COLUMN(AR$1)-COLUMN($A$1), FALSE), VLOOKUP($A126,raw[],COLUMN(AR$1)-COLUMN($A$1),FALSE))</f>
        <v>1.3253706198103562E-2</v>
      </c>
      <c r="AR126" s="72">
        <f>IF(VLOOKUP($A126,raw[],COLUMN(AS$1)-COLUMN($A$1),FALSE)=0, VLOOKUP($D126, regions[], COLUMN(AS$1)-COLUMN($A$1), FALSE), VLOOKUP($A126,raw[],COLUMN(AS$1)-COLUMN($A$1),FALSE))</f>
        <v>2.3686231366021757E-2</v>
      </c>
      <c r="AS126" s="72">
        <f>IF(VLOOKUP($A126,raw[],COLUMN(AT$1)-COLUMN($A$1),FALSE)=0, VLOOKUP($D126, regions[], COLUMN(AT$1)-COLUMN($A$1), FALSE), VLOOKUP($A126,raw[],COLUMN(AT$1)-COLUMN($A$1),FALSE))</f>
        <v>4.1915463863461941E-2</v>
      </c>
      <c r="AT126" s="72">
        <f>IF(VLOOKUP($A126,raw[],COLUMN(AU$1)-COLUMN($A$1),FALSE)=0, VLOOKUP($D126, regions[], COLUMN(AU$1)-COLUMN($A$1), FALSE), VLOOKUP($A126,raw[],COLUMN(AU$1)-COLUMN($A$1),FALSE))</f>
        <v>6.9301655157393394E-2</v>
      </c>
      <c r="AU126" s="72">
        <f>IF(VLOOKUP($A126,raw[],COLUMN(AV$1)-COLUMN($A$1),FALSE)=0, VLOOKUP($D126, regions[], COLUMN(AV$1)-COLUMN($A$1), FALSE), VLOOKUP($A126,raw[],COLUMN(AV$1)-COLUMN($A$1),FALSE))</f>
        <v>0.10394418678596659</v>
      </c>
      <c r="AV126" s="72">
        <f>IF(VLOOKUP($A126,raw[],COLUMN(AW$1)-COLUMN($A$1),FALSE)=0, VLOOKUP($D126, regions[], COLUMN(AW$1)-COLUMN($A$1), FALSE), VLOOKUP($A126,raw[],COLUMN(AW$1)-COLUMN($A$1),FALSE))</f>
        <v>0.13985879158367465</v>
      </c>
      <c r="AW126" s="72">
        <f>IF(VLOOKUP($A126,raw[],COLUMN(AX$1)-COLUMN($A$1),FALSE)=0, VLOOKUP($D126, regions[], COLUMN(AX$1)-COLUMN($A$1), FALSE), VLOOKUP($A126,raw[],COLUMN(AX$1)-COLUMN($A$1),FALSE))</f>
        <v>0.16827629047061654</v>
      </c>
      <c r="AX126" s="72">
        <f>IF(VLOOKUP($A126,raw[],COLUMN(AY$1)-COLUMN($A$1),FALSE)=0, VLOOKUP($D126, regions[], COLUMN(AY$1)-COLUMN($A$1), FALSE), VLOOKUP($A126,raw[],COLUMN(AY$1)-COLUMN($A$1),FALSE))</f>
        <v>77.307000000000002</v>
      </c>
      <c r="AY126" t="str">
        <f t="shared" si="3"/>
        <v>No</v>
      </c>
    </row>
    <row r="127" spans="1:51" x14ac:dyDescent="0.25">
      <c r="A127" s="55" t="s">
        <v>474</v>
      </c>
      <c r="B127" s="56" t="s">
        <v>475</v>
      </c>
      <c r="C127" s="56">
        <v>795</v>
      </c>
      <c r="D127" s="56" t="s">
        <v>201</v>
      </c>
      <c r="E127" s="56" t="s">
        <v>220</v>
      </c>
      <c r="F127" s="56" t="s">
        <v>203</v>
      </c>
      <c r="G127" s="56" t="s">
        <v>204</v>
      </c>
      <c r="H127" s="74">
        <f>VLOOKUP(lmics[[#This Row],[setting]],raw[],8,FALSE)</f>
        <v>6031187</v>
      </c>
      <c r="I127" s="74">
        <f>VLOOKUP(lmics[[#This Row],[setting]],raw[],9,FALSE)</f>
        <v>144651.989008</v>
      </c>
      <c r="J127" s="67">
        <f>IF(VLOOKUP($A127,raw[],COLUMN(J$1),FALSE)=0, VLOOKUP($D127, regions[], COLUMN(J$1), FALSE), VLOOKUP($A127,raw[],COLUMN(J$1),FALSE))</f>
        <v>0.999</v>
      </c>
      <c r="K127" s="77">
        <f>VLOOKUP($A127, raw[], 11, FALSE)</f>
        <v>0.99</v>
      </c>
      <c r="L127" s="77">
        <f>VLOOKUP($A127, raw[], 12, FALSE)</f>
        <v>0.99</v>
      </c>
      <c r="M127" s="77">
        <f>IF(VLOOKUP($A127,raw[],COLUMN(M$1),FALSE)=0, VLOOKUP($D127, regions[], COLUMN(M$1), FALSE), VLOOKUP($A127,raw[],COLUMN(M$1),FALSE))</f>
        <v>2.1600000000000001E-2</v>
      </c>
      <c r="N127" s="68">
        <f>IF(VLOOKUP($A127,raw[],COLUMN(N$1),FALSE)=0, VLOOKUP($D127, regions[], COLUMN(N$1), FALSE), VLOOKUP($A127,raw[],COLUMN(N$1),FALSE))</f>
        <v>0.29844783701106414</v>
      </c>
      <c r="O127" s="67">
        <f>IF(VLOOKUP($A127,raw[],COLUMN(O$1),FALSE)=0, VLOOKUP($D127, regions[], COLUMN(O$1), FALSE), VLOOKUP($A127,raw[],COLUMN(O$1),FALSE))</f>
        <v>0.8</v>
      </c>
      <c r="P127" s="68">
        <f>IF(VLOOKUP($A127,raw[],COLUMN(P$1),FALSE)=0, VLOOKUP($D127, regions[], COLUMN(P$1), FALSE), VLOOKUP($A127,raw[],COLUMN(P$1),FALSE))</f>
        <v>0.17499999999999999</v>
      </c>
      <c r="Q127" s="70">
        <f>IF(VLOOKUP($A127,raw[],COLUMN(Q$1),FALSE)=0, VLOOKUP($D127, regions[], COLUMN(Q$1), FALSE), VLOOKUP($A127,raw[],COLUMN(Q$1),FALSE))</f>
        <v>8.1249497263290298</v>
      </c>
      <c r="R127" s="70">
        <f>IF(VLOOKUP($A127,raw[],COLUMN(R$1),FALSE)=0, VLOOKUP($D127, regions[], COLUMN(R$1), FALSE), VLOOKUP($A127,raw[],COLUMN(R$1),FALSE))</f>
        <v>30.450329726329031</v>
      </c>
      <c r="S127" s="70">
        <f>IF(VLOOKUP($A127,raw[],COLUMN(S$1),FALSE)=0, VLOOKUP($D127, regions[], COLUMN(S$1), FALSE), VLOOKUP($A127,raw[],COLUMN(S$1),FALSE))</f>
        <v>78.849495903092361</v>
      </c>
      <c r="T127" s="70">
        <f>IF(VLOOKUP($A127,raw[],COLUMN(U$1)-COLUMN($A$1),FALSE)=0, VLOOKUP($D127, regions[], COLUMN(U$1)-COLUMN($A$1), FALSE), VLOOKUP($A127,raw[],COLUMN(U$1)-COLUMN($A$1),FALSE))</f>
        <v>88.831581564232266</v>
      </c>
      <c r="U127" s="70">
        <f>IF(VLOOKUP($A127,raw[],COLUMN(V$1)-COLUMN($A$1),FALSE)=0, VLOOKUP($D127, regions[], COLUMN(V$1)-COLUMN($A$1), FALSE), VLOOKUP($A127,raw[],COLUMN(V$1)-COLUMN($A$1),FALSE))</f>
        <v>84.248018823048028</v>
      </c>
      <c r="V127" s="70">
        <f>IF(VLOOKUP($A127,raw[],COLUMN(W$1)-COLUMN($A$1),FALSE)=0, VLOOKUP($D127, regions[], COLUMN(W$1)-COLUMN($A$1), FALSE), VLOOKUP($A127,raw[],COLUMN(W$1)-COLUMN($A$1),FALSE))</f>
        <v>6.825519968601089</v>
      </c>
      <c r="W127" s="70">
        <f>IF(VLOOKUP($A127,raw[],COLUMN(X$1)-COLUMN($A$1),FALSE)=0, VLOOKUP($D127, regions[], COLUMN(X$1)-COLUMN($A$1), FALSE), VLOOKUP($A127,raw[],COLUMN(X$1)-COLUMN($A$1),FALSE))</f>
        <v>10.895519968601089</v>
      </c>
      <c r="X127" s="70">
        <f>IF(VLOOKUP($A127,raw[],COLUMN(Y$1)-COLUMN($A$1),FALSE)=0, VLOOKUP($D127, regions[], COLUMN(Y$1)-COLUMN($A$1), FALSE), VLOOKUP($A127,raw[],COLUMN(Y$1)-COLUMN($A$1),FALSE))</f>
        <v>6.4005480242864969</v>
      </c>
      <c r="Y127" s="70">
        <f>IF(VLOOKUP($A127,raw[],COLUMN(Z$1)-COLUMN($A$1),FALSE)=0, VLOOKUP($D127, regions[], COLUMN(Z$1)-COLUMN($A$1), FALSE), VLOOKUP($A127,raw[],COLUMN(Z$1)-COLUMN($A$1),FALSE))</f>
        <v>10.470548024286497</v>
      </c>
      <c r="Z127" s="70">
        <f>IF(VLOOKUP($A127,raw[],COLUMN(AA$1)-COLUMN($A$1),FALSE)=0, VLOOKUP($D127, regions[], COLUMN(AA$1)-COLUMN($A$1), FALSE), VLOOKUP($A127,raw[],COLUMN(AA$1)-COLUMN($A$1),FALSE))</f>
        <v>10.461020004256071</v>
      </c>
      <c r="AA127" s="70">
        <f>IF(VLOOKUP($A127,raw[],COLUMN(AB$1)-COLUMN($A$1),FALSE)=0, VLOOKUP($D127, regions[], COLUMN(AB$1)-COLUMN($A$1), FALSE), VLOOKUP($A127,raw[],COLUMN(AB$1)-COLUMN($A$1),FALSE))</f>
        <v>7.0357916318503584</v>
      </c>
      <c r="AB127" s="70">
        <f>IF(VLOOKUP($A127,raw[],COLUMN(AC$1)-COLUMN($A$1),FALSE)=0, VLOOKUP($D127, regions[], COLUMN(AC$1)-COLUMN($A$1), FALSE), VLOOKUP($A127,raw[],COLUMN(AC$1)-COLUMN($A$1),FALSE))</f>
        <v>11.105791631850359</v>
      </c>
      <c r="AC127" s="72">
        <f>IF(VLOOKUP($A127,raw[],COLUMN(AD$1)-COLUMN($A$1),FALSE)=0, VLOOKUP($D127, regions[], COLUMN(AD$1)-COLUMN($A$1), FALSE), VLOOKUP($A127,raw[],COLUMN(AD$1)-COLUMN($A$1),FALSE))</f>
        <v>4.3312250000000059E-2</v>
      </c>
      <c r="AD127" s="72">
        <f>IF(VLOOKUP($A127,raw[],COLUMN(AE$1)-COLUMN($A$1),FALSE)=0, VLOOKUP($D127, regions[], COLUMN(AE$1)-COLUMN($A$1), FALSE), VLOOKUP($A127,raw[],COLUMN(AE$1)-COLUMN($A$1),FALSE))</f>
        <v>2.129730938856475E-3</v>
      </c>
      <c r="AE127" s="72">
        <f>IF(VLOOKUP($A127,raw[],COLUMN(AF$1)-COLUMN($A$1),FALSE)=0, VLOOKUP($D127, regions[], COLUMN(AF$1)-COLUMN($A$1), FALSE), VLOOKUP($A127,raw[],COLUMN(AF$1)-COLUMN($A$1),FALSE))</f>
        <v>3.8614591848633219E-4</v>
      </c>
      <c r="AF127" s="72">
        <f>IF(VLOOKUP($A127,raw[],COLUMN(AG$1)-COLUMN($A$1),FALSE)=0, VLOOKUP($D127, regions[], COLUMN(AG$1)-COLUMN($A$1), FALSE), VLOOKUP($A127,raw[],COLUMN(AG$1)-COLUMN($A$1),FALSE))</f>
        <v>3.7855029673770072E-4</v>
      </c>
      <c r="AG127" s="72">
        <f>IF(VLOOKUP($A127,raw[],COLUMN(AH$1)-COLUMN($A$1),FALSE)=0, VLOOKUP($D127, regions[], COLUMN(AH$1)-COLUMN($A$1), FALSE), VLOOKUP($A127,raw[],COLUMN(AH$1)-COLUMN($A$1),FALSE))</f>
        <v>8.7258683867233228E-4</v>
      </c>
      <c r="AH127" s="72">
        <f>IF(VLOOKUP($A127,raw[],COLUMN(AI$1)-COLUMN($A$1),FALSE)=0, VLOOKUP($D127, regions[], COLUMN(AI$1)-COLUMN($A$1), FALSE), VLOOKUP($A127,raw[],COLUMN(AI$1)-COLUMN($A$1),FALSE))</f>
        <v>1.1692106846790363E-3</v>
      </c>
      <c r="AI127" s="72">
        <f>IF(VLOOKUP($A127,raw[],COLUMN(AJ$1)-COLUMN($A$1),FALSE)=0, VLOOKUP($D127, regions[], COLUMN(AJ$1)-COLUMN($A$1), FALSE), VLOOKUP($A127,raw[],COLUMN(AJ$1)-COLUMN($A$1),FALSE))</f>
        <v>1.5081578317309081E-3</v>
      </c>
      <c r="AJ127" s="72">
        <f>IF(VLOOKUP($A127,raw[],COLUMN(AK$1)-COLUMN($A$1),FALSE)=0, VLOOKUP($D127, regions[], COLUMN(AK$1)-COLUMN($A$1), FALSE), VLOOKUP($A127,raw[],COLUMN(AK$1)-COLUMN($A$1),FALSE))</f>
        <v>2.0588723473310682E-3</v>
      </c>
      <c r="AK127" s="72">
        <f>IF(VLOOKUP($A127,raw[],COLUMN(AL$1)-COLUMN($A$1),FALSE)=0, VLOOKUP($D127, regions[], COLUMN(AL$1)-COLUMN($A$1), FALSE), VLOOKUP($A127,raw[],COLUMN(AL$1)-COLUMN($A$1),FALSE))</f>
        <v>2.9092955576564454E-3</v>
      </c>
      <c r="AL127" s="72">
        <f>IF(VLOOKUP($A127,raw[],COLUMN(AM$1)-COLUMN($A$1),FALSE)=0, VLOOKUP($D127, regions[], COLUMN(AM$1)-COLUMN($A$1), FALSE), VLOOKUP($A127,raw[],COLUMN(AM$1)-COLUMN($A$1),FALSE))</f>
        <v>4.1052005978659692E-3</v>
      </c>
      <c r="AM127" s="72">
        <f>IF(VLOOKUP($A127,raw[],COLUMN(AN$1)-COLUMN($A$1),FALSE)=0, VLOOKUP($D127, regions[], COLUMN(AN$1)-COLUMN($A$1), FALSE), VLOOKUP($A127,raw[],COLUMN(AN$1)-COLUMN($A$1),FALSE))</f>
        <v>5.6972405639618157E-3</v>
      </c>
      <c r="AN127" s="72">
        <f>IF(VLOOKUP($A127,raw[],COLUMN(AO$1)-COLUMN($A$1),FALSE)=0, VLOOKUP($D127, regions[], COLUMN(AO$1)-COLUMN($A$1), FALSE), VLOOKUP($A127,raw[],COLUMN(AO$1)-COLUMN($A$1),FALSE))</f>
        <v>8.9457697662400984E-3</v>
      </c>
      <c r="AO127" s="72">
        <f>IF(VLOOKUP($A127,raw[],COLUMN(AP$1)-COLUMN($A$1),FALSE)=0, VLOOKUP($D127, regions[], COLUMN(AP$1)-COLUMN($A$1), FALSE), VLOOKUP($A127,raw[],COLUMN(AP$1)-COLUMN($A$1),FALSE))</f>
        <v>1.3143500886882237E-2</v>
      </c>
      <c r="AP127" s="72">
        <f>IF(VLOOKUP($A127,raw[],COLUMN(AQ$1)-COLUMN($A$1),FALSE)=0, VLOOKUP($D127, regions[], COLUMN(AQ$1)-COLUMN($A$1), FALSE), VLOOKUP($A127,raw[],COLUMN(AQ$1)-COLUMN($A$1),FALSE))</f>
        <v>2.1633277094430886E-2</v>
      </c>
      <c r="AQ127" s="72">
        <f>IF(VLOOKUP($A127,raw[],COLUMN(AR$1)-COLUMN($A$1),FALSE)=0, VLOOKUP($D127, regions[], COLUMN(AR$1)-COLUMN($A$1), FALSE), VLOOKUP($A127,raw[],COLUMN(AR$1)-COLUMN($A$1),FALSE))</f>
        <v>2.7878235961389927E-2</v>
      </c>
      <c r="AR127" s="72">
        <f>IF(VLOOKUP($A127,raw[],COLUMN(AS$1)-COLUMN($A$1),FALSE)=0, VLOOKUP($D127, regions[], COLUMN(AS$1)-COLUMN($A$1), FALSE), VLOOKUP($A127,raw[],COLUMN(AS$1)-COLUMN($A$1),FALSE))</f>
        <v>5.0225199226431996E-2</v>
      </c>
      <c r="AS127" s="72">
        <f>IF(VLOOKUP($A127,raw[],COLUMN(AT$1)-COLUMN($A$1),FALSE)=0, VLOOKUP($D127, regions[], COLUMN(AT$1)-COLUMN($A$1), FALSE), VLOOKUP($A127,raw[],COLUMN(AT$1)-COLUMN($A$1),FALSE))</f>
        <v>5.4753581410580343E-2</v>
      </c>
      <c r="AT127" s="72">
        <f>IF(VLOOKUP($A127,raw[],COLUMN(AU$1)-COLUMN($A$1),FALSE)=0, VLOOKUP($D127, regions[], COLUMN(AU$1)-COLUMN($A$1), FALSE), VLOOKUP($A127,raw[],COLUMN(AU$1)-COLUMN($A$1),FALSE))</f>
        <v>8.982279599249865E-2</v>
      </c>
      <c r="AU127" s="72">
        <f>IF(VLOOKUP($A127,raw[],COLUMN(AV$1)-COLUMN($A$1),FALSE)=0, VLOOKUP($D127, regions[], COLUMN(AV$1)-COLUMN($A$1), FALSE), VLOOKUP($A127,raw[],COLUMN(AV$1)-COLUMN($A$1),FALSE))</f>
        <v>0.1190525940821109</v>
      </c>
      <c r="AV127" s="72">
        <f>IF(VLOOKUP($A127,raw[],COLUMN(AW$1)-COLUMN($A$1),FALSE)=0, VLOOKUP($D127, regions[], COLUMN(AW$1)-COLUMN($A$1), FALSE), VLOOKUP($A127,raw[],COLUMN(AW$1)-COLUMN($A$1),FALSE))</f>
        <v>0.14721758250382633</v>
      </c>
      <c r="AW127" s="72">
        <f>IF(VLOOKUP($A127,raw[],COLUMN(AX$1)-COLUMN($A$1),FALSE)=0, VLOOKUP($D127, regions[], COLUMN(AX$1)-COLUMN($A$1), FALSE), VLOOKUP($A127,raw[],COLUMN(AX$1)-COLUMN($A$1),FALSE))</f>
        <v>0.16884971526321041</v>
      </c>
      <c r="AX127" s="72">
        <f>IF(VLOOKUP($A127,raw[],COLUMN(AY$1)-COLUMN($A$1),FALSE)=0, VLOOKUP($D127, regions[], COLUMN(AY$1)-COLUMN($A$1), FALSE), VLOOKUP($A127,raw[],COLUMN(AY$1)-COLUMN($A$1),FALSE))</f>
        <v>67.983000000000004</v>
      </c>
      <c r="AY127" t="str">
        <f t="shared" si="3"/>
        <v>No</v>
      </c>
    </row>
    <row r="128" spans="1:51" x14ac:dyDescent="0.25">
      <c r="A128" s="53" t="s">
        <v>476</v>
      </c>
      <c r="B128" s="54" t="s">
        <v>477</v>
      </c>
      <c r="C128" s="54">
        <v>798</v>
      </c>
      <c r="D128" s="54" t="s">
        <v>260</v>
      </c>
      <c r="E128" s="54" t="s">
        <v>309</v>
      </c>
      <c r="F128" s="54" t="s">
        <v>262</v>
      </c>
      <c r="G128" s="54" t="s">
        <v>204</v>
      </c>
      <c r="H128" s="73">
        <f>VLOOKUP(lmics[[#This Row],[setting]],raw[],8,FALSE)</f>
        <v>11792</v>
      </c>
      <c r="I128" s="73">
        <f>VLOOKUP(lmics[[#This Row],[setting]],raw[],9,FALSE)</f>
        <v>270.86223999999999</v>
      </c>
      <c r="J128" s="67">
        <f>IF(VLOOKUP($A128,raw[],COLUMN(J$1),FALSE)=0, VLOOKUP($D128, regions[], COLUMN(J$1), FALSE), VLOOKUP($A128,raw[],COLUMN(J$1),FALSE))</f>
        <v>0.93</v>
      </c>
      <c r="K128" s="77">
        <f>VLOOKUP($A128, raw[], 11, FALSE)</f>
        <v>0.99</v>
      </c>
      <c r="L128" s="77">
        <f>VLOOKUP($A128, raw[], 12, FALSE)</f>
        <v>0.93</v>
      </c>
      <c r="M128" s="77">
        <f>IF(VLOOKUP($A128,raw[],COLUMN(M$1),FALSE)=0, VLOOKUP($D128, regions[], COLUMN(M$1), FALSE), VLOOKUP($A128,raw[],COLUMN(M$1),FALSE))</f>
        <v>5.3499999999999999E-2</v>
      </c>
      <c r="N128" s="68">
        <f>IF(VLOOKUP($A128,raw[],COLUMN(N$1),FALSE)=0, VLOOKUP($D128, regions[], COLUMN(N$1), FALSE), VLOOKUP($A128,raw[],COLUMN(N$1),FALSE))</f>
        <v>0.33308913563627279</v>
      </c>
      <c r="O128" s="67">
        <f>IF(VLOOKUP($A128,raw[],COLUMN(O$1),FALSE)=0, VLOOKUP($D128, regions[], COLUMN(O$1), FALSE), VLOOKUP($A128,raw[],COLUMN(O$1),FALSE))</f>
        <v>0.8</v>
      </c>
      <c r="P128" s="68">
        <f>IF(VLOOKUP($A128,raw[],COLUMN(P$1),FALSE)=0, VLOOKUP($D128, regions[], COLUMN(P$1), FALSE), VLOOKUP($A128,raw[],COLUMN(P$1),FALSE))</f>
        <v>0.17499999999999999</v>
      </c>
      <c r="Q128" s="70">
        <f>IF(VLOOKUP($A128,raw[],COLUMN(Q$1),FALSE)=0, VLOOKUP($D128, regions[], COLUMN(Q$1), FALSE), VLOOKUP($A128,raw[],COLUMN(Q$1),FALSE))</f>
        <v>7.3863738956453497</v>
      </c>
      <c r="R128" s="70">
        <f>IF(VLOOKUP($A128,raw[],COLUMN(R$1),FALSE)=0, VLOOKUP($D128, regions[], COLUMN(R$1), FALSE), VLOOKUP($A128,raw[],COLUMN(R$1),FALSE))</f>
        <v>29.711753895645352</v>
      </c>
      <c r="S128" s="70">
        <f>IF(VLOOKUP($A128,raw[],COLUMN(S$1),FALSE)=0, VLOOKUP($D128, regions[], COLUMN(S$1), FALSE), VLOOKUP($A128,raw[],COLUMN(S$1),FALSE))</f>
        <v>69.97988223422719</v>
      </c>
      <c r="T128" s="70">
        <f>IF(VLOOKUP($A128,raw[],COLUMN(U$1)-COLUMN($A$1),FALSE)=0, VLOOKUP($D128, regions[], COLUMN(U$1)-COLUMN($A$1), FALSE), VLOOKUP($A128,raw[],COLUMN(U$1)-COLUMN($A$1),FALSE))</f>
        <v>75.730046889696212</v>
      </c>
      <c r="U128" s="70">
        <f>IF(VLOOKUP($A128,raw[],COLUMN(V$1)-COLUMN($A$1),FALSE)=0, VLOOKUP($D128, regions[], COLUMN(V$1)-COLUMN($A$1), FALSE), VLOOKUP($A128,raw[],COLUMN(V$1)-COLUMN($A$1),FALSE))</f>
        <v>73.089692822901668</v>
      </c>
      <c r="V128" s="70">
        <f>IF(VLOOKUP($A128,raw[],COLUMN(W$1)-COLUMN($A$1),FALSE)=0, VLOOKUP($D128, regions[], COLUMN(W$1)-COLUMN($A$1), FALSE), VLOOKUP($A128,raw[],COLUMN(W$1)-COLUMN($A$1),FALSE))</f>
        <v>17.099831850747904</v>
      </c>
      <c r="W128" s="70">
        <f>IF(VLOOKUP($A128,raw[],COLUMN(X$1)-COLUMN($A$1),FALSE)=0, VLOOKUP($D128, regions[], COLUMN(X$1)-COLUMN($A$1), FALSE), VLOOKUP($A128,raw[],COLUMN(X$1)-COLUMN($A$1),FALSE))</f>
        <v>17.729831850747903</v>
      </c>
      <c r="X128" s="70">
        <f>IF(VLOOKUP($A128,raw[],COLUMN(Y$1)-COLUMN($A$1),FALSE)=0, VLOOKUP($D128, regions[], COLUMN(Y$1)-COLUMN($A$1), FALSE), VLOOKUP($A128,raw[],COLUMN(Y$1)-COLUMN($A$1),FALSE))</f>
        <v>16.686226363535543</v>
      </c>
      <c r="Y128" s="70">
        <f>IF(VLOOKUP($A128,raw[],COLUMN(Z$1)-COLUMN($A$1),FALSE)=0, VLOOKUP($D128, regions[], COLUMN(Z$1)-COLUMN($A$1), FALSE), VLOOKUP($A128,raw[],COLUMN(Z$1)-COLUMN($A$1),FALSE))</f>
        <v>17.316226363535542</v>
      </c>
      <c r="Z128" s="70">
        <f>IF(VLOOKUP($A128,raw[],COLUMN(AA$1)-COLUMN($A$1),FALSE)=0, VLOOKUP($D128, regions[], COLUMN(AA$1)-COLUMN($A$1), FALSE), VLOOKUP($A128,raw[],COLUMN(AA$1)-COLUMN($A$1),FALSE))</f>
        <v>17.311424963635179</v>
      </c>
      <c r="AA128" s="70">
        <f>IF(VLOOKUP($A128,raw[],COLUMN(AB$1)-COLUMN($A$1),FALSE)=0, VLOOKUP($D128, regions[], COLUMN(AB$1)-COLUMN($A$1), FALSE), VLOOKUP($A128,raw[],COLUMN(AB$1)-COLUMN($A$1),FALSE))</f>
        <v>17.306051124943334</v>
      </c>
      <c r="AB128" s="70">
        <f>IF(VLOOKUP($A128,raw[],COLUMN(AC$1)-COLUMN($A$1),FALSE)=0, VLOOKUP($D128, regions[], COLUMN(AC$1)-COLUMN($A$1), FALSE), VLOOKUP($A128,raw[],COLUMN(AC$1)-COLUMN($A$1),FALSE))</f>
        <v>17.936051124943333</v>
      </c>
      <c r="AC128" s="72">
        <f>IF(VLOOKUP($A128,raw[],COLUMN(AD$1)-COLUMN($A$1),FALSE)=0, VLOOKUP($D128, regions[], COLUMN(AD$1)-COLUMN($A$1), FALSE), VLOOKUP($A128,raw[],COLUMN(AD$1)-COLUMN($A$1),FALSE))</f>
        <v>1.2130255501425892E-2</v>
      </c>
      <c r="AD128" s="72">
        <f>IF(VLOOKUP($A128,raw[],COLUMN(AE$1)-COLUMN($A$1),FALSE)=0, VLOOKUP($D128, regions[], COLUMN(AE$1)-COLUMN($A$1), FALSE), VLOOKUP($A128,raw[],COLUMN(AE$1)-COLUMN($A$1),FALSE))</f>
        <v>6.7807185454028058E-4</v>
      </c>
      <c r="AE128" s="72">
        <f>IF(VLOOKUP($A128,raw[],COLUMN(AF$1)-COLUMN($A$1),FALSE)=0, VLOOKUP($D128, regions[], COLUMN(AF$1)-COLUMN($A$1), FALSE), VLOOKUP($A128,raw[],COLUMN(AF$1)-COLUMN($A$1),FALSE))</f>
        <v>3.9141931303174815E-4</v>
      </c>
      <c r="AF128" s="72">
        <f>IF(VLOOKUP($A128,raw[],COLUMN(AG$1)-COLUMN($A$1),FALSE)=0, VLOOKUP($D128, regions[], COLUMN(AG$1)-COLUMN($A$1), FALSE), VLOOKUP($A128,raw[],COLUMN(AG$1)-COLUMN($A$1),FALSE))</f>
        <v>3.0837306874500548E-4</v>
      </c>
      <c r="AG128" s="72">
        <f>IF(VLOOKUP($A128,raw[],COLUMN(AH$1)-COLUMN($A$1),FALSE)=0, VLOOKUP($D128, regions[], COLUMN(AH$1)-COLUMN($A$1), FALSE), VLOOKUP($A128,raw[],COLUMN(AH$1)-COLUMN($A$1),FALSE))</f>
        <v>4.9055543455316954E-4</v>
      </c>
      <c r="AH128" s="72">
        <f>IF(VLOOKUP($A128,raw[],COLUMN(AI$1)-COLUMN($A$1),FALSE)=0, VLOOKUP($D128, regions[], COLUMN(AI$1)-COLUMN($A$1), FALSE), VLOOKUP($A128,raw[],COLUMN(AI$1)-COLUMN($A$1),FALSE))</f>
        <v>6.8245854740275457E-4</v>
      </c>
      <c r="AI128" s="72">
        <f>IF(VLOOKUP($A128,raw[],COLUMN(AJ$1)-COLUMN($A$1),FALSE)=0, VLOOKUP($D128, regions[], COLUMN(AJ$1)-COLUMN($A$1), FALSE), VLOOKUP($A128,raw[],COLUMN(AJ$1)-COLUMN($A$1),FALSE))</f>
        <v>8.5177674123833097E-4</v>
      </c>
      <c r="AJ128" s="72">
        <f>IF(VLOOKUP($A128,raw[],COLUMN(AK$1)-COLUMN($A$1),FALSE)=0, VLOOKUP($D128, regions[], COLUMN(AK$1)-COLUMN($A$1), FALSE), VLOOKUP($A128,raw[],COLUMN(AK$1)-COLUMN($A$1),FALSE))</f>
        <v>1.0602536345014524E-3</v>
      </c>
      <c r="AK128" s="72">
        <f>IF(VLOOKUP($A128,raw[],COLUMN(AL$1)-COLUMN($A$1),FALSE)=0, VLOOKUP($D128, regions[], COLUMN(AL$1)-COLUMN($A$1), FALSE), VLOOKUP($A128,raw[],COLUMN(AL$1)-COLUMN($A$1),FALSE))</f>
        <v>1.3620252124251645E-3</v>
      </c>
      <c r="AL128" s="72">
        <f>IF(VLOOKUP($A128,raw[],COLUMN(AM$1)-COLUMN($A$1),FALSE)=0, VLOOKUP($D128, regions[], COLUMN(AM$1)-COLUMN($A$1), FALSE), VLOOKUP($A128,raw[],COLUMN(AM$1)-COLUMN($A$1),FALSE))</f>
        <v>1.9171179541553115E-3</v>
      </c>
      <c r="AM128" s="72">
        <f>IF(VLOOKUP($A128,raw[],COLUMN(AN$1)-COLUMN($A$1),FALSE)=0, VLOOKUP($D128, regions[], COLUMN(AN$1)-COLUMN($A$1), FALSE), VLOOKUP($A128,raw[],COLUMN(AN$1)-COLUMN($A$1),FALSE))</f>
        <v>2.8099348310387283E-3</v>
      </c>
      <c r="AN128" s="72">
        <f>IF(VLOOKUP($A128,raw[],COLUMN(AO$1)-COLUMN($A$1),FALSE)=0, VLOOKUP($D128, regions[], COLUMN(AO$1)-COLUMN($A$1), FALSE), VLOOKUP($A128,raw[],COLUMN(AO$1)-COLUMN($A$1),FALSE))</f>
        <v>4.4741208648817199E-3</v>
      </c>
      <c r="AO128" s="72">
        <f>IF(VLOOKUP($A128,raw[],COLUMN(AP$1)-COLUMN($A$1),FALSE)=0, VLOOKUP($D128, regions[], COLUMN(AP$1)-COLUMN($A$1), FALSE), VLOOKUP($A128,raw[],COLUMN(AP$1)-COLUMN($A$1),FALSE))</f>
        <v>7.1586511232246443E-3</v>
      </c>
      <c r="AP128" s="72">
        <f>IF(VLOOKUP($A128,raw[],COLUMN(AQ$1)-COLUMN($A$1),FALSE)=0, VLOOKUP($D128, regions[], COLUMN(AQ$1)-COLUMN($A$1), FALSE), VLOOKUP($A128,raw[],COLUMN(AQ$1)-COLUMN($A$1),FALSE))</f>
        <v>1.2132304912738557E-2</v>
      </c>
      <c r="AQ128" s="72">
        <f>IF(VLOOKUP($A128,raw[],COLUMN(AR$1)-COLUMN($A$1),FALSE)=0, VLOOKUP($D128, regions[], COLUMN(AR$1)-COLUMN($A$1), FALSE), VLOOKUP($A128,raw[],COLUMN(AR$1)-COLUMN($A$1),FALSE))</f>
        <v>2.0392200150415828E-2</v>
      </c>
      <c r="AR128" s="72">
        <f>IF(VLOOKUP($A128,raw[],COLUMN(AS$1)-COLUMN($A$1),FALSE)=0, VLOOKUP($D128, regions[], COLUMN(AS$1)-COLUMN($A$1), FALSE), VLOOKUP($A128,raw[],COLUMN(AS$1)-COLUMN($A$1),FALSE))</f>
        <v>3.44244204858224E-2</v>
      </c>
      <c r="AS128" s="72">
        <f>IF(VLOOKUP($A128,raw[],COLUMN(AT$1)-COLUMN($A$1),FALSE)=0, VLOOKUP($D128, regions[], COLUMN(AT$1)-COLUMN($A$1), FALSE), VLOOKUP($A128,raw[],COLUMN(AT$1)-COLUMN($A$1),FALSE))</f>
        <v>5.3867591667339003E-2</v>
      </c>
      <c r="AT128" s="72">
        <f>IF(VLOOKUP($A128,raw[],COLUMN(AU$1)-COLUMN($A$1),FALSE)=0, VLOOKUP($D128, regions[], COLUMN(AU$1)-COLUMN($A$1), FALSE), VLOOKUP($A128,raw[],COLUMN(AU$1)-COLUMN($A$1),FALSE))</f>
        <v>7.6826546279148339E-2</v>
      </c>
      <c r="AU128" s="72">
        <f>IF(VLOOKUP($A128,raw[],COLUMN(AV$1)-COLUMN($A$1),FALSE)=0, VLOOKUP($D128, regions[], COLUMN(AV$1)-COLUMN($A$1), FALSE), VLOOKUP($A128,raw[],COLUMN(AV$1)-COLUMN($A$1),FALSE))</f>
        <v>0.10590692805681631</v>
      </c>
      <c r="AV128" s="72">
        <f>IF(VLOOKUP($A128,raw[],COLUMN(AW$1)-COLUMN($A$1),FALSE)=0, VLOOKUP($D128, regions[], COLUMN(AW$1)-COLUMN($A$1), FALSE), VLOOKUP($A128,raw[],COLUMN(AW$1)-COLUMN($A$1),FALSE))</f>
        <v>0.13211311453937141</v>
      </c>
      <c r="AW128" s="72">
        <f>IF(VLOOKUP($A128,raw[],COLUMN(AX$1)-COLUMN($A$1),FALSE)=0, VLOOKUP($D128, regions[], COLUMN(AX$1)-COLUMN($A$1), FALSE), VLOOKUP($A128,raw[],COLUMN(AX$1)-COLUMN($A$1),FALSE))</f>
        <v>0.15413448359295936</v>
      </c>
      <c r="AX128" s="72">
        <f>IF(VLOOKUP($A128,raw[],COLUMN(AY$1)-COLUMN($A$1),FALSE)=0, VLOOKUP($D128, regions[], COLUMN(AY$1)-COLUMN($A$1), FALSE), VLOOKUP($A128,raw[],COLUMN(AY$1)-COLUMN($A$1),FALSE))</f>
        <v>75.579570681381213</v>
      </c>
      <c r="AY128" t="str">
        <f t="shared" si="3"/>
        <v>No</v>
      </c>
    </row>
    <row r="129" spans="1:51" x14ac:dyDescent="0.25">
      <c r="A129" s="55" t="s">
        <v>478</v>
      </c>
      <c r="B129" s="56" t="s">
        <v>479</v>
      </c>
      <c r="C129" s="56">
        <v>800</v>
      </c>
      <c r="D129" s="56" t="s">
        <v>207</v>
      </c>
      <c r="E129" s="56" t="s">
        <v>255</v>
      </c>
      <c r="F129" s="56" t="s">
        <v>211</v>
      </c>
      <c r="G129" s="56" t="s">
        <v>198</v>
      </c>
      <c r="H129" s="74">
        <f>VLOOKUP(lmics[[#This Row],[setting]],raw[],8,FALSE)</f>
        <v>45741000</v>
      </c>
      <c r="I129" s="74">
        <f>VLOOKUP(lmics[[#This Row],[setting]],raw[],9,FALSE)</f>
        <v>1758146.8169999998</v>
      </c>
      <c r="J129" s="67">
        <f>IF(VLOOKUP($A129,raw[],COLUMN(J$1),FALSE)=0, VLOOKUP($D129, regions[], COLUMN(J$1), FALSE), VLOOKUP($A129,raw[],COLUMN(J$1),FALSE))</f>
        <v>0.7340000000000001</v>
      </c>
      <c r="K129" s="77">
        <f>VLOOKUP($A129, raw[], 11, FALSE)</f>
        <v>0</v>
      </c>
      <c r="L129" s="77">
        <f>VLOOKUP($A129, raw[], 12, FALSE)</f>
        <v>0.89</v>
      </c>
      <c r="M129" s="77">
        <f>IF(VLOOKUP($A129,raw[],COLUMN(M$1),FALSE)=0, VLOOKUP($D129, regions[], COLUMN(M$1), FALSE), VLOOKUP($A129,raw[],COLUMN(M$1),FALSE))</f>
        <v>3.44E-2</v>
      </c>
      <c r="N129" s="68">
        <f>IF(VLOOKUP($A129,raw[],COLUMN(N$1),FALSE)=0, VLOOKUP($D129, regions[], COLUMN(N$1), FALSE), VLOOKUP($A129,raw[],COLUMN(N$1),FALSE))</f>
        <v>0.29485926570865467</v>
      </c>
      <c r="O129" s="67">
        <f>IF(VLOOKUP($A129,raw[],COLUMN(O$1),FALSE)=0, VLOOKUP($D129, regions[], COLUMN(O$1), FALSE), VLOOKUP($A129,raw[],COLUMN(O$1),FALSE))</f>
        <v>0.38300000000000001</v>
      </c>
      <c r="P129" s="68">
        <f>IF(VLOOKUP($A129,raw[],COLUMN(P$1),FALSE)=0, VLOOKUP($D129, regions[], COLUMN(P$1), FALSE), VLOOKUP($A129,raw[],COLUMN(P$1),FALSE))</f>
        <v>4.8000000000000001E-2</v>
      </c>
      <c r="Q129" s="70">
        <f>IF(VLOOKUP($A129,raw[],COLUMN(Q$1),FALSE)=0, VLOOKUP($D129, regions[], COLUMN(Q$1), FALSE), VLOOKUP($A129,raw[],COLUMN(Q$1),FALSE))</f>
        <v>2.9523801170731701</v>
      </c>
      <c r="R129" s="70">
        <f>IF(VLOOKUP($A129,raw[],COLUMN(R$1),FALSE)=0, VLOOKUP($D129, regions[], COLUMN(R$1), FALSE), VLOOKUP($A129,raw[],COLUMN(R$1),FALSE))</f>
        <v>25.277760117073171</v>
      </c>
      <c r="S129" s="70">
        <f>IF(VLOOKUP($A129,raw[],COLUMN(S$1),FALSE)=0, VLOOKUP($D129, regions[], COLUMN(S$1), FALSE), VLOOKUP($A129,raw[],COLUMN(S$1),FALSE))</f>
        <v>56.011113584782926</v>
      </c>
      <c r="T129" s="70">
        <f>IF(VLOOKUP($A129,raw[],COLUMN(U$1)-COLUMN($A$1),FALSE)=0, VLOOKUP($D129, regions[], COLUMN(U$1)-COLUMN($A$1), FALSE), VLOOKUP($A129,raw[],COLUMN(U$1)-COLUMN($A$1),FALSE))</f>
        <v>56.798761171285634</v>
      </c>
      <c r="U129" s="70">
        <f>IF(VLOOKUP($A129,raw[],COLUMN(V$1)-COLUMN($A$1),FALSE)=0, VLOOKUP($D129, regions[], COLUMN(V$1)-COLUMN($A$1), FALSE), VLOOKUP($A129,raw[],COLUMN(V$1)-COLUMN($A$1),FALSE))</f>
        <v>56.437090048312598</v>
      </c>
      <c r="V129" s="70">
        <f>IF(VLOOKUP($A129,raw[],COLUMN(W$1)-COLUMN($A$1),FALSE)=0, VLOOKUP($D129, regions[], COLUMN(W$1)-COLUMN($A$1), FALSE), VLOOKUP($A129,raw[],COLUMN(W$1)-COLUMN($A$1),FALSE))</f>
        <v>2.2592786562391503</v>
      </c>
      <c r="W129" s="70">
        <f>IF(VLOOKUP($A129,raw[],COLUMN(X$1)-COLUMN($A$1),FALSE)=0, VLOOKUP($D129, regions[], COLUMN(X$1)-COLUMN($A$1), FALSE), VLOOKUP($A129,raw[],COLUMN(X$1)-COLUMN($A$1),FALSE))</f>
        <v>7.0892786562391503</v>
      </c>
      <c r="X129" s="70">
        <f>IF(VLOOKUP($A129,raw[],COLUMN(Y$1)-COLUMN($A$1),FALSE)=0, VLOOKUP($D129, regions[], COLUMN(Y$1)-COLUMN($A$1), FALSE), VLOOKUP($A129,raw[],COLUMN(Y$1)-COLUMN($A$1),FALSE))</f>
        <v>1.8511055605607196</v>
      </c>
      <c r="Y129" s="70">
        <f>IF(VLOOKUP($A129,raw[],COLUMN(Z$1)-COLUMN($A$1),FALSE)=0, VLOOKUP($D129, regions[], COLUMN(Z$1)-COLUMN($A$1), FALSE), VLOOKUP($A129,raw[],COLUMN(Z$1)-COLUMN($A$1),FALSE))</f>
        <v>6.6811055605607201</v>
      </c>
      <c r="Z129" s="70">
        <f>IF(VLOOKUP($A129,raw[],COLUMN(AA$1)-COLUMN($A$1),FALSE)=0, VLOOKUP($D129, regions[], COLUMN(AA$1)-COLUMN($A$1), FALSE), VLOOKUP($A129,raw[],COLUMN(AA$1)-COLUMN($A$1),FALSE))</f>
        <v>6.6783411941982518</v>
      </c>
      <c r="AA129" s="70">
        <f>IF(VLOOKUP($A129,raw[],COLUMN(AB$1)-COLUMN($A$1),FALSE)=0, VLOOKUP($D129, regions[], COLUMN(AB$1)-COLUMN($A$1), FALSE), VLOOKUP($A129,raw[],COLUMN(AB$1)-COLUMN($A$1),FALSE))</f>
        <v>2.4635611647572664</v>
      </c>
      <c r="AB129" s="70">
        <f>IF(VLOOKUP($A129,raw[],COLUMN(AC$1)-COLUMN($A$1),FALSE)=0, VLOOKUP($D129, regions[], COLUMN(AC$1)-COLUMN($A$1), FALSE), VLOOKUP($A129,raw[],COLUMN(AC$1)-COLUMN($A$1),FALSE))</f>
        <v>7.293561164757266</v>
      </c>
      <c r="AC129" s="72">
        <f>IF(VLOOKUP($A129,raw[],COLUMN(AD$1)-COLUMN($A$1),FALSE)=0, VLOOKUP($D129, regions[], COLUMN(AD$1)-COLUMN($A$1), FALSE), VLOOKUP($A129,raw[],COLUMN(AD$1)-COLUMN($A$1),FALSE))</f>
        <v>4.6149780000000029E-2</v>
      </c>
      <c r="AD129" s="72">
        <f>IF(VLOOKUP($A129,raw[],COLUMN(AE$1)-COLUMN($A$1),FALSE)=0, VLOOKUP($D129, regions[], COLUMN(AE$1)-COLUMN($A$1), FALSE), VLOOKUP($A129,raw[],COLUMN(AE$1)-COLUMN($A$1),FALSE))</f>
        <v>4.3666682804769756E-3</v>
      </c>
      <c r="AE129" s="72">
        <f>IF(VLOOKUP($A129,raw[],COLUMN(AF$1)-COLUMN($A$1),FALSE)=0, VLOOKUP($D129, regions[], COLUMN(AF$1)-COLUMN($A$1), FALSE), VLOOKUP($A129,raw[],COLUMN(AF$1)-COLUMN($A$1),FALSE))</f>
        <v>1.4828482470511555E-3</v>
      </c>
      <c r="AF129" s="72">
        <f>IF(VLOOKUP($A129,raw[],COLUMN(AG$1)-COLUMN($A$1),FALSE)=0, VLOOKUP($D129, regions[], COLUMN(AG$1)-COLUMN($A$1), FALSE), VLOOKUP($A129,raw[],COLUMN(AG$1)-COLUMN($A$1),FALSE))</f>
        <v>1.112565357788755E-3</v>
      </c>
      <c r="AG129" s="72">
        <f>IF(VLOOKUP($A129,raw[],COLUMN(AH$1)-COLUMN($A$1),FALSE)=0, VLOOKUP($D129, regions[], COLUMN(AH$1)-COLUMN($A$1), FALSE), VLOOKUP($A129,raw[],COLUMN(AH$1)-COLUMN($A$1),FALSE))</f>
        <v>1.8217050840387593E-3</v>
      </c>
      <c r="AH129" s="72">
        <f>IF(VLOOKUP($A129,raw[],COLUMN(AI$1)-COLUMN($A$1),FALSE)=0, VLOOKUP($D129, regions[], COLUMN(AI$1)-COLUMN($A$1), FALSE), VLOOKUP($A129,raw[],COLUMN(AI$1)-COLUMN($A$1),FALSE))</f>
        <v>2.8048711625515434E-3</v>
      </c>
      <c r="AI129" s="72">
        <f>IF(VLOOKUP($A129,raw[],COLUMN(AJ$1)-COLUMN($A$1),FALSE)=0, VLOOKUP($D129, regions[], COLUMN(AJ$1)-COLUMN($A$1), FALSE), VLOOKUP($A129,raw[],COLUMN(AJ$1)-COLUMN($A$1),FALSE))</f>
        <v>3.6411578979129509E-3</v>
      </c>
      <c r="AJ129" s="72">
        <f>IF(VLOOKUP($A129,raw[],COLUMN(AK$1)-COLUMN($A$1),FALSE)=0, VLOOKUP($D129, regions[], COLUMN(AK$1)-COLUMN($A$1), FALSE), VLOOKUP($A129,raw[],COLUMN(AK$1)-COLUMN($A$1),FALSE))</f>
        <v>4.5409485397054335E-3</v>
      </c>
      <c r="AK129" s="72">
        <f>IF(VLOOKUP($A129,raw[],COLUMN(AL$1)-COLUMN($A$1),FALSE)=0, VLOOKUP($D129, regions[], COLUMN(AL$1)-COLUMN($A$1), FALSE), VLOOKUP($A129,raw[],COLUMN(AL$1)-COLUMN($A$1),FALSE))</f>
        <v>5.804606999972311E-3</v>
      </c>
      <c r="AL129" s="72">
        <f>IF(VLOOKUP($A129,raw[],COLUMN(AM$1)-COLUMN($A$1),FALSE)=0, VLOOKUP($D129, regions[], COLUMN(AM$1)-COLUMN($A$1), FALSE), VLOOKUP($A129,raw[],COLUMN(AM$1)-COLUMN($A$1),FALSE))</f>
        <v>7.1639425081212894E-3</v>
      </c>
      <c r="AM129" s="72">
        <f>IF(VLOOKUP($A129,raw[],COLUMN(AN$1)-COLUMN($A$1),FALSE)=0, VLOOKUP($D129, regions[], COLUMN(AN$1)-COLUMN($A$1), FALSE), VLOOKUP($A129,raw[],COLUMN(AN$1)-COLUMN($A$1),FALSE))</f>
        <v>8.8477551169223508E-3</v>
      </c>
      <c r="AN129" s="72">
        <f>IF(VLOOKUP($A129,raw[],COLUMN(AO$1)-COLUMN($A$1),FALSE)=0, VLOOKUP($D129, regions[], COLUMN(AO$1)-COLUMN($A$1), FALSE), VLOOKUP($A129,raw[],COLUMN(AO$1)-COLUMN($A$1),FALSE))</f>
        <v>1.1856959713313804E-2</v>
      </c>
      <c r="AO129" s="72">
        <f>IF(VLOOKUP($A129,raw[],COLUMN(AP$1)-COLUMN($A$1),FALSE)=0, VLOOKUP($D129, regions[], COLUMN(AP$1)-COLUMN($A$1), FALSE), VLOOKUP($A129,raw[],COLUMN(AP$1)-COLUMN($A$1),FALSE))</f>
        <v>1.5285188012263345E-2</v>
      </c>
      <c r="AP129" s="72">
        <f>IF(VLOOKUP($A129,raw[],COLUMN(AQ$1)-COLUMN($A$1),FALSE)=0, VLOOKUP($D129, regions[], COLUMN(AQ$1)-COLUMN($A$1), FALSE), VLOOKUP($A129,raw[],COLUMN(AQ$1)-COLUMN($A$1),FALSE))</f>
        <v>2.1816656292400011E-2</v>
      </c>
      <c r="AQ129" s="72">
        <f>IF(VLOOKUP($A129,raw[],COLUMN(AR$1)-COLUMN($A$1),FALSE)=0, VLOOKUP($D129, regions[], COLUMN(AR$1)-COLUMN($A$1), FALSE), VLOOKUP($A129,raw[],COLUMN(AR$1)-COLUMN($A$1),FALSE))</f>
        <v>3.2364169061510205E-2</v>
      </c>
      <c r="AR129" s="72">
        <f>IF(VLOOKUP($A129,raw[],COLUMN(AS$1)-COLUMN($A$1),FALSE)=0, VLOOKUP($D129, regions[], COLUMN(AS$1)-COLUMN($A$1), FALSE), VLOOKUP($A129,raw[],COLUMN(AS$1)-COLUMN($A$1),FALSE))</f>
        <v>4.8781801352619794E-2</v>
      </c>
      <c r="AS129" s="72">
        <f>IF(VLOOKUP($A129,raw[],COLUMN(AT$1)-COLUMN($A$1),FALSE)=0, VLOOKUP($D129, regions[], COLUMN(AT$1)-COLUMN($A$1), FALSE), VLOOKUP($A129,raw[],COLUMN(AT$1)-COLUMN($A$1),FALSE))</f>
        <v>7.2864429112246387E-2</v>
      </c>
      <c r="AT129" s="72">
        <f>IF(VLOOKUP($A129,raw[],COLUMN(AU$1)-COLUMN($A$1),FALSE)=0, VLOOKUP($D129, regions[], COLUMN(AU$1)-COLUMN($A$1), FALSE), VLOOKUP($A129,raw[],COLUMN(AU$1)-COLUMN($A$1),FALSE))</f>
        <v>0.10732075308252817</v>
      </c>
      <c r="AU129" s="72">
        <f>IF(VLOOKUP($A129,raw[],COLUMN(AV$1)-COLUMN($A$1),FALSE)=0, VLOOKUP($D129, regions[], COLUMN(AV$1)-COLUMN($A$1), FALSE), VLOOKUP($A129,raw[],COLUMN(AV$1)-COLUMN($A$1),FALSE))</f>
        <v>0.14682779299912954</v>
      </c>
      <c r="AV129" s="72">
        <f>IF(VLOOKUP($A129,raw[],COLUMN(AW$1)-COLUMN($A$1),FALSE)=0, VLOOKUP($D129, regions[], COLUMN(AW$1)-COLUMN($A$1), FALSE), VLOOKUP($A129,raw[],COLUMN(AW$1)-COLUMN($A$1),FALSE))</f>
        <v>0.17862055963278439</v>
      </c>
      <c r="AW129" s="72">
        <f>IF(VLOOKUP($A129,raw[],COLUMN(AX$1)-COLUMN($A$1),FALSE)=0, VLOOKUP($D129, regions[], COLUMN(AX$1)-COLUMN($A$1), FALSE), VLOOKUP($A129,raw[],COLUMN(AX$1)-COLUMN($A$1),FALSE))</f>
        <v>0.18895943002379714</v>
      </c>
      <c r="AX129" s="72">
        <f>IF(VLOOKUP($A129,raw[],COLUMN(AY$1)-COLUMN($A$1),FALSE)=0, VLOOKUP($D129, regions[], COLUMN(AY$1)-COLUMN($A$1), FALSE), VLOOKUP($A129,raw[],COLUMN(AY$1)-COLUMN($A$1),FALSE))</f>
        <v>62.756</v>
      </c>
      <c r="AY129" t="str">
        <f t="shared" si="3"/>
        <v>Yes</v>
      </c>
    </row>
    <row r="130" spans="1:51" x14ac:dyDescent="0.25">
      <c r="A130" s="53" t="s">
        <v>480</v>
      </c>
      <c r="B130" s="54" t="s">
        <v>481</v>
      </c>
      <c r="C130" s="54">
        <v>804</v>
      </c>
      <c r="D130" s="54" t="s">
        <v>201</v>
      </c>
      <c r="E130" s="54" t="s">
        <v>229</v>
      </c>
      <c r="F130" s="54" t="s">
        <v>203</v>
      </c>
      <c r="G130" s="54" t="s">
        <v>212</v>
      </c>
      <c r="H130" s="73">
        <f>VLOOKUP(lmics[[#This Row],[setting]],raw[],8,FALSE)</f>
        <v>43733759</v>
      </c>
      <c r="I130" s="73">
        <f>VLOOKUP(lmics[[#This Row],[setting]],raw[],9,FALSE)</f>
        <v>420106.488954</v>
      </c>
      <c r="J130" s="67">
        <f>IF(VLOOKUP($A130,raw[],COLUMN(J$1),FALSE)=0, VLOOKUP($D130, regions[], COLUMN(J$1), FALSE), VLOOKUP($A130,raw[],COLUMN(J$1),FALSE))</f>
        <v>0.9890000000000001</v>
      </c>
      <c r="K130" s="77">
        <f>VLOOKUP($A130, raw[], 11, FALSE)</f>
        <v>0.69</v>
      </c>
      <c r="L130" s="77">
        <f>VLOOKUP($A130, raw[], 12, FALSE)</f>
        <v>0.81</v>
      </c>
      <c r="M130" s="77">
        <f>IF(VLOOKUP($A130,raw[],COLUMN(M$1),FALSE)=0, VLOOKUP($D130, regions[], COLUMN(M$1), FALSE), VLOOKUP($A130,raw[],COLUMN(M$1),FALSE))</f>
        <v>1.1299999999999999E-2</v>
      </c>
      <c r="N130" s="68">
        <f>IF(VLOOKUP($A130,raw[],COLUMN(N$1),FALSE)=0, VLOOKUP($D130, regions[], COLUMN(N$1), FALSE), VLOOKUP($A130,raw[],COLUMN(N$1),FALSE))</f>
        <v>0.29332293798817349</v>
      </c>
      <c r="O130" s="67">
        <f>IF(VLOOKUP($A130,raw[],COLUMN(O$1),FALSE)=0, VLOOKUP($D130, regions[], COLUMN(O$1), FALSE), VLOOKUP($A130,raw[],COLUMN(O$1),FALSE))</f>
        <v>0.8</v>
      </c>
      <c r="P130" s="68">
        <f>IF(VLOOKUP($A130,raw[],COLUMN(P$1),FALSE)=0, VLOOKUP($D130, regions[], COLUMN(P$1), FALSE), VLOOKUP($A130,raw[],COLUMN(P$1),FALSE))</f>
        <v>0.17499999999999999</v>
      </c>
      <c r="Q130" s="70">
        <f>IF(VLOOKUP($A130,raw[],COLUMN(Q$1),FALSE)=0, VLOOKUP($D130, regions[], COLUMN(Q$1), FALSE), VLOOKUP($A130,raw[],COLUMN(Q$1),FALSE))</f>
        <v>6.43141683411059</v>
      </c>
      <c r="R130" s="70">
        <f>IF(VLOOKUP($A130,raw[],COLUMN(R$1),FALSE)=0, VLOOKUP($D130, regions[], COLUMN(R$1), FALSE), VLOOKUP($A130,raw[],COLUMN(R$1),FALSE))</f>
        <v>28.756796834110592</v>
      </c>
      <c r="S130" s="70">
        <f>IF(VLOOKUP($A130,raw[],COLUMN(S$1),FALSE)=0, VLOOKUP($D130, regions[], COLUMN(S$1), FALSE), VLOOKUP($A130,raw[],COLUMN(S$1),FALSE))</f>
        <v>70.90667872091268</v>
      </c>
      <c r="T130" s="70">
        <f>IF(VLOOKUP($A130,raw[],COLUMN(U$1)-COLUMN($A$1),FALSE)=0, VLOOKUP($D130, regions[], COLUMN(U$1)-COLUMN($A$1), FALSE), VLOOKUP($A130,raw[],COLUMN(U$1)-COLUMN($A$1),FALSE))</f>
        <v>77.636230328784578</v>
      </c>
      <c r="U130" s="70">
        <f>IF(VLOOKUP($A130,raw[],COLUMN(V$1)-COLUMN($A$1),FALSE)=0, VLOOKUP($D130, regions[], COLUMN(V$1)-COLUMN($A$1), FALSE), VLOOKUP($A130,raw[],COLUMN(V$1)-COLUMN($A$1),FALSE))</f>
        <v>74.546162475049513</v>
      </c>
      <c r="V130" s="70">
        <f>IF(VLOOKUP($A130,raw[],COLUMN(W$1)-COLUMN($A$1),FALSE)=0, VLOOKUP($D130, regions[], COLUMN(W$1)-COLUMN($A$1), FALSE), VLOOKUP($A130,raw[],COLUMN(W$1)-COLUMN($A$1),FALSE))</f>
        <v>1.2466519018248243</v>
      </c>
      <c r="W130" s="70">
        <f>IF(VLOOKUP($A130,raw[],COLUMN(X$1)-COLUMN($A$1),FALSE)=0, VLOOKUP($D130, regions[], COLUMN(X$1)-COLUMN($A$1), FALSE), VLOOKUP($A130,raw[],COLUMN(X$1)-COLUMN($A$1),FALSE))</f>
        <v>5.3166519018248248</v>
      </c>
      <c r="X130" s="70">
        <f>IF(VLOOKUP($A130,raw[],COLUMN(Y$1)-COLUMN($A$1),FALSE)=0, VLOOKUP($D130, regions[], COLUMN(Y$1)-COLUMN($A$1), FALSE), VLOOKUP($A130,raw[],COLUMN(Y$1)-COLUMN($A$1),FALSE))</f>
        <v>0.82344592521102</v>
      </c>
      <c r="Y130" s="70">
        <f>IF(VLOOKUP($A130,raw[],COLUMN(Z$1)-COLUMN($A$1),FALSE)=0, VLOOKUP($D130, regions[], COLUMN(Z$1)-COLUMN($A$1), FALSE), VLOOKUP($A130,raw[],COLUMN(Z$1)-COLUMN($A$1),FALSE))</f>
        <v>4.8934459252110205</v>
      </c>
      <c r="Z130" s="70">
        <f>IF(VLOOKUP($A130,raw[],COLUMN(AA$1)-COLUMN($A$1),FALSE)=0, VLOOKUP($D130, regions[], COLUMN(AA$1)-COLUMN($A$1), FALSE), VLOOKUP($A130,raw[],COLUMN(AA$1)-COLUMN($A$1),FALSE))</f>
        <v>4.8843586097537841</v>
      </c>
      <c r="AA130" s="70">
        <f>IF(VLOOKUP($A130,raw[],COLUMN(AB$1)-COLUMN($A$1),FALSE)=0, VLOOKUP($D130, regions[], COLUMN(AB$1)-COLUMN($A$1), FALSE), VLOOKUP($A130,raw[],COLUMN(AB$1)-COLUMN($A$1),FALSE))</f>
        <v>1.4562939591981603</v>
      </c>
      <c r="AB130" s="70">
        <f>IF(VLOOKUP($A130,raw[],COLUMN(AC$1)-COLUMN($A$1),FALSE)=0, VLOOKUP($D130, regions[], COLUMN(AC$1)-COLUMN($A$1), FALSE), VLOOKUP($A130,raw[],COLUMN(AC$1)-COLUMN($A$1),FALSE))</f>
        <v>5.5262939591981608</v>
      </c>
      <c r="AC130" s="72">
        <f>IF(VLOOKUP($A130,raw[],COLUMN(AD$1)-COLUMN($A$1),FALSE)=0, VLOOKUP($D130, regions[], COLUMN(AD$1)-COLUMN($A$1), FALSE), VLOOKUP($A130,raw[],COLUMN(AD$1)-COLUMN($A$1),FALSE))</f>
        <v>7.1988199999999782E-3</v>
      </c>
      <c r="AD130" s="72">
        <f>IF(VLOOKUP($A130,raw[],COLUMN(AE$1)-COLUMN($A$1),FALSE)=0, VLOOKUP($D130, regions[], COLUMN(AE$1)-COLUMN($A$1), FALSE), VLOOKUP($A130,raw[],COLUMN(AE$1)-COLUMN($A$1),FALSE))</f>
        <v>3.4605619626682644E-4</v>
      </c>
      <c r="AE130" s="72">
        <f>IF(VLOOKUP($A130,raw[],COLUMN(AF$1)-COLUMN($A$1),FALSE)=0, VLOOKUP($D130, regions[], COLUMN(AF$1)-COLUMN($A$1), FALSE), VLOOKUP($A130,raw[],COLUMN(AF$1)-COLUMN($A$1),FALSE))</f>
        <v>2.0387382662555634E-4</v>
      </c>
      <c r="AF130" s="72">
        <f>IF(VLOOKUP($A130,raw[],COLUMN(AG$1)-COLUMN($A$1),FALSE)=0, VLOOKUP($D130, regions[], COLUMN(AG$1)-COLUMN($A$1), FALSE), VLOOKUP($A130,raw[],COLUMN(AG$1)-COLUMN($A$1),FALSE))</f>
        <v>2.4994944297614867E-4</v>
      </c>
      <c r="AG130" s="72">
        <f>IF(VLOOKUP($A130,raw[],COLUMN(AH$1)-COLUMN($A$1),FALSE)=0, VLOOKUP($D130, regions[], COLUMN(AH$1)-COLUMN($A$1), FALSE), VLOOKUP($A130,raw[],COLUMN(AH$1)-COLUMN($A$1),FALSE))</f>
        <v>4.9423232522274234E-4</v>
      </c>
      <c r="AH130" s="72">
        <f>IF(VLOOKUP($A130,raw[],COLUMN(AI$1)-COLUMN($A$1),FALSE)=0, VLOOKUP($D130, regions[], COLUMN(AI$1)-COLUMN($A$1), FALSE), VLOOKUP($A130,raw[],COLUMN(AI$1)-COLUMN($A$1),FALSE))</f>
        <v>9.1381254585202055E-4</v>
      </c>
      <c r="AI130" s="72">
        <f>IF(VLOOKUP($A130,raw[],COLUMN(AJ$1)-COLUMN($A$1),FALSE)=0, VLOOKUP($D130, regions[], COLUMN(AJ$1)-COLUMN($A$1), FALSE), VLOOKUP($A130,raw[],COLUMN(AJ$1)-COLUMN($A$1),FALSE))</f>
        <v>1.483689618571862E-3</v>
      </c>
      <c r="AJ130" s="72">
        <f>IF(VLOOKUP($A130,raw[],COLUMN(AK$1)-COLUMN($A$1),FALSE)=0, VLOOKUP($D130, regions[], COLUMN(AK$1)-COLUMN($A$1), FALSE), VLOOKUP($A130,raw[],COLUMN(AK$1)-COLUMN($A$1),FALSE))</f>
        <v>2.5375493725730974E-3</v>
      </c>
      <c r="AK130" s="72">
        <f>IF(VLOOKUP($A130,raw[],COLUMN(AL$1)-COLUMN($A$1),FALSE)=0, VLOOKUP($D130, regions[], COLUMN(AL$1)-COLUMN($A$1), FALSE), VLOOKUP($A130,raw[],COLUMN(AL$1)-COLUMN($A$1),FALSE))</f>
        <v>3.5228549990708184E-3</v>
      </c>
      <c r="AL130" s="72">
        <f>IF(VLOOKUP($A130,raw[],COLUMN(AM$1)-COLUMN($A$1),FALSE)=0, VLOOKUP($D130, regions[], COLUMN(AM$1)-COLUMN($A$1), FALSE), VLOOKUP($A130,raw[],COLUMN(AM$1)-COLUMN($A$1),FALSE))</f>
        <v>4.5385057197526437E-3</v>
      </c>
      <c r="AM130" s="72">
        <f>IF(VLOOKUP($A130,raw[],COLUMN(AN$1)-COLUMN($A$1),FALSE)=0, VLOOKUP($D130, regions[], COLUMN(AN$1)-COLUMN($A$1), FALSE), VLOOKUP($A130,raw[],COLUMN(AN$1)-COLUMN($A$1),FALSE))</f>
        <v>6.1813399154259591E-3</v>
      </c>
      <c r="AN130" s="72">
        <f>IF(VLOOKUP($A130,raw[],COLUMN(AO$1)-COLUMN($A$1),FALSE)=0, VLOOKUP($D130, regions[], COLUMN(AO$1)-COLUMN($A$1), FALSE), VLOOKUP($A130,raw[],COLUMN(AO$1)-COLUMN($A$1),FALSE))</f>
        <v>8.7357550999179606E-3</v>
      </c>
      <c r="AO130" s="72">
        <f>IF(VLOOKUP($A130,raw[],COLUMN(AP$1)-COLUMN($A$1),FALSE)=0, VLOOKUP($D130, regions[], COLUMN(AP$1)-COLUMN($A$1), FALSE), VLOOKUP($A130,raw[],COLUMN(AP$1)-COLUMN($A$1),FALSE))</f>
        <v>1.2623879431564428E-2</v>
      </c>
      <c r="AP130" s="72">
        <f>IF(VLOOKUP($A130,raw[],COLUMN(AQ$1)-COLUMN($A$1),FALSE)=0, VLOOKUP($D130, regions[], COLUMN(AQ$1)-COLUMN($A$1), FALSE), VLOOKUP($A130,raw[],COLUMN(AQ$1)-COLUMN($A$1),FALSE))</f>
        <v>1.8374976740519189E-2</v>
      </c>
      <c r="AQ130" s="72">
        <f>IF(VLOOKUP($A130,raw[],COLUMN(AR$1)-COLUMN($A$1),FALSE)=0, VLOOKUP($D130, regions[], COLUMN(AR$1)-COLUMN($A$1), FALSE), VLOOKUP($A130,raw[],COLUMN(AR$1)-COLUMN($A$1),FALSE))</f>
        <v>2.5077379297346596E-2</v>
      </c>
      <c r="AR130" s="72">
        <f>IF(VLOOKUP($A130,raw[],COLUMN(AS$1)-COLUMN($A$1),FALSE)=0, VLOOKUP($D130, regions[], COLUMN(AS$1)-COLUMN($A$1), FALSE), VLOOKUP($A130,raw[],COLUMN(AS$1)-COLUMN($A$1),FALSE))</f>
        <v>3.8590807488594267E-2</v>
      </c>
      <c r="AS130" s="72">
        <f>IF(VLOOKUP($A130,raw[],COLUMN(AT$1)-COLUMN($A$1),FALSE)=0, VLOOKUP($D130, regions[], COLUMN(AT$1)-COLUMN($A$1), FALSE), VLOOKUP($A130,raw[],COLUMN(AT$1)-COLUMN($A$1),FALSE))</f>
        <v>5.8432410142430218E-2</v>
      </c>
      <c r="AT130" s="72">
        <f>IF(VLOOKUP($A130,raw[],COLUMN(AU$1)-COLUMN($A$1),FALSE)=0, VLOOKUP($D130, regions[], COLUMN(AU$1)-COLUMN($A$1), FALSE), VLOOKUP($A130,raw[],COLUMN(AU$1)-COLUMN($A$1),FALSE))</f>
        <v>8.5062359967624401E-2</v>
      </c>
      <c r="AU130" s="72">
        <f>IF(VLOOKUP($A130,raw[],COLUMN(AV$1)-COLUMN($A$1),FALSE)=0, VLOOKUP($D130, regions[], COLUMN(AV$1)-COLUMN($A$1), FALSE), VLOOKUP($A130,raw[],COLUMN(AV$1)-COLUMN($A$1),FALSE))</f>
        <v>0.1170299537619949</v>
      </c>
      <c r="AV130" s="72">
        <f>IF(VLOOKUP($A130,raw[],COLUMN(AW$1)-COLUMN($A$1),FALSE)=0, VLOOKUP($D130, regions[], COLUMN(AW$1)-COLUMN($A$1), FALSE), VLOOKUP($A130,raw[],COLUMN(AW$1)-COLUMN($A$1),FALSE))</f>
        <v>0.14961991461844867</v>
      </c>
      <c r="AW130" s="72">
        <f>IF(VLOOKUP($A130,raw[],COLUMN(AX$1)-COLUMN($A$1),FALSE)=0, VLOOKUP($D130, regions[], COLUMN(AX$1)-COLUMN($A$1), FALSE), VLOOKUP($A130,raw[],COLUMN(AX$1)-COLUMN($A$1),FALSE))</f>
        <v>0.17362844380260056</v>
      </c>
      <c r="AX130" s="72">
        <f>IF(VLOOKUP($A130,raw[],COLUMN(AY$1)-COLUMN($A$1),FALSE)=0, VLOOKUP($D130, regions[], COLUMN(AY$1)-COLUMN($A$1), FALSE), VLOOKUP($A130,raw[],COLUMN(AY$1)-COLUMN($A$1),FALSE))</f>
        <v>71.819000000000003</v>
      </c>
      <c r="AY130" t="str">
        <f t="shared" ref="AY130:AY137" si="4">IF($K130=0,"Yes", "No")</f>
        <v>No</v>
      </c>
    </row>
    <row r="131" spans="1:51" x14ac:dyDescent="0.25">
      <c r="A131" s="55" t="s">
        <v>482</v>
      </c>
      <c r="B131" s="56" t="s">
        <v>483</v>
      </c>
      <c r="C131" s="56">
        <v>860</v>
      </c>
      <c r="D131" s="56" t="s">
        <v>201</v>
      </c>
      <c r="E131" s="56" t="s">
        <v>220</v>
      </c>
      <c r="F131" s="56" t="s">
        <v>203</v>
      </c>
      <c r="G131" s="56" t="s">
        <v>212</v>
      </c>
      <c r="H131" s="74">
        <f>VLOOKUP(lmics[[#This Row],[setting]],raw[],8,FALSE)</f>
        <v>33469199</v>
      </c>
      <c r="I131" s="74">
        <f>VLOOKUP(lmics[[#This Row],[setting]],raw[],9,FALSE)</f>
        <v>730331.39137900004</v>
      </c>
      <c r="J131" s="67">
        <f>IF(VLOOKUP($A131,raw[],COLUMN(J$1),FALSE)=0, VLOOKUP($D131, regions[], COLUMN(J$1), FALSE), VLOOKUP($A131,raw[],COLUMN(J$1),FALSE))</f>
        <v>0.996</v>
      </c>
      <c r="K131" s="77">
        <f>VLOOKUP($A131, raw[], 11, FALSE)</f>
        <v>0.97</v>
      </c>
      <c r="L131" s="77">
        <f>VLOOKUP($A131, raw[], 12, FALSE)</f>
        <v>0.95</v>
      </c>
      <c r="M131" s="77">
        <f>IF(VLOOKUP($A131,raw[],COLUMN(M$1),FALSE)=0, VLOOKUP($D131, regions[], COLUMN(M$1), FALSE), VLOOKUP($A131,raw[],COLUMN(M$1),FALSE))</f>
        <v>4.7699999999999992E-2</v>
      </c>
      <c r="N131" s="68">
        <f>IF(VLOOKUP($A131,raw[],COLUMN(N$1),FALSE)=0, VLOOKUP($D131, regions[], COLUMN(N$1), FALSE), VLOOKUP($A131,raw[],COLUMN(N$1),FALSE))</f>
        <v>0.30593511955523012</v>
      </c>
      <c r="O131" s="67">
        <f>IF(VLOOKUP($A131,raw[],COLUMN(O$1),FALSE)=0, VLOOKUP($D131, regions[], COLUMN(O$1), FALSE), VLOOKUP($A131,raw[],COLUMN(O$1),FALSE))</f>
        <v>0.8</v>
      </c>
      <c r="P131" s="68">
        <f>IF(VLOOKUP($A131,raw[],COLUMN(P$1),FALSE)=0, VLOOKUP($D131, regions[], COLUMN(P$1), FALSE), VLOOKUP($A131,raw[],COLUMN(P$1),FALSE))</f>
        <v>0.17499999999999999</v>
      </c>
      <c r="Q131" s="70">
        <f>IF(VLOOKUP($A131,raw[],COLUMN(Q$1),FALSE)=0, VLOOKUP($D131, regions[], COLUMN(Q$1), FALSE), VLOOKUP($A131,raw[],COLUMN(Q$1),FALSE))</f>
        <v>3.9709179895561402</v>
      </c>
      <c r="R131" s="70">
        <f>IF(VLOOKUP($A131,raw[],COLUMN(R$1),FALSE)=0, VLOOKUP($D131, regions[], COLUMN(R$1), FALSE), VLOOKUP($A131,raw[],COLUMN(R$1),FALSE))</f>
        <v>26.296297989556141</v>
      </c>
      <c r="S131" s="70">
        <f>IF(VLOOKUP($A131,raw[],COLUMN(S$1),FALSE)=0, VLOOKUP($D131, regions[], COLUMN(S$1), FALSE), VLOOKUP($A131,raw[],COLUMN(S$1),FALSE))</f>
        <v>59.910508827942593</v>
      </c>
      <c r="T131" s="70">
        <f>IF(VLOOKUP($A131,raw[],COLUMN(U$1)-COLUMN($A$1),FALSE)=0, VLOOKUP($D131, regions[], COLUMN(U$1)-COLUMN($A$1), FALSE), VLOOKUP($A131,raw[],COLUMN(U$1)-COLUMN($A$1),FALSE))</f>
        <v>62.197541986611718</v>
      </c>
      <c r="U131" s="70">
        <f>IF(VLOOKUP($A131,raw[],COLUMN(V$1)-COLUMN($A$1),FALSE)=0, VLOOKUP($D131, regions[], COLUMN(V$1)-COLUMN($A$1), FALSE), VLOOKUP($A131,raw[],COLUMN(V$1)-COLUMN($A$1),FALSE))</f>
        <v>61.147384701873328</v>
      </c>
      <c r="V131" s="70">
        <f>IF(VLOOKUP($A131,raw[],COLUMN(W$1)-COLUMN($A$1),FALSE)=0, VLOOKUP($D131, regions[], COLUMN(W$1)-COLUMN($A$1), FALSE), VLOOKUP($A131,raw[],COLUMN(W$1)-COLUMN($A$1),FALSE))</f>
        <v>3.2439282317097313</v>
      </c>
      <c r="W131" s="70">
        <f>IF(VLOOKUP($A131,raw[],COLUMN(X$1)-COLUMN($A$1),FALSE)=0, VLOOKUP($D131, regions[], COLUMN(X$1)-COLUMN($A$1), FALSE), VLOOKUP($A131,raw[],COLUMN(X$1)-COLUMN($A$1),FALSE))</f>
        <v>7.3139282317097312</v>
      </c>
      <c r="X131" s="70">
        <f>IF(VLOOKUP($A131,raw[],COLUMN(Y$1)-COLUMN($A$1),FALSE)=0, VLOOKUP($D131, regions[], COLUMN(Y$1)-COLUMN($A$1), FALSE), VLOOKUP($A131,raw[],COLUMN(Y$1)-COLUMN($A$1),FALSE))</f>
        <v>2.832789105927525</v>
      </c>
      <c r="Y131" s="70">
        <f>IF(VLOOKUP($A131,raw[],COLUMN(Z$1)-COLUMN($A$1),FALSE)=0, VLOOKUP($D131, regions[], COLUMN(Z$1)-COLUMN($A$1), FALSE), VLOOKUP($A131,raw[],COLUMN(Z$1)-COLUMN($A$1),FALSE))</f>
        <v>6.9027891059275248</v>
      </c>
      <c r="Z131" s="70">
        <f>IF(VLOOKUP($A131,raw[],COLUMN(AA$1)-COLUMN($A$1),FALSE)=0, VLOOKUP($D131, regions[], COLUMN(AA$1)-COLUMN($A$1), FALSE), VLOOKUP($A131,raw[],COLUMN(AA$1)-COLUMN($A$1),FALSE))</f>
        <v>6.8987718881705256</v>
      </c>
      <c r="AA131" s="70">
        <f>IF(VLOOKUP($A131,raw[],COLUMN(AB$1)-COLUMN($A$1),FALSE)=0, VLOOKUP($D131, regions[], COLUMN(AB$1)-COLUMN($A$1), FALSE), VLOOKUP($A131,raw[],COLUMN(AB$1)-COLUMN($A$1),FALSE))</f>
        <v>3.4492681944387584</v>
      </c>
      <c r="AB131" s="70">
        <f>IF(VLOOKUP($A131,raw[],COLUMN(AC$1)-COLUMN($A$1),FALSE)=0, VLOOKUP($D131, regions[], COLUMN(AC$1)-COLUMN($A$1), FALSE), VLOOKUP($A131,raw[],COLUMN(AC$1)-COLUMN($A$1),FALSE))</f>
        <v>7.5192681944387587</v>
      </c>
      <c r="AC131" s="72">
        <f>IF(VLOOKUP($A131,raw[],COLUMN(AD$1)-COLUMN($A$1),FALSE)=0, VLOOKUP($D131, regions[], COLUMN(AD$1)-COLUMN($A$1), FALSE), VLOOKUP($A131,raw[],COLUMN(AD$1)-COLUMN($A$1),FALSE))</f>
        <v>2.0835470000000061E-2</v>
      </c>
      <c r="AD131" s="72">
        <f>IF(VLOOKUP($A131,raw[],COLUMN(AE$1)-COLUMN($A$1),FALSE)=0, VLOOKUP($D131, regions[], COLUMN(AE$1)-COLUMN($A$1), FALSE), VLOOKUP($A131,raw[],COLUMN(AE$1)-COLUMN($A$1),FALSE))</f>
        <v>1.2221924542139809E-3</v>
      </c>
      <c r="AE131" s="72">
        <f>IF(VLOOKUP($A131,raw[],COLUMN(AF$1)-COLUMN($A$1),FALSE)=0, VLOOKUP($D131, regions[], COLUMN(AF$1)-COLUMN($A$1), FALSE), VLOOKUP($A131,raw[],COLUMN(AF$1)-COLUMN($A$1),FALSE))</f>
        <v>2.8759897009950872E-4</v>
      </c>
      <c r="AF131" s="72">
        <f>IF(VLOOKUP($A131,raw[],COLUMN(AG$1)-COLUMN($A$1),FALSE)=0, VLOOKUP($D131, regions[], COLUMN(AG$1)-COLUMN($A$1), FALSE), VLOOKUP($A131,raw[],COLUMN(AG$1)-COLUMN($A$1),FALSE))</f>
        <v>3.0645962075525354E-4</v>
      </c>
      <c r="AG131" s="72">
        <f>IF(VLOOKUP($A131,raw[],COLUMN(AH$1)-COLUMN($A$1),FALSE)=0, VLOOKUP($D131, regions[], COLUMN(AH$1)-COLUMN($A$1), FALSE), VLOOKUP($A131,raw[],COLUMN(AH$1)-COLUMN($A$1),FALSE))</f>
        <v>5.0447480651230712E-4</v>
      </c>
      <c r="AH131" s="72">
        <f>IF(VLOOKUP($A131,raw[],COLUMN(AI$1)-COLUMN($A$1),FALSE)=0, VLOOKUP($D131, regions[], COLUMN(AI$1)-COLUMN($A$1), FALSE), VLOOKUP($A131,raw[],COLUMN(AI$1)-COLUMN($A$1),FALSE))</f>
        <v>7.2446909122894415E-4</v>
      </c>
      <c r="AI131" s="72">
        <f>IF(VLOOKUP($A131,raw[],COLUMN(AJ$1)-COLUMN($A$1),FALSE)=0, VLOOKUP($D131, regions[], COLUMN(AJ$1)-COLUMN($A$1), FALSE), VLOOKUP($A131,raw[],COLUMN(AJ$1)-COLUMN($A$1),FALSE))</f>
        <v>9.7348908487552329E-4</v>
      </c>
      <c r="AJ131" s="72">
        <f>IF(VLOOKUP($A131,raw[],COLUMN(AK$1)-COLUMN($A$1),FALSE)=0, VLOOKUP($D131, regions[], COLUMN(AK$1)-COLUMN($A$1), FALSE), VLOOKUP($A131,raw[],COLUMN(AK$1)-COLUMN($A$1),FALSE))</f>
        <v>1.319865314538814E-3</v>
      </c>
      <c r="AK131" s="72">
        <f>IF(VLOOKUP($A131,raw[],COLUMN(AL$1)-COLUMN($A$1),FALSE)=0, VLOOKUP($D131, regions[], COLUMN(AL$1)-COLUMN($A$1), FALSE), VLOOKUP($A131,raw[],COLUMN(AL$1)-COLUMN($A$1),FALSE))</f>
        <v>1.8403965508041662E-3</v>
      </c>
      <c r="AL131" s="72">
        <f>IF(VLOOKUP($A131,raw[],COLUMN(AM$1)-COLUMN($A$1),FALSE)=0, VLOOKUP($D131, regions[], COLUMN(AM$1)-COLUMN($A$1), FALSE), VLOOKUP($A131,raw[],COLUMN(AM$1)-COLUMN($A$1),FALSE))</f>
        <v>2.5695807395264944E-3</v>
      </c>
      <c r="AM131" s="72">
        <f>IF(VLOOKUP($A131,raw[],COLUMN(AN$1)-COLUMN($A$1),FALSE)=0, VLOOKUP($D131, regions[], COLUMN(AN$1)-COLUMN($A$1), FALSE), VLOOKUP($A131,raw[],COLUMN(AN$1)-COLUMN($A$1),FALSE))</f>
        <v>3.8966223465779679E-3</v>
      </c>
      <c r="AN131" s="72">
        <f>IF(VLOOKUP($A131,raw[],COLUMN(AO$1)-COLUMN($A$1),FALSE)=0, VLOOKUP($D131, regions[], COLUMN(AO$1)-COLUMN($A$1), FALSE), VLOOKUP($A131,raw[],COLUMN(AO$1)-COLUMN($A$1),FALSE))</f>
        <v>6.2610641946699601E-3</v>
      </c>
      <c r="AO131" s="72">
        <f>IF(VLOOKUP($A131,raw[],COLUMN(AP$1)-COLUMN($A$1),FALSE)=0, VLOOKUP($D131, regions[], COLUMN(AP$1)-COLUMN($A$1), FALSE), VLOOKUP($A131,raw[],COLUMN(AP$1)-COLUMN($A$1),FALSE))</f>
        <v>1.0593543607104964E-2</v>
      </c>
      <c r="AP131" s="72">
        <f>IF(VLOOKUP($A131,raw[],COLUMN(AQ$1)-COLUMN($A$1),FALSE)=0, VLOOKUP($D131, regions[], COLUMN(AQ$1)-COLUMN($A$1), FALSE), VLOOKUP($A131,raw[],COLUMN(AQ$1)-COLUMN($A$1),FALSE))</f>
        <v>1.8161334786417935E-2</v>
      </c>
      <c r="AQ131" s="72">
        <f>IF(VLOOKUP($A131,raw[],COLUMN(AR$1)-COLUMN($A$1),FALSE)=0, VLOOKUP($D131, regions[], COLUMN(AR$1)-COLUMN($A$1), FALSE), VLOOKUP($A131,raw[],COLUMN(AR$1)-COLUMN($A$1),FALSE))</f>
        <v>2.8615281557734854E-2</v>
      </c>
      <c r="AR131" s="72">
        <f>IF(VLOOKUP($A131,raw[],COLUMN(AS$1)-COLUMN($A$1),FALSE)=0, VLOOKUP($D131, regions[], COLUMN(AS$1)-COLUMN($A$1), FALSE), VLOOKUP($A131,raw[],COLUMN(AS$1)-COLUMN($A$1),FALSE))</f>
        <v>4.4290652552574764E-2</v>
      </c>
      <c r="AS131" s="72">
        <f>IF(VLOOKUP($A131,raw[],COLUMN(AT$1)-COLUMN($A$1),FALSE)=0, VLOOKUP($D131, regions[], COLUMN(AT$1)-COLUMN($A$1), FALSE), VLOOKUP($A131,raw[],COLUMN(AT$1)-COLUMN($A$1),FALSE))</f>
        <v>6.6937789309553714E-2</v>
      </c>
      <c r="AT131" s="72">
        <f>IF(VLOOKUP($A131,raw[],COLUMN(AU$1)-COLUMN($A$1),FALSE)=0, VLOOKUP($D131, regions[], COLUMN(AU$1)-COLUMN($A$1), FALSE), VLOOKUP($A131,raw[],COLUMN(AU$1)-COLUMN($A$1),FALSE))</f>
        <v>9.5342529249283853E-2</v>
      </c>
      <c r="AU131" s="72">
        <f>IF(VLOOKUP($A131,raw[],COLUMN(AV$1)-COLUMN($A$1),FALSE)=0, VLOOKUP($D131, regions[], COLUMN(AV$1)-COLUMN($A$1), FALSE), VLOOKUP($A131,raw[],COLUMN(AV$1)-COLUMN($A$1),FALSE))</f>
        <v>0.12569422224177099</v>
      </c>
      <c r="AV131" s="72">
        <f>IF(VLOOKUP($A131,raw[],COLUMN(AW$1)-COLUMN($A$1),FALSE)=0, VLOOKUP($D131, regions[], COLUMN(AW$1)-COLUMN($A$1), FALSE), VLOOKUP($A131,raw[],COLUMN(AW$1)-COLUMN($A$1),FALSE))</f>
        <v>0.15364270326612647</v>
      </c>
      <c r="AW131" s="72">
        <f>IF(VLOOKUP($A131,raw[],COLUMN(AX$1)-COLUMN($A$1),FALSE)=0, VLOOKUP($D131, regions[], COLUMN(AX$1)-COLUMN($A$1), FALSE), VLOOKUP($A131,raw[],COLUMN(AX$1)-COLUMN($A$1),FALSE))</f>
        <v>0.17363588120761062</v>
      </c>
      <c r="AX131" s="72">
        <f>IF(VLOOKUP($A131,raw[],COLUMN(AY$1)-COLUMN($A$1),FALSE)=0, VLOOKUP($D131, regions[], COLUMN(AY$1)-COLUMN($A$1), FALSE), VLOOKUP($A131,raw[],COLUMN(AY$1)-COLUMN($A$1),FALSE))</f>
        <v>71.531999999999996</v>
      </c>
      <c r="AY131" t="str">
        <f t="shared" si="4"/>
        <v>No</v>
      </c>
    </row>
    <row r="132" spans="1:51" x14ac:dyDescent="0.25">
      <c r="A132" s="53" t="s">
        <v>484</v>
      </c>
      <c r="B132" s="54" t="s">
        <v>485</v>
      </c>
      <c r="C132" s="54">
        <v>548</v>
      </c>
      <c r="D132" s="54" t="s">
        <v>260</v>
      </c>
      <c r="E132" s="54" t="s">
        <v>309</v>
      </c>
      <c r="F132" s="54" t="s">
        <v>262</v>
      </c>
      <c r="G132" s="54" t="s">
        <v>212</v>
      </c>
      <c r="H132" s="73">
        <f>VLOOKUP(lmics[[#This Row],[setting]],raw[],8,FALSE)</f>
        <v>307150</v>
      </c>
      <c r="I132" s="73">
        <f>VLOOKUP(lmics[[#This Row],[setting]],raw[],9,FALSE)</f>
        <v>9152.1485499999999</v>
      </c>
      <c r="J132" s="67">
        <f>IF(VLOOKUP($A132,raw[],COLUMN(J$1),FALSE)=0, VLOOKUP($D132, regions[], COLUMN(J$1), FALSE), VLOOKUP($A132,raw[],COLUMN(J$1),FALSE))</f>
        <v>0.88500000000000001</v>
      </c>
      <c r="K132" s="77">
        <f>VLOOKUP($A132, raw[], 11, FALSE)</f>
        <v>0.59</v>
      </c>
      <c r="L132" s="77">
        <f>VLOOKUP($A132, raw[], 12, FALSE)</f>
        <v>0.78</v>
      </c>
      <c r="M132" s="77">
        <f>IF(VLOOKUP($A132,raw[],COLUMN(M$1),FALSE)=0, VLOOKUP($D132, regions[], COLUMN(M$1), FALSE), VLOOKUP($A132,raw[],COLUMN(M$1),FALSE))</f>
        <v>0.1133</v>
      </c>
      <c r="N132" s="68">
        <f>IF(VLOOKUP($A132,raw[],COLUMN(N$1),FALSE)=0, VLOOKUP($D132, regions[], COLUMN(N$1), FALSE), VLOOKUP($A132,raw[],COLUMN(N$1),FALSE))</f>
        <v>0.33217937182255036</v>
      </c>
      <c r="O132" s="67">
        <f>IF(VLOOKUP($A132,raw[],COLUMN(O$1),FALSE)=0, VLOOKUP($D132, regions[], COLUMN(O$1), FALSE), VLOOKUP($A132,raw[],COLUMN(O$1),FALSE))</f>
        <v>0.8</v>
      </c>
      <c r="P132" s="68">
        <f>IF(VLOOKUP($A132,raw[],COLUMN(P$1),FALSE)=0, VLOOKUP($D132, regions[], COLUMN(P$1), FALSE), VLOOKUP($A132,raw[],COLUMN(P$1),FALSE))</f>
        <v>0.17499999999999999</v>
      </c>
      <c r="Q132" s="70">
        <f>IF(VLOOKUP($A132,raw[],COLUMN(Q$1),FALSE)=0, VLOOKUP($D132, regions[], COLUMN(Q$1), FALSE), VLOOKUP($A132,raw[],COLUMN(Q$1),FALSE))</f>
        <v>10.41503758963283</v>
      </c>
      <c r="R132" s="70">
        <f>IF(VLOOKUP($A132,raw[],COLUMN(R$1),FALSE)=0, VLOOKUP($D132, regions[], COLUMN(R$1), FALSE), VLOOKUP($A132,raw[],COLUMN(R$1),FALSE))</f>
        <v>32.740417589632834</v>
      </c>
      <c r="S132" s="70">
        <f>IF(VLOOKUP($A132,raw[],COLUMN(S$1),FALSE)=0, VLOOKUP($D132, regions[], COLUMN(S$1), FALSE), VLOOKUP($A132,raw[],COLUMN(S$1),FALSE))</f>
        <v>82.864168751039529</v>
      </c>
      <c r="T132" s="70">
        <f>IF(VLOOKUP($A132,raw[],COLUMN(U$1)-COLUMN($A$1),FALSE)=0, VLOOKUP($D132, regions[], COLUMN(U$1)-COLUMN($A$1), FALSE), VLOOKUP($A132,raw[],COLUMN(U$1)-COLUMN($A$1),FALSE))</f>
        <v>93.743840620462194</v>
      </c>
      <c r="U132" s="70">
        <f>IF(VLOOKUP($A132,raw[],COLUMN(V$1)-COLUMN($A$1),FALSE)=0, VLOOKUP($D132, regions[], COLUMN(V$1)-COLUMN($A$1), FALSE), VLOOKUP($A132,raw[],COLUMN(V$1)-COLUMN($A$1),FALSE))</f>
        <v>88.748125264989937</v>
      </c>
      <c r="V132" s="70">
        <f>IF(VLOOKUP($A132,raw[],COLUMN(W$1)-COLUMN($A$1),FALSE)=0, VLOOKUP($D132, regions[], COLUMN(W$1)-COLUMN($A$1), FALSE), VLOOKUP($A132,raw[],COLUMN(W$1)-COLUMN($A$1),FALSE))</f>
        <v>6.6978892242118286</v>
      </c>
      <c r="W132" s="70">
        <f>IF(VLOOKUP($A132,raw[],COLUMN(X$1)-COLUMN($A$1),FALSE)=0, VLOOKUP($D132, regions[], COLUMN(X$1)-COLUMN($A$1), FALSE), VLOOKUP($A132,raw[],COLUMN(X$1)-COLUMN($A$1),FALSE))</f>
        <v>7.3278892242118285</v>
      </c>
      <c r="X132" s="70">
        <f>IF(VLOOKUP($A132,raw[],COLUMN(Y$1)-COLUMN($A$1),FALSE)=0, VLOOKUP($D132, regions[], COLUMN(Y$1)-COLUMN($A$1), FALSE), VLOOKUP($A132,raw[],COLUMN(Y$1)-COLUMN($A$1),FALSE))</f>
        <v>6.2805002333861344</v>
      </c>
      <c r="Y132" s="70">
        <f>IF(VLOOKUP($A132,raw[],COLUMN(Z$1)-COLUMN($A$1),FALSE)=0, VLOOKUP($D132, regions[], COLUMN(Z$1)-COLUMN($A$1), FALSE), VLOOKUP($A132,raw[],COLUMN(Z$1)-COLUMN($A$1),FALSE))</f>
        <v>6.9105002333861343</v>
      </c>
      <c r="Z132" s="70">
        <f>IF(VLOOKUP($A132,raw[],COLUMN(AA$1)-COLUMN($A$1),FALSE)=0, VLOOKUP($D132, regions[], COLUMN(AA$1)-COLUMN($A$1), FALSE), VLOOKUP($A132,raw[],COLUMN(AA$1)-COLUMN($A$1),FALSE))</f>
        <v>6.9041267698822946</v>
      </c>
      <c r="AA132" s="70">
        <f>IF(VLOOKUP($A132,raw[],COLUMN(AB$1)-COLUMN($A$1),FALSE)=0, VLOOKUP($D132, regions[], COLUMN(AB$1)-COLUMN($A$1), FALSE), VLOOKUP($A132,raw[],COLUMN(AB$1)-COLUMN($A$1),FALSE))</f>
        <v>6.9054573996954902</v>
      </c>
      <c r="AB132" s="70">
        <f>IF(VLOOKUP($A132,raw[],COLUMN(AC$1)-COLUMN($A$1),FALSE)=0, VLOOKUP($D132, regions[], COLUMN(AC$1)-COLUMN($A$1), FALSE), VLOOKUP($A132,raw[],COLUMN(AC$1)-COLUMN($A$1),FALSE))</f>
        <v>7.5354573996954901</v>
      </c>
      <c r="AC132" s="72">
        <f>IF(VLOOKUP($A132,raw[],COLUMN(AD$1)-COLUMN($A$1),FALSE)=0, VLOOKUP($D132, regions[], COLUMN(AD$1)-COLUMN($A$1), FALSE), VLOOKUP($A132,raw[],COLUMN(AD$1)-COLUMN($A$1),FALSE))</f>
        <v>2.2365599999999975E-2</v>
      </c>
      <c r="AD132" s="72">
        <f>IF(VLOOKUP($A132,raw[],COLUMN(AE$1)-COLUMN($A$1),FALSE)=0, VLOOKUP($D132, regions[], COLUMN(AE$1)-COLUMN($A$1), FALSE), VLOOKUP($A132,raw[],COLUMN(AE$1)-COLUMN($A$1),FALSE))</f>
        <v>1.0929417991020081E-3</v>
      </c>
      <c r="AE132" s="72">
        <f>IF(VLOOKUP($A132,raw[],COLUMN(AF$1)-COLUMN($A$1),FALSE)=0, VLOOKUP($D132, regions[], COLUMN(AF$1)-COLUMN($A$1), FALSE), VLOOKUP($A132,raw[],COLUMN(AF$1)-COLUMN($A$1),FALSE))</f>
        <v>4.2713469309892517E-4</v>
      </c>
      <c r="AF132" s="72">
        <f>IF(VLOOKUP($A132,raw[],COLUMN(AG$1)-COLUMN($A$1),FALSE)=0, VLOOKUP($D132, regions[], COLUMN(AG$1)-COLUMN($A$1), FALSE), VLOOKUP($A132,raw[],COLUMN(AG$1)-COLUMN($A$1),FALSE))</f>
        <v>3.6316758096208623E-4</v>
      </c>
      <c r="AG132" s="72">
        <f>IF(VLOOKUP($A132,raw[],COLUMN(AH$1)-COLUMN($A$1),FALSE)=0, VLOOKUP($D132, regions[], COLUMN(AH$1)-COLUMN($A$1), FALSE), VLOOKUP($A132,raw[],COLUMN(AH$1)-COLUMN($A$1),FALSE))</f>
        <v>7.3020412598037775E-4</v>
      </c>
      <c r="AH132" s="72">
        <f>IF(VLOOKUP($A132,raw[],COLUMN(AI$1)-COLUMN($A$1),FALSE)=0, VLOOKUP($D132, regions[], COLUMN(AI$1)-COLUMN($A$1), FALSE), VLOOKUP($A132,raw[],COLUMN(AI$1)-COLUMN($A$1),FALSE))</f>
        <v>9.042212246174623E-4</v>
      </c>
      <c r="AI132" s="72">
        <f>IF(VLOOKUP($A132,raw[],COLUMN(AJ$1)-COLUMN($A$1),FALSE)=0, VLOOKUP($D132, regions[], COLUMN(AJ$1)-COLUMN($A$1), FALSE), VLOOKUP($A132,raw[],COLUMN(AJ$1)-COLUMN($A$1),FALSE))</f>
        <v>9.2983137088334909E-4</v>
      </c>
      <c r="AJ132" s="72">
        <f>IF(VLOOKUP($A132,raw[],COLUMN(AK$1)-COLUMN($A$1),FALSE)=0, VLOOKUP($D132, regions[], COLUMN(AK$1)-COLUMN($A$1), FALSE), VLOOKUP($A132,raw[],COLUMN(AK$1)-COLUMN($A$1),FALSE))</f>
        <v>1.1272768136882424E-3</v>
      </c>
      <c r="AK132" s="72">
        <f>IF(VLOOKUP($A132,raw[],COLUMN(AL$1)-COLUMN($A$1),FALSE)=0, VLOOKUP($D132, regions[], COLUMN(AL$1)-COLUMN($A$1), FALSE), VLOOKUP($A132,raw[],COLUMN(AL$1)-COLUMN($A$1),FALSE))</f>
        <v>1.5717165040655993E-3</v>
      </c>
      <c r="AL132" s="72">
        <f>IF(VLOOKUP($A132,raw[],COLUMN(AM$1)-COLUMN($A$1),FALSE)=0, VLOOKUP($D132, regions[], COLUMN(AM$1)-COLUMN($A$1), FALSE), VLOOKUP($A132,raw[],COLUMN(AM$1)-COLUMN($A$1),FALSE))</f>
        <v>2.351146667285709E-3</v>
      </c>
      <c r="AM132" s="72">
        <f>IF(VLOOKUP($A132,raw[],COLUMN(AN$1)-COLUMN($A$1),FALSE)=0, VLOOKUP($D132, regions[], COLUMN(AN$1)-COLUMN($A$1), FALSE), VLOOKUP($A132,raw[],COLUMN(AN$1)-COLUMN($A$1),FALSE))</f>
        <v>3.7690140973061256E-3</v>
      </c>
      <c r="AN132" s="72">
        <f>IF(VLOOKUP($A132,raw[],COLUMN(AO$1)-COLUMN($A$1),FALSE)=0, VLOOKUP($D132, regions[], COLUMN(AO$1)-COLUMN($A$1), FALSE), VLOOKUP($A132,raw[],COLUMN(AO$1)-COLUMN($A$1),FALSE))</f>
        <v>6.0679485172212225E-3</v>
      </c>
      <c r="AO132" s="72">
        <f>IF(VLOOKUP($A132,raw[],COLUMN(AP$1)-COLUMN($A$1),FALSE)=0, VLOOKUP($D132, regions[], COLUMN(AP$1)-COLUMN($A$1), FALSE), VLOOKUP($A132,raw[],COLUMN(AP$1)-COLUMN($A$1),FALSE))</f>
        <v>9.7874537245933452E-3</v>
      </c>
      <c r="AP132" s="72">
        <f>IF(VLOOKUP($A132,raw[],COLUMN(AQ$1)-COLUMN($A$1),FALSE)=0, VLOOKUP($D132, regions[], COLUMN(AQ$1)-COLUMN($A$1), FALSE), VLOOKUP($A132,raw[],COLUMN(AQ$1)-COLUMN($A$1),FALSE))</f>
        <v>1.8251739662412808E-2</v>
      </c>
      <c r="AQ132" s="72">
        <f>IF(VLOOKUP($A132,raw[],COLUMN(AR$1)-COLUMN($A$1),FALSE)=0, VLOOKUP($D132, regions[], COLUMN(AR$1)-COLUMN($A$1), FALSE), VLOOKUP($A132,raw[],COLUMN(AR$1)-COLUMN($A$1),FALSE))</f>
        <v>3.3313885056041562E-2</v>
      </c>
      <c r="AR132" s="72">
        <f>IF(VLOOKUP($A132,raw[],COLUMN(AS$1)-COLUMN($A$1),FALSE)=0, VLOOKUP($D132, regions[], COLUMN(AS$1)-COLUMN($A$1), FALSE), VLOOKUP($A132,raw[],COLUMN(AS$1)-COLUMN($A$1),FALSE))</f>
        <v>5.4982650823014151E-2</v>
      </c>
      <c r="AS132" s="72">
        <f>IF(VLOOKUP($A132,raw[],COLUMN(AT$1)-COLUMN($A$1),FALSE)=0, VLOOKUP($D132, regions[], COLUMN(AT$1)-COLUMN($A$1), FALSE), VLOOKUP($A132,raw[],COLUMN(AT$1)-COLUMN($A$1),FALSE))</f>
        <v>8.3190798891907114E-2</v>
      </c>
      <c r="AT132" s="72">
        <f>IF(VLOOKUP($A132,raw[],COLUMN(AU$1)-COLUMN($A$1),FALSE)=0, VLOOKUP($D132, regions[], COLUMN(AU$1)-COLUMN($A$1), FALSE), VLOOKUP($A132,raw[],COLUMN(AU$1)-COLUMN($A$1),FALSE))</f>
        <v>0.11701161385805187</v>
      </c>
      <c r="AU132" s="72">
        <f>IF(VLOOKUP($A132,raw[],COLUMN(AV$1)-COLUMN($A$1),FALSE)=0, VLOOKUP($D132, regions[], COLUMN(AV$1)-COLUMN($A$1), FALSE), VLOOKUP($A132,raw[],COLUMN(AV$1)-COLUMN($A$1),FALSE))</f>
        <v>0.15147798322094647</v>
      </c>
      <c r="AV132" s="72">
        <f>IF(VLOOKUP($A132,raw[],COLUMN(AW$1)-COLUMN($A$1),FALSE)=0, VLOOKUP($D132, regions[], COLUMN(AW$1)-COLUMN($A$1), FALSE), VLOOKUP($A132,raw[],COLUMN(AW$1)-COLUMN($A$1),FALSE))</f>
        <v>0.17593865686013324</v>
      </c>
      <c r="AW132" s="72">
        <f>IF(VLOOKUP($A132,raw[],COLUMN(AX$1)-COLUMN($A$1),FALSE)=0, VLOOKUP($D132, regions[], COLUMN(AX$1)-COLUMN($A$1), FALSE), VLOOKUP($A132,raw[],COLUMN(AX$1)-COLUMN($A$1),FALSE))</f>
        <v>0.18801125334265398</v>
      </c>
      <c r="AX132" s="72">
        <f>IF(VLOOKUP($A132,raw[],COLUMN(AY$1)-COLUMN($A$1),FALSE)=0, VLOOKUP($D132, regions[], COLUMN(AY$1)-COLUMN($A$1), FALSE), VLOOKUP($A132,raw[],COLUMN(AY$1)-COLUMN($A$1),FALSE))</f>
        <v>70.247</v>
      </c>
      <c r="AY132" t="str">
        <f t="shared" si="4"/>
        <v>No</v>
      </c>
    </row>
    <row r="133" spans="1:51" x14ac:dyDescent="0.25">
      <c r="A133" s="55" t="s">
        <v>486</v>
      </c>
      <c r="B133" s="56" t="s">
        <v>487</v>
      </c>
      <c r="C133" s="56">
        <v>862</v>
      </c>
      <c r="D133" s="56" t="s">
        <v>215</v>
      </c>
      <c r="E133" s="56" t="s">
        <v>274</v>
      </c>
      <c r="F133" s="56" t="s">
        <v>217</v>
      </c>
      <c r="G133" s="56" t="s">
        <v>204</v>
      </c>
      <c r="H133" s="74">
        <f>VLOOKUP(lmics[[#This Row],[setting]],raw[],8,FALSE)</f>
        <v>28435943</v>
      </c>
      <c r="I133" s="74">
        <f>VLOOKUP(lmics[[#This Row],[setting]],raw[],9,FALSE)</f>
        <v>512671.616347</v>
      </c>
      <c r="J133" s="67">
        <f>IF(VLOOKUP($A133,raw[],COLUMN(J$1),FALSE)=0, VLOOKUP($D133, regions[], COLUMN(J$1), FALSE), VLOOKUP($A133,raw[],COLUMN(J$1),FALSE))</f>
        <v>0.9890000000000001</v>
      </c>
      <c r="K133" s="77">
        <f>VLOOKUP($A133, raw[], 11, FALSE)</f>
        <v>0.5</v>
      </c>
      <c r="L133" s="77">
        <f>VLOOKUP($A133, raw[], 12, FALSE)</f>
        <v>0.54</v>
      </c>
      <c r="M133" s="77">
        <f>IF(VLOOKUP($A133,raw[],COLUMN(M$1),FALSE)=0, VLOOKUP($D133, regions[], COLUMN(M$1), FALSE), VLOOKUP($A133,raw[],COLUMN(M$1),FALSE))</f>
        <v>1.8100000000000002E-2</v>
      </c>
      <c r="N133" s="68">
        <f>IF(VLOOKUP($A133,raw[],COLUMN(N$1),FALSE)=0, VLOOKUP($D133, regions[], COLUMN(N$1), FALSE), VLOOKUP($A133,raw[],COLUMN(N$1),FALSE))</f>
        <v>0.32005043651541387</v>
      </c>
      <c r="O133" s="67">
        <f>IF(VLOOKUP($A133,raw[],COLUMN(O$1),FALSE)=0, VLOOKUP($D133, regions[], COLUMN(O$1), FALSE), VLOOKUP($A133,raw[],COLUMN(O$1),FALSE))</f>
        <v>0.8</v>
      </c>
      <c r="P133" s="68">
        <f>IF(VLOOKUP($A133,raw[],COLUMN(P$1),FALSE)=0, VLOOKUP($D133, regions[], COLUMN(P$1), FALSE), VLOOKUP($A133,raw[],COLUMN(P$1),FALSE))</f>
        <v>0.17499999999999999</v>
      </c>
      <c r="Q133" s="70">
        <f>IF(VLOOKUP($A133,raw[],COLUMN(Q$1),FALSE)=0, VLOOKUP($D133, regions[], COLUMN(Q$1), FALSE), VLOOKUP($A133,raw[],COLUMN(Q$1),FALSE))</f>
        <v>18.251532476571199</v>
      </c>
      <c r="R133" s="70">
        <f>IF(VLOOKUP($A133,raw[],COLUMN(R$1),FALSE)=0, VLOOKUP($D133, regions[], COLUMN(R$1), FALSE), VLOOKUP($A133,raw[],COLUMN(R$1),FALSE))</f>
        <v>40.576912476571202</v>
      </c>
      <c r="S133" s="70">
        <f>IF(VLOOKUP($A133,raw[],COLUMN(S$1),FALSE)=0, VLOOKUP($D133, regions[], COLUMN(S$1), FALSE), VLOOKUP($A133,raw[],COLUMN(S$1),FALSE))</f>
        <v>128.23236989580428</v>
      </c>
      <c r="T133" s="70">
        <f>IF(VLOOKUP($A133,raw[],COLUMN(U$1)-COLUMN($A$1),FALSE)=0, VLOOKUP($D133, regions[], COLUMN(U$1)-COLUMN($A$1), FALSE), VLOOKUP($A133,raw[],COLUMN(U$1)-COLUMN($A$1),FALSE))</f>
        <v>158.64598309622539</v>
      </c>
      <c r="U133" s="70">
        <f>IF(VLOOKUP($A133,raw[],COLUMN(V$1)-COLUMN($A$1),FALSE)=0, VLOOKUP($D133, regions[], COLUMN(V$1)-COLUMN($A$1), FALSE), VLOOKUP($A133,raw[],COLUMN(V$1)-COLUMN($A$1),FALSE))</f>
        <v>144.68069477647754</v>
      </c>
      <c r="V133" s="70">
        <f>IF(VLOOKUP($A133,raw[],COLUMN(W$1)-COLUMN($A$1),FALSE)=0, VLOOKUP($D133, regions[], COLUMN(W$1)-COLUMN($A$1), FALSE), VLOOKUP($A133,raw[],COLUMN(W$1)-COLUMN($A$1),FALSE))</f>
        <v>2.4508126612795853</v>
      </c>
      <c r="W133" s="70">
        <f>IF(VLOOKUP($A133,raw[],COLUMN(X$1)-COLUMN($A$1),FALSE)=0, VLOOKUP($D133, regions[], COLUMN(X$1)-COLUMN($A$1), FALSE), VLOOKUP($A133,raw[],COLUMN(X$1)-COLUMN($A$1),FALSE))</f>
        <v>2.4708126612795853</v>
      </c>
      <c r="X133" s="70">
        <f>IF(VLOOKUP($A133,raw[],COLUMN(Y$1)-COLUMN($A$1),FALSE)=0, VLOOKUP($D133, regions[], COLUMN(Y$1)-COLUMN($A$1), FALSE), VLOOKUP($A133,raw[],COLUMN(Y$1)-COLUMN($A$1),FALSE))</f>
        <v>1.9956079296397524</v>
      </c>
      <c r="Y133" s="70">
        <f>IF(VLOOKUP($A133,raw[],COLUMN(Z$1)-COLUMN($A$1),FALSE)=0, VLOOKUP($D133, regions[], COLUMN(Z$1)-COLUMN($A$1), FALSE), VLOOKUP($A133,raw[],COLUMN(Z$1)-COLUMN($A$1),FALSE))</f>
        <v>2.0156079296397524</v>
      </c>
      <c r="Z133" s="70">
        <f>IF(VLOOKUP($A133,raw[],COLUMN(AA$1)-COLUMN($A$1),FALSE)=0, VLOOKUP($D133, regions[], COLUMN(AA$1)-COLUMN($A$1), FALSE), VLOOKUP($A133,raw[],COLUMN(AA$1)-COLUMN($A$1),FALSE))</f>
        <v>1.9923139036629227</v>
      </c>
      <c r="AA133" s="70">
        <f>IF(VLOOKUP($A133,raw[],COLUMN(AB$1)-COLUMN($A$1),FALSE)=0, VLOOKUP($D133, regions[], COLUMN(AB$1)-COLUMN($A$1), FALSE), VLOOKUP($A133,raw[],COLUMN(AB$1)-COLUMN($A$1),FALSE))</f>
        <v>2.6718629704448098</v>
      </c>
      <c r="AB133" s="70">
        <f>IF(VLOOKUP($A133,raw[],COLUMN(AC$1)-COLUMN($A$1),FALSE)=0, VLOOKUP($D133, regions[], COLUMN(AC$1)-COLUMN($A$1), FALSE), VLOOKUP($A133,raw[],COLUMN(AC$1)-COLUMN($A$1),FALSE))</f>
        <v>2.6918629704448098</v>
      </c>
      <c r="AC133" s="72">
        <f>IF(VLOOKUP($A133,raw[],COLUMN(AD$1)-COLUMN($A$1),FALSE)=0, VLOOKUP($D133, regions[], COLUMN(AD$1)-COLUMN($A$1), FALSE), VLOOKUP($A133,raw[],COLUMN(AD$1)-COLUMN($A$1),FALSE))</f>
        <v>2.5699989999999961E-2</v>
      </c>
      <c r="AD133" s="72">
        <f>IF(VLOOKUP($A133,raw[],COLUMN(AE$1)-COLUMN($A$1),FALSE)=0, VLOOKUP($D133, regions[], COLUMN(AE$1)-COLUMN($A$1), FALSE), VLOOKUP($A133,raw[],COLUMN(AE$1)-COLUMN($A$1),FALSE))</f>
        <v>1.3222108044523197E-3</v>
      </c>
      <c r="AE133" s="72">
        <f>IF(VLOOKUP($A133,raw[],COLUMN(AF$1)-COLUMN($A$1),FALSE)=0, VLOOKUP($D133, regions[], COLUMN(AF$1)-COLUMN($A$1), FALSE), VLOOKUP($A133,raw[],COLUMN(AF$1)-COLUMN($A$1),FALSE))</f>
        <v>2.4073538723623375E-4</v>
      </c>
      <c r="AF133" s="72">
        <f>IF(VLOOKUP($A133,raw[],COLUMN(AG$1)-COLUMN($A$1),FALSE)=0, VLOOKUP($D133, regions[], COLUMN(AG$1)-COLUMN($A$1), FALSE), VLOOKUP($A133,raw[],COLUMN(AG$1)-COLUMN($A$1),FALSE))</f>
        <v>3.4713920646440243E-4</v>
      </c>
      <c r="AG133" s="72">
        <f>IF(VLOOKUP($A133,raw[],COLUMN(AH$1)-COLUMN($A$1),FALSE)=0, VLOOKUP($D133, regions[], COLUMN(AH$1)-COLUMN($A$1), FALSE), VLOOKUP($A133,raw[],COLUMN(AH$1)-COLUMN($A$1),FALSE))</f>
        <v>1.4184656835969935E-3</v>
      </c>
      <c r="AH133" s="72">
        <f>IF(VLOOKUP($A133,raw[],COLUMN(AI$1)-COLUMN($A$1),FALSE)=0, VLOOKUP($D133, regions[], COLUMN(AI$1)-COLUMN($A$1), FALSE), VLOOKUP($A133,raw[],COLUMN(AI$1)-COLUMN($A$1),FALSE))</f>
        <v>2.2033272891926218E-3</v>
      </c>
      <c r="AI133" s="72">
        <f>IF(VLOOKUP($A133,raw[],COLUMN(AJ$1)-COLUMN($A$1),FALSE)=0, VLOOKUP($D133, regions[], COLUMN(AJ$1)-COLUMN($A$1), FALSE), VLOOKUP($A133,raw[],COLUMN(AJ$1)-COLUMN($A$1),FALSE))</f>
        <v>2.1654139598228104E-3</v>
      </c>
      <c r="AJ133" s="72">
        <f>IF(VLOOKUP($A133,raw[],COLUMN(AK$1)-COLUMN($A$1),FALSE)=0, VLOOKUP($D133, regions[], COLUMN(AK$1)-COLUMN($A$1), FALSE), VLOOKUP($A133,raw[],COLUMN(AK$1)-COLUMN($A$1),FALSE))</f>
        <v>2.1285661497573356E-3</v>
      </c>
      <c r="AK133" s="72">
        <f>IF(VLOOKUP($A133,raw[],COLUMN(AL$1)-COLUMN($A$1),FALSE)=0, VLOOKUP($D133, regions[], COLUMN(AL$1)-COLUMN($A$1), FALSE), VLOOKUP($A133,raw[],COLUMN(AL$1)-COLUMN($A$1),FALSE))</f>
        <v>2.0966897267258268E-3</v>
      </c>
      <c r="AL133" s="72">
        <f>IF(VLOOKUP($A133,raw[],COLUMN(AM$1)-COLUMN($A$1),FALSE)=0, VLOOKUP($D133, regions[], COLUMN(AM$1)-COLUMN($A$1), FALSE), VLOOKUP($A133,raw[],COLUMN(AM$1)-COLUMN($A$1),FALSE))</f>
        <v>2.6490402944047372E-3</v>
      </c>
      <c r="AM133" s="72">
        <f>IF(VLOOKUP($A133,raw[],COLUMN(AN$1)-COLUMN($A$1),FALSE)=0, VLOOKUP($D133, regions[], COLUMN(AN$1)-COLUMN($A$1), FALSE), VLOOKUP($A133,raw[],COLUMN(AN$1)-COLUMN($A$1),FALSE))</f>
        <v>3.9420058344002418E-3</v>
      </c>
      <c r="AN133" s="72">
        <f>IF(VLOOKUP($A133,raw[],COLUMN(AO$1)-COLUMN($A$1),FALSE)=0, VLOOKUP($D133, regions[], COLUMN(AO$1)-COLUMN($A$1), FALSE), VLOOKUP($A133,raw[],COLUMN(AO$1)-COLUMN($A$1),FALSE))</f>
        <v>6.3232546972606593E-3</v>
      </c>
      <c r="AO133" s="72">
        <f>IF(VLOOKUP($A133,raw[],COLUMN(AP$1)-COLUMN($A$1),FALSE)=0, VLOOKUP($D133, regions[], COLUMN(AP$1)-COLUMN($A$1), FALSE), VLOOKUP($A133,raw[],COLUMN(AP$1)-COLUMN($A$1),FALSE))</f>
        <v>9.5742306335507461E-3</v>
      </c>
      <c r="AP133" s="72">
        <f>IF(VLOOKUP($A133,raw[],COLUMN(AQ$1)-COLUMN($A$1),FALSE)=0, VLOOKUP($D133, regions[], COLUMN(AQ$1)-COLUMN($A$1), FALSE), VLOOKUP($A133,raw[],COLUMN(AQ$1)-COLUMN($A$1),FALSE))</f>
        <v>1.4907524922666745E-2</v>
      </c>
      <c r="AQ133" s="72">
        <f>IF(VLOOKUP($A133,raw[],COLUMN(AR$1)-COLUMN($A$1),FALSE)=0, VLOOKUP($D133, regions[], COLUMN(AR$1)-COLUMN($A$1), FALSE), VLOOKUP($A133,raw[],COLUMN(AR$1)-COLUMN($A$1),FALSE))</f>
        <v>2.4610677860725554E-2</v>
      </c>
      <c r="AR133" s="72">
        <f>IF(VLOOKUP($A133,raw[],COLUMN(AS$1)-COLUMN($A$1),FALSE)=0, VLOOKUP($D133, regions[], COLUMN(AS$1)-COLUMN($A$1), FALSE), VLOOKUP($A133,raw[],COLUMN(AS$1)-COLUMN($A$1),FALSE))</f>
        <v>3.6409941346616043E-2</v>
      </c>
      <c r="AS133" s="72">
        <f>IF(VLOOKUP($A133,raw[],COLUMN(AT$1)-COLUMN($A$1),FALSE)=0, VLOOKUP($D133, regions[], COLUMN(AT$1)-COLUMN($A$1), FALSE), VLOOKUP($A133,raw[],COLUMN(AT$1)-COLUMN($A$1),FALSE))</f>
        <v>5.2218420994053362E-2</v>
      </c>
      <c r="AT133" s="72">
        <f>IF(VLOOKUP($A133,raw[],COLUMN(AU$1)-COLUMN($A$1),FALSE)=0, VLOOKUP($D133, regions[], COLUMN(AU$1)-COLUMN($A$1), FALSE), VLOOKUP($A133,raw[],COLUMN(AU$1)-COLUMN($A$1),FALSE))</f>
        <v>6.5955992816426945E-2</v>
      </c>
      <c r="AU133" s="72">
        <f>IF(VLOOKUP($A133,raw[],COLUMN(AV$1)-COLUMN($A$1),FALSE)=0, VLOOKUP($D133, regions[], COLUMN(AV$1)-COLUMN($A$1), FALSE), VLOOKUP($A133,raw[],COLUMN(AV$1)-COLUMN($A$1),FALSE))</f>
        <v>9.2410300253510005E-2</v>
      </c>
      <c r="AV133" s="72">
        <f>IF(VLOOKUP($A133,raw[],COLUMN(AW$1)-COLUMN($A$1),FALSE)=0, VLOOKUP($D133, regions[], COLUMN(AW$1)-COLUMN($A$1), FALSE), VLOOKUP($A133,raw[],COLUMN(AW$1)-COLUMN($A$1),FALSE))</f>
        <v>0.11340137220322517</v>
      </c>
      <c r="AW133" s="72">
        <f>IF(VLOOKUP($A133,raw[],COLUMN(AX$1)-COLUMN($A$1),FALSE)=0, VLOOKUP($D133, regions[], COLUMN(AX$1)-COLUMN($A$1), FALSE), VLOOKUP($A133,raw[],COLUMN(AX$1)-COLUMN($A$1),FALSE))</f>
        <v>0.14518603818032744</v>
      </c>
      <c r="AX133" s="72">
        <f>IF(VLOOKUP($A133,raw[],COLUMN(AY$1)-COLUMN($A$1),FALSE)=0, VLOOKUP($D133, regions[], COLUMN(AY$1)-COLUMN($A$1), FALSE), VLOOKUP($A133,raw[],COLUMN(AY$1)-COLUMN($A$1),FALSE))</f>
        <v>72.126000000000005</v>
      </c>
      <c r="AY133" t="str">
        <f t="shared" si="4"/>
        <v>No</v>
      </c>
    </row>
    <row r="134" spans="1:51" x14ac:dyDescent="0.25">
      <c r="A134" s="53" t="s">
        <v>488</v>
      </c>
      <c r="B134" s="54" t="s">
        <v>489</v>
      </c>
      <c r="C134" s="54">
        <v>704</v>
      </c>
      <c r="D134" s="54" t="s">
        <v>260</v>
      </c>
      <c r="E134" s="54" t="s">
        <v>261</v>
      </c>
      <c r="F134" s="54" t="s">
        <v>262</v>
      </c>
      <c r="G134" s="54" t="s">
        <v>212</v>
      </c>
      <c r="H134" s="73">
        <f>VLOOKUP(lmics[[#This Row],[setting]],raw[],8,FALSE)</f>
        <v>97338583</v>
      </c>
      <c r="I134" s="73">
        <f>VLOOKUP(lmics[[#This Row],[setting]],raw[],9,FALSE)</f>
        <v>1649402.2889350001</v>
      </c>
      <c r="J134" s="67">
        <f>IF(VLOOKUP($A134,raw[],COLUMN(J$1),FALSE)=0, VLOOKUP($D134, regions[], COLUMN(J$1), FALSE), VLOOKUP($A134,raw[],COLUMN(J$1),FALSE))</f>
        <v>0.93599999999999994</v>
      </c>
      <c r="K134" s="77">
        <f>VLOOKUP($A134, raw[], 11, FALSE)</f>
        <v>0.82</v>
      </c>
      <c r="L134" s="77">
        <f>VLOOKUP($A134, raw[], 12, FALSE)</f>
        <v>0.94</v>
      </c>
      <c r="M134" s="77">
        <f>IF(VLOOKUP($A134,raw[],COLUMN(M$1),FALSE)=0, VLOOKUP($D134, regions[], COLUMN(M$1), FALSE), VLOOKUP($A134,raw[],COLUMN(M$1),FALSE))</f>
        <v>9.9399999999999988E-2</v>
      </c>
      <c r="N134" s="68">
        <f>IF(VLOOKUP($A134,raw[],COLUMN(N$1),FALSE)=0, VLOOKUP($D134, regions[], COLUMN(N$1), FALSE), VLOOKUP($A134,raw[],COLUMN(N$1),FALSE))</f>
        <v>0.33293982634150898</v>
      </c>
      <c r="O134" s="67">
        <f>IF(VLOOKUP($A134,raw[],COLUMN(O$1),FALSE)=0, VLOOKUP($D134, regions[], COLUMN(O$1), FALSE), VLOOKUP($A134,raw[],COLUMN(O$1),FALSE))</f>
        <v>0.8</v>
      </c>
      <c r="P134" s="68">
        <f>IF(VLOOKUP($A134,raw[],COLUMN(P$1),FALSE)=0, VLOOKUP($D134, regions[], COLUMN(P$1), FALSE), VLOOKUP($A134,raw[],COLUMN(P$1),FALSE))</f>
        <v>0.17499999999999999</v>
      </c>
      <c r="Q134" s="70">
        <f>IF(VLOOKUP($A134,raw[],COLUMN(Q$1),FALSE)=0, VLOOKUP($D134, regions[], COLUMN(Q$1), FALSE), VLOOKUP($A134,raw[],COLUMN(Q$1),FALSE))</f>
        <v>3.7599611613328898</v>
      </c>
      <c r="R134" s="70">
        <f>IF(VLOOKUP($A134,raw[],COLUMN(R$1),FALSE)=0, VLOOKUP($D134, regions[], COLUMN(R$1), FALSE), VLOOKUP($A134,raw[],COLUMN(R$1),FALSE))</f>
        <v>26.085341161332892</v>
      </c>
      <c r="S134" s="70">
        <f>IF(VLOOKUP($A134,raw[],COLUMN(S$1),FALSE)=0, VLOOKUP($D134, regions[], COLUMN(S$1), FALSE), VLOOKUP($A134,raw[],COLUMN(S$1),FALSE))</f>
        <v>59.231254746038331</v>
      </c>
      <c r="T134" s="70">
        <f>IF(VLOOKUP($A134,raw[],COLUMN(U$1)-COLUMN($A$1),FALSE)=0, VLOOKUP($D134, regions[], COLUMN(U$1)-COLUMN($A$1), FALSE), VLOOKUP($A134,raw[],COLUMN(U$1)-COLUMN($A$1),FALSE))</f>
        <v>61.274555551692863</v>
      </c>
      <c r="U134" s="70">
        <f>IF(VLOOKUP($A134,raw[],COLUMN(V$1)-COLUMN($A$1),FALSE)=0, VLOOKUP($D134, regions[], COLUMN(V$1)-COLUMN($A$1), FALSE), VLOOKUP($A134,raw[],COLUMN(V$1)-COLUMN($A$1),FALSE))</f>
        <v>60.336315011613152</v>
      </c>
      <c r="V134" s="70">
        <f>IF(VLOOKUP($A134,raw[],COLUMN(W$1)-COLUMN($A$1),FALSE)=0, VLOOKUP($D134, regions[], COLUMN(W$1)-COLUMN($A$1), FALSE), VLOOKUP($A134,raw[],COLUMN(W$1)-COLUMN($A$1),FALSE))</f>
        <v>1.689900608006079</v>
      </c>
      <c r="W134" s="70">
        <f>IF(VLOOKUP($A134,raw[],COLUMN(X$1)-COLUMN($A$1),FALSE)=0, VLOOKUP($D134, regions[], COLUMN(X$1)-COLUMN($A$1), FALSE), VLOOKUP($A134,raw[],COLUMN(X$1)-COLUMN($A$1),FALSE))</f>
        <v>2.3199006080060789</v>
      </c>
      <c r="X134" s="70">
        <f>IF(VLOOKUP($A134,raw[],COLUMN(Y$1)-COLUMN($A$1),FALSE)=0, VLOOKUP($D134, regions[], COLUMN(Y$1)-COLUMN($A$1), FALSE), VLOOKUP($A134,raw[],COLUMN(Y$1)-COLUMN($A$1),FALSE))</f>
        <v>1.2721249493698821</v>
      </c>
      <c r="Y134" s="70">
        <f>IF(VLOOKUP($A134,raw[],COLUMN(Z$1)-COLUMN($A$1),FALSE)=0, VLOOKUP($D134, regions[], COLUMN(Z$1)-COLUMN($A$1), FALSE), VLOOKUP($A134,raw[],COLUMN(Z$1)-COLUMN($A$1),FALSE))</f>
        <v>1.902124949369882</v>
      </c>
      <c r="Z134" s="70">
        <f>IF(VLOOKUP($A134,raw[],COLUMN(AA$1)-COLUMN($A$1),FALSE)=0, VLOOKUP($D134, regions[], COLUMN(AA$1)-COLUMN($A$1), FALSE), VLOOKUP($A134,raw[],COLUMN(AA$1)-COLUMN($A$1),FALSE))</f>
        <v>1.8951732976380211</v>
      </c>
      <c r="AA134" s="70">
        <f>IF(VLOOKUP($A134,raw[],COLUMN(AB$1)-COLUMN($A$1),FALSE)=0, VLOOKUP($D134, regions[], COLUMN(AB$1)-COLUMN($A$1), FALSE), VLOOKUP($A134,raw[],COLUMN(AB$1)-COLUMN($A$1),FALSE))</f>
        <v>1.8976066389700073</v>
      </c>
      <c r="AB134" s="70">
        <f>IF(VLOOKUP($A134,raw[],COLUMN(AC$1)-COLUMN($A$1),FALSE)=0, VLOOKUP($D134, regions[], COLUMN(AC$1)-COLUMN($A$1), FALSE), VLOOKUP($A134,raw[],COLUMN(AC$1)-COLUMN($A$1),FALSE))</f>
        <v>2.5276066389700071</v>
      </c>
      <c r="AC134" s="72">
        <f>IF(VLOOKUP($A134,raw[],COLUMN(AD$1)-COLUMN($A$1),FALSE)=0, VLOOKUP($D134, regions[], COLUMN(AD$1)-COLUMN($A$1), FALSE), VLOOKUP($A134,raw[],COLUMN(AD$1)-COLUMN($A$1),FALSE))</f>
        <v>1.6719989999999962E-2</v>
      </c>
      <c r="AD134" s="72">
        <f>IF(VLOOKUP($A134,raw[],COLUMN(AE$1)-COLUMN($A$1),FALSE)=0, VLOOKUP($D134, regions[], COLUMN(AE$1)-COLUMN($A$1), FALSE), VLOOKUP($A134,raw[],COLUMN(AE$1)-COLUMN($A$1),FALSE))</f>
        <v>1.074007392868686E-3</v>
      </c>
      <c r="AE134" s="72">
        <f>IF(VLOOKUP($A134,raw[],COLUMN(AF$1)-COLUMN($A$1),FALSE)=0, VLOOKUP($D134, regions[], COLUMN(AF$1)-COLUMN($A$1), FALSE), VLOOKUP($A134,raw[],COLUMN(AF$1)-COLUMN($A$1),FALSE))</f>
        <v>5.1986004761057371E-4</v>
      </c>
      <c r="AF134" s="72">
        <f>IF(VLOOKUP($A134,raw[],COLUMN(AG$1)-COLUMN($A$1),FALSE)=0, VLOOKUP($D134, regions[], COLUMN(AG$1)-COLUMN($A$1), FALSE), VLOOKUP($A134,raw[],COLUMN(AG$1)-COLUMN($A$1),FALSE))</f>
        <v>4.6425695482473959E-4</v>
      </c>
      <c r="AG134" s="72">
        <f>IF(VLOOKUP($A134,raw[],COLUMN(AH$1)-COLUMN($A$1),FALSE)=0, VLOOKUP($D134, regions[], COLUMN(AH$1)-COLUMN($A$1), FALSE), VLOOKUP($A134,raw[],COLUMN(AH$1)-COLUMN($A$1),FALSE))</f>
        <v>7.4709195853657256E-4</v>
      </c>
      <c r="AH134" s="72">
        <f>IF(VLOOKUP($A134,raw[],COLUMN(AI$1)-COLUMN($A$1),FALSE)=0, VLOOKUP($D134, regions[], COLUMN(AI$1)-COLUMN($A$1), FALSE), VLOOKUP($A134,raw[],COLUMN(AI$1)-COLUMN($A$1),FALSE))</f>
        <v>1.0949769120276764E-3</v>
      </c>
      <c r="AI134" s="72">
        <f>IF(VLOOKUP($A134,raw[],COLUMN(AJ$1)-COLUMN($A$1),FALSE)=0, VLOOKUP($D134, regions[], COLUMN(AJ$1)-COLUMN($A$1), FALSE), VLOOKUP($A134,raw[],COLUMN(AJ$1)-COLUMN($A$1),FALSE))</f>
        <v>1.3478919967957097E-3</v>
      </c>
      <c r="AJ134" s="72">
        <f>IF(VLOOKUP($A134,raw[],COLUMN(AK$1)-COLUMN($A$1),FALSE)=0, VLOOKUP($D134, regions[], COLUMN(AK$1)-COLUMN($A$1), FALSE), VLOOKUP($A134,raw[],COLUMN(AK$1)-COLUMN($A$1),FALSE))</f>
        <v>1.5740664399944847E-3</v>
      </c>
      <c r="AK134" s="72">
        <f>IF(VLOOKUP($A134,raw[],COLUMN(AL$1)-COLUMN($A$1),FALSE)=0, VLOOKUP($D134, regions[], COLUMN(AL$1)-COLUMN($A$1), FALSE), VLOOKUP($A134,raw[],COLUMN(AL$1)-COLUMN($A$1),FALSE))</f>
        <v>1.9469040335993407E-3</v>
      </c>
      <c r="AL134" s="72">
        <f>IF(VLOOKUP($A134,raw[],COLUMN(AM$1)-COLUMN($A$1),FALSE)=0, VLOOKUP($D134, regions[], COLUMN(AM$1)-COLUMN($A$1), FALSE), VLOOKUP($A134,raw[],COLUMN(AM$1)-COLUMN($A$1),FALSE))</f>
        <v>2.7465583305660434E-3</v>
      </c>
      <c r="AM134" s="72">
        <f>IF(VLOOKUP($A134,raw[],COLUMN(AN$1)-COLUMN($A$1),FALSE)=0, VLOOKUP($D134, regions[], COLUMN(AN$1)-COLUMN($A$1), FALSE), VLOOKUP($A134,raw[],COLUMN(AN$1)-COLUMN($A$1),FALSE))</f>
        <v>3.8466848305787659E-3</v>
      </c>
      <c r="AN134" s="72">
        <f>IF(VLOOKUP($A134,raw[],COLUMN(AO$1)-COLUMN($A$1),FALSE)=0, VLOOKUP($D134, regions[], COLUMN(AO$1)-COLUMN($A$1), FALSE), VLOOKUP($A134,raw[],COLUMN(AO$1)-COLUMN($A$1),FALSE))</f>
        <v>6.0966317411740006E-3</v>
      </c>
      <c r="AO134" s="72">
        <f>IF(VLOOKUP($A134,raw[],COLUMN(AP$1)-COLUMN($A$1),FALSE)=0, VLOOKUP($D134, regions[], COLUMN(AP$1)-COLUMN($A$1), FALSE), VLOOKUP($A134,raw[],COLUMN(AP$1)-COLUMN($A$1),FALSE))</f>
        <v>9.0932409918666086E-3</v>
      </c>
      <c r="AP134" s="72">
        <f>IF(VLOOKUP($A134,raw[],COLUMN(AQ$1)-COLUMN($A$1),FALSE)=0, VLOOKUP($D134, regions[], COLUMN(AQ$1)-COLUMN($A$1), FALSE), VLOOKUP($A134,raw[],COLUMN(AQ$1)-COLUMN($A$1),FALSE))</f>
        <v>1.2370075602446197E-2</v>
      </c>
      <c r="AQ134" s="72">
        <f>IF(VLOOKUP($A134,raw[],COLUMN(AR$1)-COLUMN($A$1),FALSE)=0, VLOOKUP($D134, regions[], COLUMN(AR$1)-COLUMN($A$1), FALSE), VLOOKUP($A134,raw[],COLUMN(AR$1)-COLUMN($A$1),FALSE))</f>
        <v>1.9666568842624615E-2</v>
      </c>
      <c r="AR134" s="72">
        <f>IF(VLOOKUP($A134,raw[],COLUMN(AS$1)-COLUMN($A$1),FALSE)=0, VLOOKUP($D134, regions[], COLUMN(AS$1)-COLUMN($A$1), FALSE), VLOOKUP($A134,raw[],COLUMN(AS$1)-COLUMN($A$1),FALSE))</f>
        <v>2.8573098496802996E-2</v>
      </c>
      <c r="AS134" s="72">
        <f>IF(VLOOKUP($A134,raw[],COLUMN(AT$1)-COLUMN($A$1),FALSE)=0, VLOOKUP($D134, regions[], COLUMN(AT$1)-COLUMN($A$1), FALSE), VLOOKUP($A134,raw[],COLUMN(AT$1)-COLUMN($A$1),FALSE))</f>
        <v>4.1358156500670547E-2</v>
      </c>
      <c r="AT134" s="72">
        <f>IF(VLOOKUP($A134,raw[],COLUMN(AU$1)-COLUMN($A$1),FALSE)=0, VLOOKUP($D134, regions[], COLUMN(AU$1)-COLUMN($A$1), FALSE), VLOOKUP($A134,raw[],COLUMN(AU$1)-COLUMN($A$1),FALSE))</f>
        <v>5.8806692514714494E-2</v>
      </c>
      <c r="AU134" s="72">
        <f>IF(VLOOKUP($A134,raw[],COLUMN(AV$1)-COLUMN($A$1),FALSE)=0, VLOOKUP($D134, regions[], COLUMN(AV$1)-COLUMN($A$1), FALSE), VLOOKUP($A134,raw[],COLUMN(AV$1)-COLUMN($A$1),FALSE))</f>
        <v>8.1261666688670561E-2</v>
      </c>
      <c r="AV134" s="72">
        <f>IF(VLOOKUP($A134,raw[],COLUMN(AW$1)-COLUMN($A$1),FALSE)=0, VLOOKUP($D134, regions[], COLUMN(AW$1)-COLUMN($A$1), FALSE), VLOOKUP($A134,raw[],COLUMN(AW$1)-COLUMN($A$1),FALSE))</f>
        <v>0.10752480831792274</v>
      </c>
      <c r="AW134" s="72">
        <f>IF(VLOOKUP($A134,raw[],COLUMN(AX$1)-COLUMN($A$1),FALSE)=0, VLOOKUP($D134, regions[], COLUMN(AX$1)-COLUMN($A$1), FALSE), VLOOKUP($A134,raw[],COLUMN(AX$1)-COLUMN($A$1),FALSE))</f>
        <v>0.13494558564392925</v>
      </c>
      <c r="AX134" s="72">
        <f>IF(VLOOKUP($A134,raw[],COLUMN(AY$1)-COLUMN($A$1),FALSE)=0, VLOOKUP($D134, regions[], COLUMN(AY$1)-COLUMN($A$1), FALSE), VLOOKUP($A134,raw[],COLUMN(AY$1)-COLUMN($A$1),FALSE))</f>
        <v>75.274000000000001</v>
      </c>
      <c r="AY134" t="str">
        <f t="shared" si="4"/>
        <v>No</v>
      </c>
    </row>
    <row r="135" spans="1:51" x14ac:dyDescent="0.25">
      <c r="A135" s="55" t="s">
        <v>490</v>
      </c>
      <c r="B135" s="56" t="s">
        <v>491</v>
      </c>
      <c r="C135" s="56">
        <v>887</v>
      </c>
      <c r="D135" s="56" t="s">
        <v>196</v>
      </c>
      <c r="E135" s="56" t="s">
        <v>197</v>
      </c>
      <c r="F135" s="56" t="s">
        <v>197</v>
      </c>
      <c r="G135" s="56" t="s">
        <v>198</v>
      </c>
      <c r="H135" s="74">
        <f>VLOOKUP(lmics[[#This Row],[setting]],raw[],8,FALSE)</f>
        <v>29825968</v>
      </c>
      <c r="I135" s="74">
        <f>VLOOKUP(lmics[[#This Row],[setting]],raw[],9,FALSE)</f>
        <v>915865.99937600002</v>
      </c>
      <c r="J135" s="67">
        <f>IF(VLOOKUP($A135,raw[],COLUMN(J$1),FALSE)=0, VLOOKUP($D135, regions[], COLUMN(J$1), FALSE), VLOOKUP($A135,raw[],COLUMN(J$1),FALSE))</f>
        <v>0.29799999999999999</v>
      </c>
      <c r="K135" s="77">
        <f>VLOOKUP($A135, raw[], 11, FALSE)</f>
        <v>0</v>
      </c>
      <c r="L135" s="77">
        <f>VLOOKUP($A135, raw[], 12, FALSE)</f>
        <v>0.72</v>
      </c>
      <c r="M135" s="77">
        <f>IF(VLOOKUP($A135,raw[],COLUMN(M$1),FALSE)=0, VLOOKUP($D135, regions[], COLUMN(M$1), FALSE), VLOOKUP($A135,raw[],COLUMN(M$1),FALSE))</f>
        <v>5.2199999999999996E-2</v>
      </c>
      <c r="N135" s="68">
        <f>IF(VLOOKUP($A135,raw[],COLUMN(N$1),FALSE)=0, VLOOKUP($D135, regions[], COLUMN(N$1), FALSE), VLOOKUP($A135,raw[],COLUMN(N$1),FALSE))</f>
        <v>0.26474528561701743</v>
      </c>
      <c r="O135" s="67">
        <f>IF(VLOOKUP($A135,raw[],COLUMN(O$1),FALSE)=0, VLOOKUP($D135, regions[], COLUMN(O$1), FALSE), VLOOKUP($A135,raw[],COLUMN(O$1),FALSE))</f>
        <v>0.8</v>
      </c>
      <c r="P135" s="68">
        <f>IF(VLOOKUP($A135,raw[],COLUMN(P$1),FALSE)=0, VLOOKUP($D135, regions[], COLUMN(P$1), FALSE), VLOOKUP($A135,raw[],COLUMN(P$1),FALSE))</f>
        <v>0.17499999999999999</v>
      </c>
      <c r="Q135" s="70">
        <f>IF(VLOOKUP($A135,raw[],COLUMN(Q$1),FALSE)=0, VLOOKUP($D135, regions[], COLUMN(Q$1), FALSE), VLOOKUP($A135,raw[],COLUMN(Q$1),FALSE))</f>
        <v>4.5177073738237805</v>
      </c>
      <c r="R135" s="70">
        <f>IF(VLOOKUP($A135,raw[],COLUMN(R$1),FALSE)=0, VLOOKUP($D135, regions[], COLUMN(R$1), FALSE), VLOOKUP($A135,raw[],COLUMN(R$1),FALSE))</f>
        <v>26.843087373823781</v>
      </c>
      <c r="S135" s="70">
        <f>IF(VLOOKUP($A135,raw[],COLUMN(S$1),FALSE)=0, VLOOKUP($D135, regions[], COLUMN(S$1), FALSE), VLOOKUP($A135,raw[],COLUMN(S$1),FALSE))</f>
        <v>61.149872320533518</v>
      </c>
      <c r="T135" s="70">
        <f>IF(VLOOKUP($A135,raw[],COLUMN(U$1)-COLUMN($A$1),FALSE)=0, VLOOKUP($D135, regions[], COLUMN(U$1)-COLUMN($A$1), FALSE), VLOOKUP($A135,raw[],COLUMN(U$1)-COLUMN($A$1),FALSE))</f>
        <v>63.797366096325113</v>
      </c>
      <c r="U135" s="70">
        <f>IF(VLOOKUP($A135,raw[],COLUMN(V$1)-COLUMN($A$1),FALSE)=0, VLOOKUP($D135, regions[], COLUMN(V$1)-COLUMN($A$1), FALSE), VLOOKUP($A135,raw[],COLUMN(V$1)-COLUMN($A$1),FALSE))</f>
        <v>62.58169291537088</v>
      </c>
      <c r="V135" s="70">
        <f>IF(VLOOKUP($A135,raw[],COLUMN(W$1)-COLUMN($A$1),FALSE)=0, VLOOKUP($D135, regions[], COLUMN(W$1)-COLUMN($A$1), FALSE), VLOOKUP($A135,raw[],COLUMN(W$1)-COLUMN($A$1),FALSE))</f>
        <v>1.3314357210538874</v>
      </c>
      <c r="W135" s="70">
        <f>IF(VLOOKUP($A135,raw[],COLUMN(X$1)-COLUMN($A$1),FALSE)=0, VLOOKUP($D135, regions[], COLUMN(X$1)-COLUMN($A$1), FALSE), VLOOKUP($A135,raw[],COLUMN(X$1)-COLUMN($A$1),FALSE))</f>
        <v>1.8114357210538874</v>
      </c>
      <c r="X135" s="70">
        <f>IF(VLOOKUP($A135,raw[],COLUMN(Y$1)-COLUMN($A$1),FALSE)=0, VLOOKUP($D135, regions[], COLUMN(Y$1)-COLUMN($A$1), FALSE), VLOOKUP($A135,raw[],COLUMN(Y$1)-COLUMN($A$1),FALSE))</f>
        <v>0.92342366179905566</v>
      </c>
      <c r="Y135" s="70">
        <f>IF(VLOOKUP($A135,raw[],COLUMN(Z$1)-COLUMN($A$1),FALSE)=0, VLOOKUP($D135, regions[], COLUMN(Z$1)-COLUMN($A$1), FALSE), VLOOKUP($A135,raw[],COLUMN(Z$1)-COLUMN($A$1),FALSE))</f>
        <v>1.4034236617990556</v>
      </c>
      <c r="Z135" s="70">
        <f>IF(VLOOKUP($A135,raw[],COLUMN(AA$1)-COLUMN($A$1),FALSE)=0, VLOOKUP($D135, regions[], COLUMN(AA$1)-COLUMN($A$1), FALSE), VLOOKUP($A135,raw[],COLUMN(AA$1)-COLUMN($A$1),FALSE))</f>
        <v>1.4005239759556996</v>
      </c>
      <c r="AA135" s="70">
        <f>IF(VLOOKUP($A135,raw[],COLUMN(AB$1)-COLUMN($A$1),FALSE)=0, VLOOKUP($D135, regions[], COLUMN(AB$1)-COLUMN($A$1), FALSE), VLOOKUP($A135,raw[],COLUMN(AB$1)-COLUMN($A$1),FALSE))</f>
        <v>1.5356608165861985</v>
      </c>
      <c r="AB135" s="70">
        <f>IF(VLOOKUP($A135,raw[],COLUMN(AC$1)-COLUMN($A$1),FALSE)=0, VLOOKUP($D135, regions[], COLUMN(AC$1)-COLUMN($A$1), FALSE), VLOOKUP($A135,raw[],COLUMN(AC$1)-COLUMN($A$1),FALSE))</f>
        <v>2.0156608165861982</v>
      </c>
      <c r="AC135" s="72">
        <f>IF(VLOOKUP($A135,raw[],COLUMN(AD$1)-COLUMN($A$1),FALSE)=0, VLOOKUP($D135, regions[], COLUMN(AD$1)-COLUMN($A$1), FALSE), VLOOKUP($A135,raw[],COLUMN(AD$1)-COLUMN($A$1),FALSE))</f>
        <v>4.3243819999999975E-2</v>
      </c>
      <c r="AD135" s="72">
        <f>IF(VLOOKUP($A135,raw[],COLUMN(AE$1)-COLUMN($A$1),FALSE)=0, VLOOKUP($D135, regions[], COLUMN(AE$1)-COLUMN($A$1), FALSE), VLOOKUP($A135,raw[],COLUMN(AE$1)-COLUMN($A$1),FALSE))</f>
        <v>3.1878628680506588E-3</v>
      </c>
      <c r="AE135" s="72">
        <f>IF(VLOOKUP($A135,raw[],COLUMN(AF$1)-COLUMN($A$1),FALSE)=0, VLOOKUP($D135, regions[], COLUMN(AF$1)-COLUMN($A$1), FALSE), VLOOKUP($A135,raw[],COLUMN(AF$1)-COLUMN($A$1),FALSE))</f>
        <v>1.0755104394799659E-3</v>
      </c>
      <c r="AF135" s="72">
        <f>IF(VLOOKUP($A135,raw[],COLUMN(AG$1)-COLUMN($A$1),FALSE)=0, VLOOKUP($D135, regions[], COLUMN(AG$1)-COLUMN($A$1), FALSE), VLOOKUP($A135,raw[],COLUMN(AG$1)-COLUMN($A$1),FALSE))</f>
        <v>8.2982149371977341E-4</v>
      </c>
      <c r="AG135" s="72">
        <f>IF(VLOOKUP($A135,raw[],COLUMN(AH$1)-COLUMN($A$1),FALSE)=0, VLOOKUP($D135, regions[], COLUMN(AH$1)-COLUMN($A$1), FALSE), VLOOKUP($A135,raw[],COLUMN(AH$1)-COLUMN($A$1),FALSE))</f>
        <v>1.446398804521814E-3</v>
      </c>
      <c r="AH135" s="72">
        <f>IF(VLOOKUP($A135,raw[],COLUMN(AI$1)-COLUMN($A$1),FALSE)=0, VLOOKUP($D135, regions[], COLUMN(AI$1)-COLUMN($A$1), FALSE), VLOOKUP($A135,raw[],COLUMN(AI$1)-COLUMN($A$1),FALSE))</f>
        <v>1.8867766078899048E-3</v>
      </c>
      <c r="AI135" s="72">
        <f>IF(VLOOKUP($A135,raw[],COLUMN(AJ$1)-COLUMN($A$1),FALSE)=0, VLOOKUP($D135, regions[], COLUMN(AJ$1)-COLUMN($A$1), FALSE), VLOOKUP($A135,raw[],COLUMN(AJ$1)-COLUMN($A$1),FALSE))</f>
        <v>2.0189155952171694E-3</v>
      </c>
      <c r="AJ135" s="72">
        <f>IF(VLOOKUP($A135,raw[],COLUMN(AK$1)-COLUMN($A$1),FALSE)=0, VLOOKUP($D135, regions[], COLUMN(AK$1)-COLUMN($A$1), FALSE), VLOOKUP($A135,raw[],COLUMN(AK$1)-COLUMN($A$1),FALSE))</f>
        <v>2.3586579614804717E-3</v>
      </c>
      <c r="AK135" s="72">
        <f>IF(VLOOKUP($A135,raw[],COLUMN(AL$1)-COLUMN($A$1),FALSE)=0, VLOOKUP($D135, regions[], COLUMN(AL$1)-COLUMN($A$1), FALSE), VLOOKUP($A135,raw[],COLUMN(AL$1)-COLUMN($A$1),FALSE))</f>
        <v>3.054114436365872E-3</v>
      </c>
      <c r="AL135" s="72">
        <f>IF(VLOOKUP($A135,raw[],COLUMN(AM$1)-COLUMN($A$1),FALSE)=0, VLOOKUP($D135, regions[], COLUMN(AM$1)-COLUMN($A$1), FALSE), VLOOKUP($A135,raw[],COLUMN(AM$1)-COLUMN($A$1),FALSE))</f>
        <v>4.1560499368770336E-3</v>
      </c>
      <c r="AM135" s="72">
        <f>IF(VLOOKUP($A135,raw[],COLUMN(AN$1)-COLUMN($A$1),FALSE)=0, VLOOKUP($D135, regions[], COLUMN(AN$1)-COLUMN($A$1), FALSE), VLOOKUP($A135,raw[],COLUMN(AN$1)-COLUMN($A$1),FALSE))</f>
        <v>5.9924111580954504E-3</v>
      </c>
      <c r="AN135" s="72">
        <f>IF(VLOOKUP($A135,raw[],COLUMN(AO$1)-COLUMN($A$1),FALSE)=0, VLOOKUP($D135, regions[], COLUMN(AO$1)-COLUMN($A$1), FALSE), VLOOKUP($A135,raw[],COLUMN(AO$1)-COLUMN($A$1),FALSE))</f>
        <v>8.8663325937431287E-3</v>
      </c>
      <c r="AO135" s="72">
        <f>IF(VLOOKUP($A135,raw[],COLUMN(AP$1)-COLUMN($A$1),FALSE)=0, VLOOKUP($D135, regions[], COLUMN(AP$1)-COLUMN($A$1), FALSE), VLOOKUP($A135,raw[],COLUMN(AP$1)-COLUMN($A$1),FALSE))</f>
        <v>1.3350100903980642E-2</v>
      </c>
      <c r="AP135" s="72">
        <f>IF(VLOOKUP($A135,raw[],COLUMN(AQ$1)-COLUMN($A$1),FALSE)=0, VLOOKUP($D135, regions[], COLUMN(AQ$1)-COLUMN($A$1), FALSE), VLOOKUP($A135,raw[],COLUMN(AQ$1)-COLUMN($A$1),FALSE))</f>
        <v>2.0719238188878747E-2</v>
      </c>
      <c r="AQ135" s="72">
        <f>IF(VLOOKUP($A135,raw[],COLUMN(AR$1)-COLUMN($A$1),FALSE)=0, VLOOKUP($D135, regions[], COLUMN(AR$1)-COLUMN($A$1), FALSE), VLOOKUP($A135,raw[],COLUMN(AR$1)-COLUMN($A$1),FALSE))</f>
        <v>3.1931810153579147E-2</v>
      </c>
      <c r="AR135" s="72">
        <f>IF(VLOOKUP($A135,raw[],COLUMN(AS$1)-COLUMN($A$1),FALSE)=0, VLOOKUP($D135, regions[], COLUMN(AS$1)-COLUMN($A$1), FALSE), VLOOKUP($A135,raw[],COLUMN(AS$1)-COLUMN($A$1),FALSE))</f>
        <v>4.9280370540045165E-2</v>
      </c>
      <c r="AS135" s="72">
        <f>IF(VLOOKUP($A135,raw[],COLUMN(AT$1)-COLUMN($A$1),FALSE)=0, VLOOKUP($D135, regions[], COLUMN(AT$1)-COLUMN($A$1), FALSE), VLOOKUP($A135,raw[],COLUMN(AT$1)-COLUMN($A$1),FALSE))</f>
        <v>7.3902786181256466E-2</v>
      </c>
      <c r="AT135" s="72">
        <f>IF(VLOOKUP($A135,raw[],COLUMN(AU$1)-COLUMN($A$1),FALSE)=0, VLOOKUP($D135, regions[], COLUMN(AU$1)-COLUMN($A$1), FALSE), VLOOKUP($A135,raw[],COLUMN(AU$1)-COLUMN($A$1),FALSE))</f>
        <v>0.10372426533424323</v>
      </c>
      <c r="AU135" s="72">
        <f>IF(VLOOKUP($A135,raw[],COLUMN(AV$1)-COLUMN($A$1),FALSE)=0, VLOOKUP($D135, regions[], COLUMN(AV$1)-COLUMN($A$1), FALSE), VLOOKUP($A135,raw[],COLUMN(AV$1)-COLUMN($A$1),FALSE))</f>
        <v>0.13277904193486845</v>
      </c>
      <c r="AV135" s="72">
        <f>IF(VLOOKUP($A135,raw[],COLUMN(AW$1)-COLUMN($A$1),FALSE)=0, VLOOKUP($D135, regions[], COLUMN(AW$1)-COLUMN($A$1), FALSE), VLOOKUP($A135,raw[],COLUMN(AW$1)-COLUMN($A$1),FALSE))</f>
        <v>0.15834114184673809</v>
      </c>
      <c r="AW135" s="72">
        <f>IF(VLOOKUP($A135,raw[],COLUMN(AX$1)-COLUMN($A$1),FALSE)=0, VLOOKUP($D135, regions[], COLUMN(AX$1)-COLUMN($A$1), FALSE), VLOOKUP($A135,raw[],COLUMN(AX$1)-COLUMN($A$1),FALSE))</f>
        <v>0.17720592465305168</v>
      </c>
      <c r="AX135" s="72">
        <f>IF(VLOOKUP($A135,raw[],COLUMN(AY$1)-COLUMN($A$1),FALSE)=0, VLOOKUP($D135, regions[], COLUMN(AY$1)-COLUMN($A$1), FALSE), VLOOKUP($A135,raw[],COLUMN(AY$1)-COLUMN($A$1),FALSE))</f>
        <v>66.033000000000001</v>
      </c>
      <c r="AY135" t="str">
        <f t="shared" si="4"/>
        <v>Yes</v>
      </c>
    </row>
    <row r="136" spans="1:51" x14ac:dyDescent="0.25">
      <c r="A136" s="53" t="s">
        <v>492</v>
      </c>
      <c r="B136" s="54" t="s">
        <v>493</v>
      </c>
      <c r="C136" s="54">
        <v>894</v>
      </c>
      <c r="D136" s="54" t="s">
        <v>207</v>
      </c>
      <c r="E136" s="54" t="s">
        <v>255</v>
      </c>
      <c r="F136" s="54" t="s">
        <v>211</v>
      </c>
      <c r="G136" s="54" t="s">
        <v>212</v>
      </c>
      <c r="H136" s="73">
        <f>VLOOKUP(lmics[[#This Row],[setting]],raw[],8,FALSE)</f>
        <v>18383956</v>
      </c>
      <c r="I136" s="73">
        <f>VLOOKUP(lmics[[#This Row],[setting]],raw[],9,FALSE)</f>
        <v>667025.07554799994</v>
      </c>
      <c r="J136" s="67">
        <f>IF(VLOOKUP($A136,raw[],COLUMN(J$1),FALSE)=0, VLOOKUP($D136, regions[], COLUMN(J$1), FALSE), VLOOKUP($A136,raw[],COLUMN(J$1),FALSE))</f>
        <v>0.83799999999999997</v>
      </c>
      <c r="K136" s="77">
        <f>VLOOKUP($A136, raw[], 11, FALSE)</f>
        <v>0.94</v>
      </c>
      <c r="L136" s="77">
        <f>VLOOKUP($A136, raw[], 12, FALSE)</f>
        <v>0.84</v>
      </c>
      <c r="M136" s="77">
        <f>IF(VLOOKUP($A136,raw[],COLUMN(M$1),FALSE)=0, VLOOKUP($D136, regions[], COLUMN(M$1), FALSE), VLOOKUP($A136,raw[],COLUMN(M$1),FALSE))</f>
        <v>5.1299999999999998E-2</v>
      </c>
      <c r="N136" s="68">
        <f>IF(VLOOKUP($A136,raw[],COLUMN(N$1),FALSE)=0, VLOOKUP($D136, regions[], COLUMN(N$1), FALSE), VLOOKUP($A136,raw[],COLUMN(N$1),FALSE))</f>
        <v>0.29477307241722039</v>
      </c>
      <c r="O136" s="67">
        <f>IF(VLOOKUP($A136,raw[],COLUMN(O$1),FALSE)=0, VLOOKUP($D136, regions[], COLUMN(O$1), FALSE), VLOOKUP($A136,raw[],COLUMN(O$1),FALSE))</f>
        <v>0.38300000000000001</v>
      </c>
      <c r="P136" s="68">
        <f>IF(VLOOKUP($A136,raw[],COLUMN(P$1),FALSE)=0, VLOOKUP($D136, regions[], COLUMN(P$1), FALSE), VLOOKUP($A136,raw[],COLUMN(P$1),FALSE))</f>
        <v>4.8000000000000001E-2</v>
      </c>
      <c r="Q136" s="70">
        <f>IF(VLOOKUP($A136,raw[],COLUMN(Q$1),FALSE)=0, VLOOKUP($D136, regions[], COLUMN(Q$1), FALSE), VLOOKUP($A136,raw[],COLUMN(Q$1),FALSE))</f>
        <v>3.3906984496124002</v>
      </c>
      <c r="R136" s="70">
        <f>IF(VLOOKUP($A136,raw[],COLUMN(R$1),FALSE)=0, VLOOKUP($D136, regions[], COLUMN(R$1), FALSE), VLOOKUP($A136,raw[],COLUMN(R$1),FALSE))</f>
        <v>25.716078449612404</v>
      </c>
      <c r="S136" s="70">
        <f>IF(VLOOKUP($A136,raw[],COLUMN(S$1),FALSE)=0, VLOOKUP($D136, regions[], COLUMN(S$1), FALSE), VLOOKUP($A136,raw[],COLUMN(S$1),FALSE))</f>
        <v>57.281376647483171</v>
      </c>
      <c r="T136" s="70">
        <f>IF(VLOOKUP($A136,raw[],COLUMN(U$1)-COLUMN($A$1),FALSE)=0, VLOOKUP($D136, regions[], COLUMN(U$1)-COLUMN($A$1), FALSE), VLOOKUP($A136,raw[],COLUMN(U$1)-COLUMN($A$1),FALSE))</f>
        <v>58.502022388611735</v>
      </c>
      <c r="U136" s="70">
        <f>IF(VLOOKUP($A136,raw[],COLUMN(V$1)-COLUMN($A$1),FALSE)=0, VLOOKUP($D136, regions[], COLUMN(V$1)-COLUMN($A$1), FALSE), VLOOKUP($A136,raw[],COLUMN(V$1)-COLUMN($A$1),FALSE))</f>
        <v>57.941527665449527</v>
      </c>
      <c r="V136" s="70">
        <f>IF(VLOOKUP($A136,raw[],COLUMN(W$1)-COLUMN($A$1),FALSE)=0, VLOOKUP($D136, regions[], COLUMN(W$1)-COLUMN($A$1), FALSE), VLOOKUP($A136,raw[],COLUMN(W$1)-COLUMN($A$1),FALSE))</f>
        <v>2.8858310659459843</v>
      </c>
      <c r="W136" s="70">
        <f>IF(VLOOKUP($A136,raw[],COLUMN(X$1)-COLUMN($A$1),FALSE)=0, VLOOKUP($D136, regions[], COLUMN(X$1)-COLUMN($A$1), FALSE), VLOOKUP($A136,raw[],COLUMN(X$1)-COLUMN($A$1),FALSE))</f>
        <v>7.7158310659459843</v>
      </c>
      <c r="X136" s="70">
        <f>IF(VLOOKUP($A136,raw[],COLUMN(Y$1)-COLUMN($A$1),FALSE)=0, VLOOKUP($D136, regions[], COLUMN(Y$1)-COLUMN($A$1), FALSE), VLOOKUP($A136,raw[],COLUMN(Y$1)-COLUMN($A$1),FALSE))</f>
        <v>2.4787815275112242</v>
      </c>
      <c r="Y136" s="70">
        <f>IF(VLOOKUP($A136,raw[],COLUMN(Z$1)-COLUMN($A$1),FALSE)=0, VLOOKUP($D136, regions[], COLUMN(Z$1)-COLUMN($A$1), FALSE), VLOOKUP($A136,raw[],COLUMN(Z$1)-COLUMN($A$1),FALSE))</f>
        <v>7.3087815275112238</v>
      </c>
      <c r="Z136" s="70">
        <f>IF(VLOOKUP($A136,raw[],COLUMN(AA$1)-COLUMN($A$1),FALSE)=0, VLOOKUP($D136, regions[], COLUMN(AA$1)-COLUMN($A$1), FALSE), VLOOKUP($A136,raw[],COLUMN(AA$1)-COLUMN($A$1),FALSE))</f>
        <v>7.3062129653755168</v>
      </c>
      <c r="AA136" s="70">
        <f>IF(VLOOKUP($A136,raw[],COLUMN(AB$1)-COLUMN($A$1),FALSE)=0, VLOOKUP($D136, regions[], COLUMN(AB$1)-COLUMN($A$1), FALSE), VLOOKUP($A136,raw[],COLUMN(AB$1)-COLUMN($A$1),FALSE))</f>
        <v>3.0897130018815742</v>
      </c>
      <c r="AB136" s="70">
        <f>IF(VLOOKUP($A136,raw[],COLUMN(AC$1)-COLUMN($A$1),FALSE)=0, VLOOKUP($D136, regions[], COLUMN(AC$1)-COLUMN($A$1), FALSE), VLOOKUP($A136,raw[],COLUMN(AC$1)-COLUMN($A$1),FALSE))</f>
        <v>7.9197130018815738</v>
      </c>
      <c r="AC136" s="72">
        <f>IF(VLOOKUP($A136,raw[],COLUMN(AD$1)-COLUMN($A$1),FALSE)=0, VLOOKUP($D136, regions[], COLUMN(AD$1)-COLUMN($A$1), FALSE), VLOOKUP($A136,raw[],COLUMN(AD$1)-COLUMN($A$1),FALSE))</f>
        <v>4.562187000000005E-2</v>
      </c>
      <c r="AD136" s="72">
        <f>IF(VLOOKUP($A136,raw[],COLUMN(AE$1)-COLUMN($A$1),FALSE)=0, VLOOKUP($D136, regions[], COLUMN(AE$1)-COLUMN($A$1), FALSE), VLOOKUP($A136,raw[],COLUMN(AE$1)-COLUMN($A$1),FALSE))</f>
        <v>3.9584650792448229E-3</v>
      </c>
      <c r="AE136" s="72">
        <f>IF(VLOOKUP($A136,raw[],COLUMN(AF$1)-COLUMN($A$1),FALSE)=0, VLOOKUP($D136, regions[], COLUMN(AF$1)-COLUMN($A$1), FALSE), VLOOKUP($A136,raw[],COLUMN(AF$1)-COLUMN($A$1),FALSE))</f>
        <v>1.1583547777231982E-3</v>
      </c>
      <c r="AF136" s="72">
        <f>IF(VLOOKUP($A136,raw[],COLUMN(AG$1)-COLUMN($A$1),FALSE)=0, VLOOKUP($D136, regions[], COLUMN(AG$1)-COLUMN($A$1), FALSE), VLOOKUP($A136,raw[],COLUMN(AG$1)-COLUMN($A$1),FALSE))</f>
        <v>9.1470513016646152E-4</v>
      </c>
      <c r="AG136" s="72">
        <f>IF(VLOOKUP($A136,raw[],COLUMN(AH$1)-COLUMN($A$1),FALSE)=0, VLOOKUP($D136, regions[], COLUMN(AH$1)-COLUMN($A$1), FALSE), VLOOKUP($A136,raw[],COLUMN(AH$1)-COLUMN($A$1),FALSE))</f>
        <v>1.531452003082653E-3</v>
      </c>
      <c r="AH136" s="72">
        <f>IF(VLOOKUP($A136,raw[],COLUMN(AI$1)-COLUMN($A$1),FALSE)=0, VLOOKUP($D136, regions[], COLUMN(AI$1)-COLUMN($A$1), FALSE), VLOOKUP($A136,raw[],COLUMN(AI$1)-COLUMN($A$1),FALSE))</f>
        <v>2.4741698327244675E-3</v>
      </c>
      <c r="AI136" s="72">
        <f>IF(VLOOKUP($A136,raw[],COLUMN(AJ$1)-COLUMN($A$1),FALSE)=0, VLOOKUP($D136, regions[], COLUMN(AJ$1)-COLUMN($A$1), FALSE), VLOOKUP($A136,raw[],COLUMN(AJ$1)-COLUMN($A$1),FALSE))</f>
        <v>3.4911013295935273E-3</v>
      </c>
      <c r="AJ136" s="72">
        <f>IF(VLOOKUP($A136,raw[],COLUMN(AK$1)-COLUMN($A$1),FALSE)=0, VLOOKUP($D136, regions[], COLUMN(AK$1)-COLUMN($A$1), FALSE), VLOOKUP($A136,raw[],COLUMN(AK$1)-COLUMN($A$1),FALSE))</f>
        <v>4.6009529940942706E-3</v>
      </c>
      <c r="AK136" s="72">
        <f>IF(VLOOKUP($A136,raw[],COLUMN(AL$1)-COLUMN($A$1),FALSE)=0, VLOOKUP($D136, regions[], COLUMN(AL$1)-COLUMN($A$1), FALSE), VLOOKUP($A136,raw[],COLUMN(AL$1)-COLUMN($A$1),FALSE))</f>
        <v>6.1717718734134166E-3</v>
      </c>
      <c r="AL136" s="72">
        <f>IF(VLOOKUP($A136,raw[],COLUMN(AM$1)-COLUMN($A$1),FALSE)=0, VLOOKUP($D136, regions[], COLUMN(AM$1)-COLUMN($A$1), FALSE), VLOOKUP($A136,raw[],COLUMN(AM$1)-COLUMN($A$1),FALSE))</f>
        <v>7.6011520993801212E-3</v>
      </c>
      <c r="AM136" s="72">
        <f>IF(VLOOKUP($A136,raw[],COLUMN(AN$1)-COLUMN($A$1),FALSE)=0, VLOOKUP($D136, regions[], COLUMN(AN$1)-COLUMN($A$1), FALSE), VLOOKUP($A136,raw[],COLUMN(AN$1)-COLUMN($A$1),FALSE))</f>
        <v>9.3461649765706496E-3</v>
      </c>
      <c r="AN136" s="72">
        <f>IF(VLOOKUP($A136,raw[],COLUMN(AO$1)-COLUMN($A$1),FALSE)=0, VLOOKUP($D136, regions[], COLUMN(AO$1)-COLUMN($A$1), FALSE), VLOOKUP($A136,raw[],COLUMN(AO$1)-COLUMN($A$1),FALSE))</f>
        <v>1.2159368343164913E-2</v>
      </c>
      <c r="AO136" s="72">
        <f>IF(VLOOKUP($A136,raw[],COLUMN(AP$1)-COLUMN($A$1),FALSE)=0, VLOOKUP($D136, regions[], COLUMN(AP$1)-COLUMN($A$1), FALSE), VLOOKUP($A136,raw[],COLUMN(AP$1)-COLUMN($A$1),FALSE))</f>
        <v>1.5391839618814176E-2</v>
      </c>
      <c r="AP136" s="72">
        <f>IF(VLOOKUP($A136,raw[],COLUMN(AQ$1)-COLUMN($A$1),FALSE)=0, VLOOKUP($D136, regions[], COLUMN(AQ$1)-COLUMN($A$1), FALSE), VLOOKUP($A136,raw[],COLUMN(AQ$1)-COLUMN($A$1),FALSE))</f>
        <v>2.1392777652369688E-2</v>
      </c>
      <c r="AQ136" s="72">
        <f>IF(VLOOKUP($A136,raw[],COLUMN(AR$1)-COLUMN($A$1),FALSE)=0, VLOOKUP($D136, regions[], COLUMN(AR$1)-COLUMN($A$1), FALSE), VLOOKUP($A136,raw[],COLUMN(AR$1)-COLUMN($A$1),FALSE))</f>
        <v>3.1143819134226772E-2</v>
      </c>
      <c r="AR136" s="72">
        <f>IF(VLOOKUP($A136,raw[],COLUMN(AS$1)-COLUMN($A$1),FALSE)=0, VLOOKUP($D136, regions[], COLUMN(AS$1)-COLUMN($A$1), FALSE), VLOOKUP($A136,raw[],COLUMN(AS$1)-COLUMN($A$1),FALSE))</f>
        <v>4.631751204944709E-2</v>
      </c>
      <c r="AS136" s="72">
        <f>IF(VLOOKUP($A136,raw[],COLUMN(AT$1)-COLUMN($A$1),FALSE)=0, VLOOKUP($D136, regions[], COLUMN(AT$1)-COLUMN($A$1), FALSE), VLOOKUP($A136,raw[],COLUMN(AT$1)-COLUMN($A$1),FALSE))</f>
        <v>6.8688758505868031E-2</v>
      </c>
      <c r="AT136" s="72">
        <f>IF(VLOOKUP($A136,raw[],COLUMN(AU$1)-COLUMN($A$1),FALSE)=0, VLOOKUP($D136, regions[], COLUMN(AU$1)-COLUMN($A$1), FALSE), VLOOKUP($A136,raw[],COLUMN(AU$1)-COLUMN($A$1),FALSE))</f>
        <v>0.10188175021677477</v>
      </c>
      <c r="AU136" s="72">
        <f>IF(VLOOKUP($A136,raw[],COLUMN(AV$1)-COLUMN($A$1),FALSE)=0, VLOOKUP($D136, regions[], COLUMN(AV$1)-COLUMN($A$1), FALSE), VLOOKUP($A136,raw[],COLUMN(AV$1)-COLUMN($A$1),FALSE))</f>
        <v>0.14150118876299858</v>
      </c>
      <c r="AV136" s="72">
        <f>IF(VLOOKUP($A136,raw[],COLUMN(AW$1)-COLUMN($A$1),FALSE)=0, VLOOKUP($D136, regions[], COLUMN(AW$1)-COLUMN($A$1), FALSE), VLOOKUP($A136,raw[],COLUMN(AW$1)-COLUMN($A$1),FALSE))</f>
        <v>0.17482671250688042</v>
      </c>
      <c r="AW136" s="72">
        <f>IF(VLOOKUP($A136,raw[],COLUMN(AX$1)-COLUMN($A$1),FALSE)=0, VLOOKUP($D136, regions[], COLUMN(AX$1)-COLUMN($A$1), FALSE), VLOOKUP($A136,raw[],COLUMN(AX$1)-COLUMN($A$1),FALSE))</f>
        <v>0.18744568488376726</v>
      </c>
      <c r="AX136" s="72">
        <f>IF(VLOOKUP($A136,raw[],COLUMN(AY$1)-COLUMN($A$1),FALSE)=0, VLOOKUP($D136, regions[], COLUMN(AY$1)-COLUMN($A$1), FALSE), VLOOKUP($A136,raw[],COLUMN(AY$1)-COLUMN($A$1),FALSE))</f>
        <v>63.258000000000003</v>
      </c>
      <c r="AY136" t="str">
        <f t="shared" si="4"/>
        <v>No</v>
      </c>
    </row>
    <row r="137" spans="1:51" x14ac:dyDescent="0.25">
      <c r="A137" s="55" t="s">
        <v>494</v>
      </c>
      <c r="B137" s="56" t="s">
        <v>495</v>
      </c>
      <c r="C137" s="56">
        <v>716</v>
      </c>
      <c r="D137" s="56" t="s">
        <v>207</v>
      </c>
      <c r="E137" s="56" t="s">
        <v>245</v>
      </c>
      <c r="F137" s="56" t="s">
        <v>211</v>
      </c>
      <c r="G137" s="56" t="s">
        <v>212</v>
      </c>
      <c r="H137" s="74">
        <f>VLOOKUP(lmics[[#This Row],[setting]],raw[],8,FALSE)</f>
        <v>14862927</v>
      </c>
      <c r="I137" s="74">
        <f>VLOOKUP(lmics[[#This Row],[setting]],raw[],9,FALSE)</f>
        <v>458446.98331499996</v>
      </c>
      <c r="J137" s="67">
        <f>IF(VLOOKUP($A137,raw[],COLUMN(J$1),FALSE)=0, VLOOKUP($D137, regions[], COLUMN(J$1), FALSE), VLOOKUP($A137,raw[],COLUMN(J$1),FALSE))</f>
        <v>0.85499999999999998</v>
      </c>
      <c r="K137" s="77">
        <f>VLOOKUP($A137, raw[], 11, FALSE)</f>
        <v>0</v>
      </c>
      <c r="L137" s="77">
        <f>VLOOKUP($A137, raw[], 12, FALSE)</f>
        <v>0.86</v>
      </c>
      <c r="M137" s="77">
        <f>IF(VLOOKUP($A137,raw[],COLUMN(M$1),FALSE)=0, VLOOKUP($D137, regions[], COLUMN(M$1), FALSE), VLOOKUP($A137,raw[],COLUMN(M$1),FALSE))</f>
        <v>9.8400000000000001E-2</v>
      </c>
      <c r="N137" s="68">
        <f>IF(VLOOKUP($A137,raw[],COLUMN(N$1),FALSE)=0, VLOOKUP($D137, regions[], COLUMN(N$1), FALSE), VLOOKUP($A137,raw[],COLUMN(N$1),FALSE))</f>
        <v>0.26470111064233304</v>
      </c>
      <c r="O137" s="67">
        <f>IF(VLOOKUP($A137,raw[],COLUMN(O$1),FALSE)=0, VLOOKUP($D137, regions[], COLUMN(O$1), FALSE), VLOOKUP($A137,raw[],COLUMN(O$1),FALSE))</f>
        <v>0.38300000000000001</v>
      </c>
      <c r="P137" s="68">
        <f>IF(VLOOKUP($A137,raw[],COLUMN(P$1),FALSE)=0, VLOOKUP($D137, regions[], COLUMN(P$1), FALSE), VLOOKUP($A137,raw[],COLUMN(P$1),FALSE))</f>
        <v>4.8000000000000001E-2</v>
      </c>
      <c r="Q137" s="70">
        <f>IF(VLOOKUP($A137,raw[],COLUMN(Q$1),FALSE)=0, VLOOKUP($D137, regions[], COLUMN(Q$1), FALSE), VLOOKUP($A137,raw[],COLUMN(Q$1),FALSE))</f>
        <v>4.604183740861723</v>
      </c>
      <c r="R137" s="70">
        <f>IF(VLOOKUP($A137,raw[],COLUMN(R$1),FALSE)=0, VLOOKUP($D137, regions[], COLUMN(R$1), FALSE), VLOOKUP($A137,raw[],COLUMN(R$1),FALSE))</f>
        <v>26.929563740861724</v>
      </c>
      <c r="S137" s="70">
        <f>IF(VLOOKUP($A137,raw[],COLUMN(S$1),FALSE)=0, VLOOKUP($D137, regions[], COLUMN(S$1), FALSE), VLOOKUP($A137,raw[],COLUMN(S$1),FALSE))</f>
        <v>62.781228115348881</v>
      </c>
      <c r="T137" s="70">
        <f>IF(VLOOKUP($A137,raw[],COLUMN(U$1)-COLUMN($A$1),FALSE)=0, VLOOKUP($D137, regions[], COLUMN(U$1)-COLUMN($A$1), FALSE), VLOOKUP($A137,raw[],COLUMN(U$1)-COLUMN($A$1),FALSE))</f>
        <v>66.23277763798994</v>
      </c>
      <c r="U137" s="70">
        <f>IF(VLOOKUP($A137,raw[],COLUMN(V$1)-COLUMN($A$1),FALSE)=0, VLOOKUP($D137, regions[], COLUMN(V$1)-COLUMN($A$1), FALSE), VLOOKUP($A137,raw[],COLUMN(V$1)-COLUMN($A$1),FALSE))</f>
        <v>64.647899053655777</v>
      </c>
      <c r="V137" s="70">
        <f>IF(VLOOKUP($A137,raw[],COLUMN(W$1)-COLUMN($A$1),FALSE)=0, VLOOKUP($D137, regions[], COLUMN(W$1)-COLUMN($A$1), FALSE), VLOOKUP($A137,raw[],COLUMN(W$1)-COLUMN($A$1),FALSE))</f>
        <v>3.1451175849531543</v>
      </c>
      <c r="W137" s="70">
        <f>IF(VLOOKUP($A137,raw[],COLUMN(X$1)-COLUMN($A$1),FALSE)=0, VLOOKUP($D137, regions[], COLUMN(X$1)-COLUMN($A$1), FALSE), VLOOKUP($A137,raw[],COLUMN(X$1)-COLUMN($A$1),FALSE))</f>
        <v>7.9751175849531544</v>
      </c>
      <c r="X137" s="70">
        <f>IF(VLOOKUP($A137,raw[],COLUMN(Y$1)-COLUMN($A$1),FALSE)=0, VLOOKUP($D137, regions[], COLUMN(Y$1)-COLUMN($A$1), FALSE), VLOOKUP($A137,raw[],COLUMN(Y$1)-COLUMN($A$1),FALSE))</f>
        <v>2.7371980941956306</v>
      </c>
      <c r="Y137" s="70">
        <f>IF(VLOOKUP($A137,raw[],COLUMN(Z$1)-COLUMN($A$1),FALSE)=0, VLOOKUP($D137, regions[], COLUMN(Z$1)-COLUMN($A$1), FALSE), VLOOKUP($A137,raw[],COLUMN(Z$1)-COLUMN($A$1),FALSE))</f>
        <v>7.5671980941956303</v>
      </c>
      <c r="Z137" s="70">
        <f>IF(VLOOKUP($A137,raw[],COLUMN(AA$1)-COLUMN($A$1),FALSE)=0, VLOOKUP($D137, regions[], COLUMN(AA$1)-COLUMN($A$1), FALSE), VLOOKUP($A137,raw[],COLUMN(AA$1)-COLUMN($A$1),FALSE))</f>
        <v>7.5645086202347365</v>
      </c>
      <c r="AA137" s="70">
        <f>IF(VLOOKUP($A137,raw[],COLUMN(AB$1)-COLUMN($A$1),FALSE)=0, VLOOKUP($D137, regions[], COLUMN(AB$1)-COLUMN($A$1), FALSE), VLOOKUP($A137,raw[],COLUMN(AB$1)-COLUMN($A$1),FALSE))</f>
        <v>3.3493096778038161</v>
      </c>
      <c r="AB137" s="70">
        <f>IF(VLOOKUP($A137,raw[],COLUMN(AC$1)-COLUMN($A$1),FALSE)=0, VLOOKUP($D137, regions[], COLUMN(AC$1)-COLUMN($A$1), FALSE), VLOOKUP($A137,raw[],COLUMN(AC$1)-COLUMN($A$1),FALSE))</f>
        <v>8.1793096778038166</v>
      </c>
      <c r="AC137" s="72">
        <f>IF(VLOOKUP($A137,raw[],COLUMN(AD$1)-COLUMN($A$1),FALSE)=0, VLOOKUP($D137, regions[], COLUMN(AD$1)-COLUMN($A$1), FALSE), VLOOKUP($A137,raw[],COLUMN(AD$1)-COLUMN($A$1),FALSE))</f>
        <v>3.875650999999998E-2</v>
      </c>
      <c r="AD137" s="72">
        <f>IF(VLOOKUP($A137,raw[],COLUMN(AE$1)-COLUMN($A$1),FALSE)=0, VLOOKUP($D137, regions[], COLUMN(AE$1)-COLUMN($A$1), FALSE), VLOOKUP($A137,raw[],COLUMN(AE$1)-COLUMN($A$1),FALSE))</f>
        <v>3.2526800259526263E-3</v>
      </c>
      <c r="AE137" s="72">
        <f>IF(VLOOKUP($A137,raw[],COLUMN(AF$1)-COLUMN($A$1),FALSE)=0, VLOOKUP($D137, regions[], COLUMN(AF$1)-COLUMN($A$1), FALSE), VLOOKUP($A137,raw[],COLUMN(AF$1)-COLUMN($A$1),FALSE))</f>
        <v>1.0638522358914809E-3</v>
      </c>
      <c r="AF137" s="72">
        <f>IF(VLOOKUP($A137,raw[],COLUMN(AG$1)-COLUMN($A$1),FALSE)=0, VLOOKUP($D137, regions[], COLUMN(AG$1)-COLUMN($A$1), FALSE), VLOOKUP($A137,raw[],COLUMN(AG$1)-COLUMN($A$1),FALSE))</f>
        <v>9.1060157396529416E-4</v>
      </c>
      <c r="AG137" s="72">
        <f>IF(VLOOKUP($A137,raw[],COLUMN(AH$1)-COLUMN($A$1),FALSE)=0, VLOOKUP($D137, regions[], COLUMN(AH$1)-COLUMN($A$1), FALSE), VLOOKUP($A137,raw[],COLUMN(AH$1)-COLUMN($A$1),FALSE))</f>
        <v>1.5706660873143156E-3</v>
      </c>
      <c r="AH137" s="72">
        <f>IF(VLOOKUP($A137,raw[],COLUMN(AI$1)-COLUMN($A$1),FALSE)=0, VLOOKUP($D137, regions[], COLUMN(AI$1)-COLUMN($A$1), FALSE), VLOOKUP($A137,raw[],COLUMN(AI$1)-COLUMN($A$1),FALSE))</f>
        <v>2.8353147933742433E-3</v>
      </c>
      <c r="AI137" s="72">
        <f>IF(VLOOKUP($A137,raw[],COLUMN(AJ$1)-COLUMN($A$1),FALSE)=0, VLOOKUP($D137, regions[], COLUMN(AJ$1)-COLUMN($A$1), FALSE), VLOOKUP($A137,raw[],COLUMN(AJ$1)-COLUMN($A$1),FALSE))</f>
        <v>4.8215242159902784E-3</v>
      </c>
      <c r="AJ137" s="72">
        <f>IF(VLOOKUP($A137,raw[],COLUMN(AK$1)-COLUMN($A$1),FALSE)=0, VLOOKUP($D137, regions[], COLUMN(AK$1)-COLUMN($A$1), FALSE), VLOOKUP($A137,raw[],COLUMN(AK$1)-COLUMN($A$1),FALSE))</f>
        <v>6.8929795141483155E-3</v>
      </c>
      <c r="AK137" s="72">
        <f>IF(VLOOKUP($A137,raw[],COLUMN(AL$1)-COLUMN($A$1),FALSE)=0, VLOOKUP($D137, regions[], COLUMN(AL$1)-COLUMN($A$1), FALSE), VLOOKUP($A137,raw[],COLUMN(AL$1)-COLUMN($A$1),FALSE))</f>
        <v>9.6863229863942257E-3</v>
      </c>
      <c r="AL137" s="72">
        <f>IF(VLOOKUP($A137,raw[],COLUMN(AM$1)-COLUMN($A$1),FALSE)=0, VLOOKUP($D137, regions[], COLUMN(AM$1)-COLUMN($A$1), FALSE), VLOOKUP($A137,raw[],COLUMN(AM$1)-COLUMN($A$1),FALSE))</f>
        <v>1.1323427399634064E-2</v>
      </c>
      <c r="AM137" s="72">
        <f>IF(VLOOKUP($A137,raw[],COLUMN(AN$1)-COLUMN($A$1),FALSE)=0, VLOOKUP($D137, regions[], COLUMN(AN$1)-COLUMN($A$1), FALSE), VLOOKUP($A137,raw[],COLUMN(AN$1)-COLUMN($A$1),FALSE))</f>
        <v>1.3401073426724686E-2</v>
      </c>
      <c r="AN137" s="72">
        <f>IF(VLOOKUP($A137,raw[],COLUMN(AO$1)-COLUMN($A$1),FALSE)=0, VLOOKUP($D137, regions[], COLUMN(AO$1)-COLUMN($A$1), FALSE), VLOOKUP($A137,raw[],COLUMN(AO$1)-COLUMN($A$1),FALSE))</f>
        <v>1.6031317582619459E-2</v>
      </c>
      <c r="AO137" s="72">
        <f>IF(VLOOKUP($A137,raw[],COLUMN(AP$1)-COLUMN($A$1),FALSE)=0, VLOOKUP($D137, regions[], COLUMN(AP$1)-COLUMN($A$1), FALSE), VLOOKUP($A137,raw[],COLUMN(AP$1)-COLUMN($A$1),FALSE))</f>
        <v>1.9157607118950946E-2</v>
      </c>
      <c r="AP137" s="72">
        <f>IF(VLOOKUP($A137,raw[],COLUMN(AQ$1)-COLUMN($A$1),FALSE)=0, VLOOKUP($D137, regions[], COLUMN(AQ$1)-COLUMN($A$1), FALSE), VLOOKUP($A137,raw[],COLUMN(AQ$1)-COLUMN($A$1),FALSE))</f>
        <v>2.4843485887357467E-2</v>
      </c>
      <c r="AQ137" s="72">
        <f>IF(VLOOKUP($A137,raw[],COLUMN(AR$1)-COLUMN($A$1),FALSE)=0, VLOOKUP($D137, regions[], COLUMN(AR$1)-COLUMN($A$1), FALSE), VLOOKUP($A137,raw[],COLUMN(AR$1)-COLUMN($A$1),FALSE))</f>
        <v>3.4380513825671297E-2</v>
      </c>
      <c r="AR137" s="72">
        <f>IF(VLOOKUP($A137,raw[],COLUMN(AS$1)-COLUMN($A$1),FALSE)=0, VLOOKUP($D137, regions[], COLUMN(AS$1)-COLUMN($A$1), FALSE), VLOOKUP($A137,raw[],COLUMN(AS$1)-COLUMN($A$1),FALSE))</f>
        <v>4.927703836195485E-2</v>
      </c>
      <c r="AS137" s="72">
        <f>IF(VLOOKUP($A137,raw[],COLUMN(AT$1)-COLUMN($A$1),FALSE)=0, VLOOKUP($D137, regions[], COLUMN(AT$1)-COLUMN($A$1), FALSE), VLOOKUP($A137,raw[],COLUMN(AT$1)-COLUMN($A$1),FALSE))</f>
        <v>7.1001716925981367E-2</v>
      </c>
      <c r="AT137" s="72">
        <f>IF(VLOOKUP($A137,raw[],COLUMN(AU$1)-COLUMN($A$1),FALSE)=0, VLOOKUP($D137, regions[], COLUMN(AU$1)-COLUMN($A$1), FALSE), VLOOKUP($A137,raw[],COLUMN(AU$1)-COLUMN($A$1),FALSE))</f>
        <v>0.10392577378203825</v>
      </c>
      <c r="AU137" s="72">
        <f>IF(VLOOKUP($A137,raw[],COLUMN(AV$1)-COLUMN($A$1),FALSE)=0, VLOOKUP($D137, regions[], COLUMN(AV$1)-COLUMN($A$1), FALSE), VLOOKUP($A137,raw[],COLUMN(AV$1)-COLUMN($A$1),FALSE))</f>
        <v>0.14303205028467894</v>
      </c>
      <c r="AV137" s="72">
        <f>IF(VLOOKUP($A137,raw[],COLUMN(AW$1)-COLUMN($A$1),FALSE)=0, VLOOKUP($D137, regions[], COLUMN(AW$1)-COLUMN($A$1), FALSE), VLOOKUP($A137,raw[],COLUMN(AW$1)-COLUMN($A$1),FALSE))</f>
        <v>0.17373202878536326</v>
      </c>
      <c r="AW137" s="72">
        <f>IF(VLOOKUP($A137,raw[],COLUMN(AX$1)-COLUMN($A$1),FALSE)=0, VLOOKUP($D137, regions[], COLUMN(AX$1)-COLUMN($A$1), FALSE), VLOOKUP($A137,raw[],COLUMN(AX$1)-COLUMN($A$1),FALSE))</f>
        <v>0.18559452784452807</v>
      </c>
      <c r="AX137" s="72">
        <f>IF(VLOOKUP($A137,raw[],COLUMN(AY$1)-COLUMN($A$1),FALSE)=0, VLOOKUP($D137, regions[], COLUMN(AY$1)-COLUMN($A$1), FALSE), VLOOKUP($A137,raw[],COLUMN(AY$1)-COLUMN($A$1),FALSE))</f>
        <v>60.832999999999998</v>
      </c>
      <c r="AY137" t="str">
        <f t="shared" si="4"/>
        <v>Yes</v>
      </c>
    </row>
    <row r="139" spans="1:51" x14ac:dyDescent="0.25">
      <c r="A139" s="49" t="s">
        <v>144</v>
      </c>
      <c r="B139" s="49" t="s">
        <v>145</v>
      </c>
      <c r="C139" s="49" t="s">
        <v>146</v>
      </c>
      <c r="D139" s="49" t="s">
        <v>147</v>
      </c>
      <c r="E139" s="49" t="s">
        <v>148</v>
      </c>
      <c r="F139" s="49" t="s">
        <v>149</v>
      </c>
      <c r="G139" s="49" t="s">
        <v>150</v>
      </c>
      <c r="H139" s="50" t="s">
        <v>151</v>
      </c>
      <c r="I139" s="50" t="s">
        <v>152</v>
      </c>
      <c r="J139" s="75" t="s">
        <v>153</v>
      </c>
      <c r="K139" s="50" t="s">
        <v>154</v>
      </c>
      <c r="L139" s="50" t="s">
        <v>155</v>
      </c>
      <c r="M139" s="50" t="s">
        <v>156</v>
      </c>
      <c r="N139" s="78" t="s">
        <v>157</v>
      </c>
      <c r="O139" s="50" t="s">
        <v>158</v>
      </c>
      <c r="P139" s="50" t="s">
        <v>159</v>
      </c>
      <c r="Q139" s="50" t="s">
        <v>160</v>
      </c>
      <c r="R139" s="81" t="s">
        <v>161</v>
      </c>
      <c r="S139" s="50" t="s">
        <v>162</v>
      </c>
      <c r="T139" s="50" t="s">
        <v>163</v>
      </c>
      <c r="U139" s="81" t="s">
        <v>164</v>
      </c>
      <c r="V139" s="50" t="s">
        <v>165</v>
      </c>
      <c r="W139" s="50" t="s">
        <v>166</v>
      </c>
      <c r="X139" s="50" t="s">
        <v>167</v>
      </c>
      <c r="Y139" s="50" t="s">
        <v>168</v>
      </c>
      <c r="Z139" s="50" t="s">
        <v>169</v>
      </c>
      <c r="AA139" s="50" t="s">
        <v>170</v>
      </c>
      <c r="AB139" s="50" t="s">
        <v>171</v>
      </c>
      <c r="AC139" s="49" t="s">
        <v>172</v>
      </c>
      <c r="AD139" s="49" t="s">
        <v>173</v>
      </c>
      <c r="AE139" s="49" t="s">
        <v>174</v>
      </c>
      <c r="AF139" s="49" t="s">
        <v>175</v>
      </c>
      <c r="AG139" s="49" t="s">
        <v>176</v>
      </c>
      <c r="AH139" s="49" t="s">
        <v>177</v>
      </c>
      <c r="AI139" s="49" t="s">
        <v>178</v>
      </c>
      <c r="AJ139" s="49" t="s">
        <v>179</v>
      </c>
      <c r="AK139" s="49" t="s">
        <v>180</v>
      </c>
      <c r="AL139" s="49" t="s">
        <v>181</v>
      </c>
      <c r="AM139" s="49" t="s">
        <v>182</v>
      </c>
      <c r="AN139" s="49" t="s">
        <v>183</v>
      </c>
      <c r="AO139" s="49" t="s">
        <v>184</v>
      </c>
      <c r="AP139" s="49" t="s">
        <v>185</v>
      </c>
      <c r="AQ139" s="49" t="s">
        <v>186</v>
      </c>
      <c r="AR139" s="49" t="s">
        <v>187</v>
      </c>
      <c r="AS139" s="49" t="s">
        <v>188</v>
      </c>
      <c r="AT139" s="49" t="s">
        <v>189</v>
      </c>
      <c r="AU139" s="49" t="s">
        <v>190</v>
      </c>
      <c r="AV139" s="49" t="s">
        <v>191</v>
      </c>
      <c r="AW139" s="49" t="s">
        <v>192</v>
      </c>
      <c r="AX139" s="51" t="s">
        <v>193</v>
      </c>
      <c r="AY139" s="50" t="s">
        <v>504</v>
      </c>
    </row>
    <row r="140" spans="1:51" x14ac:dyDescent="0.25">
      <c r="A140" s="53" t="s">
        <v>194</v>
      </c>
      <c r="B140" s="54" t="s">
        <v>195</v>
      </c>
      <c r="C140" s="54">
        <v>4</v>
      </c>
      <c r="D140" s="54" t="s">
        <v>196</v>
      </c>
      <c r="E140" s="54" t="s">
        <v>197</v>
      </c>
      <c r="F140" s="54" t="s">
        <v>197</v>
      </c>
      <c r="G140" s="54" t="s">
        <v>198</v>
      </c>
      <c r="H140" s="73"/>
      <c r="I140" s="73"/>
      <c r="J140" s="76">
        <f>IF(VLOOKUP($A140,raw_lb[],COLUMN(J$1),FALSE)=0, VLOOKUP($D140, regions_lb[], COLUMN(J$1), FALSE), VLOOKUP($A140,raw_lb[],COLUMN(J$1),FALSE))</f>
        <v>0.53484999999999994</v>
      </c>
      <c r="K140" s="76">
        <f>VLOOKUP($A140, raw_lb[], 11, FALSE)</f>
        <v>0.36099999999999999</v>
      </c>
      <c r="L140" s="76">
        <f>VLOOKUP($A140, raw_lb[], 12, FALSE)</f>
        <v>0.66499999999999992</v>
      </c>
      <c r="M140" s="76">
        <f>IF(VLOOKUP($A140,raw_lb[],COLUMN(M$1),FALSE)=0, VLOOKUP($D140, regions_lb[], COLUMN(M$1), FALSE), VLOOKUP($A140,raw_lb[],COLUMN(M$1),FALSE))</f>
        <v>1.1399999999999999E-2</v>
      </c>
      <c r="N140" s="79">
        <f>IF(VLOOKUP($A140,raw_lb[],COLUMN(N$1),FALSE)=0, VLOOKUP($D140, regions_lb[], COLUMN(N$1), FALSE), VLOOKUP($A140,raw_lb[],COLUMN(N$1),FALSE))</f>
        <v>0.14980000000000002</v>
      </c>
      <c r="O140" s="76">
        <f>IF(VLOOKUP($A140,raw_lb[],COLUMN(O$1),FALSE)=0, VLOOKUP($D140, regions_lb[], COLUMN(O$1), FALSE), VLOOKUP($A140,raw_lb[],COLUMN(O$1),FALSE))</f>
        <v>0.7</v>
      </c>
      <c r="P140" s="79">
        <f>IF(VLOOKUP($A140,raw_lb[],COLUMN(P$1),FALSE)=0, VLOOKUP($D140, regions_lb[], COLUMN(P$1), FALSE), VLOOKUP($A140,raw_lb[],COLUMN(P$1),FALSE))</f>
        <v>0.05</v>
      </c>
      <c r="Q140" s="80">
        <f>IF(VLOOKUP($A140,raw_lb[],COLUMN(Q$1),FALSE)=0, VLOOKUP($D140, regions_lb[], COLUMN(Q$1), FALSE), VLOOKUP($A140,raw_lb[],COLUMN(Q$1),FALSE))</f>
        <v>0.56777942583732099</v>
      </c>
      <c r="R140" s="80">
        <f>IF(VLOOKUP($A140,raw_lb[],COLUMN(R$1),FALSE)=0, VLOOKUP($D140, regions_lb[], COLUMN(R$1), FALSE), VLOOKUP($A140,raw_lb[],COLUMN(R$1),FALSE))</f>
        <v>7.6286794258373209</v>
      </c>
      <c r="S140" s="80">
        <f>IF(VLOOKUP($A140,raw_lb[],COLUMN(S$1),FALSE)=0, VLOOKUP($D140, regions_lb[], COLUMN(S$1), FALSE), VLOOKUP($A140,raw_lb[],COLUMN(S$1),FALSE))</f>
        <v>37.063427902606179</v>
      </c>
      <c r="T140" s="80">
        <f>IF(VLOOKUP($A140,raw_lb[],COLUMN(T$1),FALSE)=0, VLOOKUP($D140, regions_lb[], COLUMN(T$1), FALSE), VLOOKUP($A140,raw_lb[],COLUMN(T$1),FALSE))</f>
        <v>37.123874981649003</v>
      </c>
      <c r="U140" s="80">
        <f>IF(VLOOKUP($A140,raw_lb[],COLUMN(U$1),FALSE)=0, VLOOKUP($D140, regions_lb[], COLUMN(U$1), FALSE), VLOOKUP($A140,raw_lb[],COLUMN(U$1),FALSE))</f>
        <v>37.123874981649003</v>
      </c>
      <c r="V140" s="80">
        <f>IF(VLOOKUP($A140,raw_lb[],COLUMN(V$1),FALSE)=0, VLOOKUP($D140, regions_lb[], COLUMN(V$1), FALSE), VLOOKUP($A140,raw_lb[],COLUMN(V$1),FALSE))</f>
        <v>0.6789836596237363</v>
      </c>
      <c r="W140" s="80">
        <f>IF(VLOOKUP($A140,raw_lb[],COLUMN(W$1),FALSE)=0, VLOOKUP($D140, regions_lb[], COLUMN(W$1), FALSE), VLOOKUP($A140,raw_lb[],COLUMN(W$1),FALSE))</f>
        <v>1.1349836596237362</v>
      </c>
      <c r="X140" s="80">
        <f>IF(VLOOKUP($A140,raw_lb[],COLUMN(X$1),FALSE)=0, VLOOKUP($D140, regions_lb[], COLUMN(X$1), FALSE), VLOOKUP($A140,raw_lb[],COLUMN(X$1),FALSE))</f>
        <v>0.20901365598781874</v>
      </c>
      <c r="Y140" s="80">
        <f>IF(VLOOKUP($A140,raw_lb[],COLUMN(Y$1),FALSE)=0, VLOOKUP($D140, regions_lb[], COLUMN(Y$1), FALSE), VLOOKUP($A140,raw_lb[],COLUMN(Y$1),FALSE))</f>
        <v>0.6650136559878187</v>
      </c>
      <c r="Z140" s="80">
        <f>IF(VLOOKUP($A140,raw_lb[],COLUMN(Z$1),FALSE)=0, VLOOKUP($D140, regions_lb[], COLUMN(Z$1), FALSE), VLOOKUP($A140,raw_lb[],COLUMN(Z$1),FALSE))</f>
        <v>0.66359528327313888</v>
      </c>
      <c r="AA140" s="80">
        <f>IF(VLOOKUP($A140,raw_lb[],COLUMN(AA$1),FALSE)=0, VLOOKUP($D140, regions_lb[], COLUMN(AA$1), FALSE), VLOOKUP($A140,raw_lb[],COLUMN(AA$1),FALSE))</f>
        <v>0.8199978454463136</v>
      </c>
      <c r="AB140" s="80">
        <f>IF(VLOOKUP($A140,raw_lb[],COLUMN(AB$1),FALSE)=0, VLOOKUP($D140, regions_lb[], COLUMN(AB$1), FALSE), VLOOKUP($A140,raw_lb[],COLUMN(AB$1),FALSE))</f>
        <v>1.2759978454463137</v>
      </c>
      <c r="AC140" s="82">
        <f>IF(VLOOKUP($A140,raw_lb[],COLUMN(AC$1),FALSE)=0, VLOOKUP($D140, regions_lb[], COLUMN(AC$1), FALSE), VLOOKUP($A140,raw_lb[],COLUMN(AC$1),FALSE))</f>
        <v>4.9120624000000036E-2</v>
      </c>
      <c r="AD140" s="82">
        <f>IF(VLOOKUP($A140,raw_lb[],COLUMN(AD$1),FALSE)=0, VLOOKUP($D140, regions_lb[], COLUMN(AD$1), FALSE), VLOOKUP($A140,raw_lb[],COLUMN(AD$1),FALSE))</f>
        <v>4.0475832665748312E-3</v>
      </c>
      <c r="AE140" s="82">
        <f>IF(VLOOKUP($A140,raw_lb[],COLUMN(AE$1),FALSE)=0, VLOOKUP($D140, regions_lb[], COLUMN(AE$1), FALSE), VLOOKUP($A140,raw_lb[],COLUMN(AE$1),FALSE))</f>
        <v>1.2562550903421946E-3</v>
      </c>
      <c r="AF140" s="82">
        <f>IF(VLOOKUP($A140,raw_lb[],COLUMN(AF$1),FALSE)=0, VLOOKUP($D140, regions_lb[], COLUMN(AF$1), FALSE), VLOOKUP($A140,raw_lb[],COLUMN(AF$1),FALSE))</f>
        <v>9.8832577325858105E-4</v>
      </c>
      <c r="AG140" s="82">
        <f>IF(VLOOKUP($A140,raw_lb[],COLUMN(AG$1),FALSE)=0, VLOOKUP($D140, regions_lb[], COLUMN(AG$1), FALSE), VLOOKUP($A140,raw_lb[],COLUMN(AG$1),FALSE))</f>
        <v>1.5937485090018349E-3</v>
      </c>
      <c r="AH140" s="82">
        <f>IF(VLOOKUP($A140,raw_lb[],COLUMN(AH$1),FALSE)=0, VLOOKUP($D140, regions_lb[], COLUMN(AH$1), FALSE), VLOOKUP($A140,raw_lb[],COLUMN(AH$1),FALSE))</f>
        <v>2.2207789992641841E-3</v>
      </c>
      <c r="AI140" s="82">
        <f>IF(VLOOKUP($A140,raw_lb[],COLUMN(AI$1),FALSE)=0, VLOOKUP($D140, regions_lb[], COLUMN(AI$1), FALSE), VLOOKUP($A140,raw_lb[],COLUMN(AI$1),FALSE))</f>
        <v>2.4186840370301011E-3</v>
      </c>
      <c r="AJ140" s="82">
        <f>IF(VLOOKUP($A140,raw_lb[],COLUMN(AJ$1),FALSE)=0, VLOOKUP($D140, regions_lb[], COLUMN(AJ$1), FALSE), VLOOKUP($A140,raw_lb[],COLUMN(AJ$1),FALSE))</f>
        <v>2.7687203549625491E-3</v>
      </c>
      <c r="AK140" s="82">
        <f>IF(VLOOKUP($A140,raw_lb[],COLUMN(AK$1),FALSE)=0, VLOOKUP($D140, regions_lb[], COLUMN(AK$1), FALSE), VLOOKUP($A140,raw_lb[],COLUMN(AK$1),FALSE))</f>
        <v>3.4285849844365602E-3</v>
      </c>
      <c r="AL140" s="82">
        <f>IF(VLOOKUP($A140,raw_lb[],COLUMN(AL$1),FALSE)=0, VLOOKUP($D140, regions_lb[], COLUMN(AL$1), FALSE), VLOOKUP($A140,raw_lb[],COLUMN(AL$1),FALSE))</f>
        <v>4.5264417542140289E-3</v>
      </c>
      <c r="AM140" s="82">
        <f>IF(VLOOKUP($A140,raw_lb[],COLUMN(AM$1),FALSE)=0, VLOOKUP($D140, regions_lb[], COLUMN(AM$1), FALSE), VLOOKUP($A140,raw_lb[],COLUMN(AM$1),FALSE))</f>
        <v>6.3359280504008799E-3</v>
      </c>
      <c r="AN140" s="82">
        <f>IF(VLOOKUP($A140,raw_lb[],COLUMN(AN$1),FALSE)=0, VLOOKUP($D140, regions_lb[], COLUMN(AN$1), FALSE), VLOOKUP($A140,raw_lb[],COLUMN(AN$1),FALSE))</f>
        <v>9.2255564240715168E-3</v>
      </c>
      <c r="AO140" s="82">
        <f>IF(VLOOKUP($A140,raw_lb[],COLUMN(AO$1),FALSE)=0, VLOOKUP($D140, regions_lb[], COLUMN(AO$1), FALSE), VLOOKUP($A140,raw_lb[],COLUMN(AO$1),FALSE))</f>
        <v>1.3603326594448448E-2</v>
      </c>
      <c r="AP140" s="82">
        <f>IF(VLOOKUP($A140,raw_lb[],COLUMN(AP$1),FALSE)=0, VLOOKUP($D140, regions_lb[], COLUMN(AP$1), FALSE), VLOOKUP($A140,raw_lb[],COLUMN(AP$1),FALSE))</f>
        <v>2.0497586203941633E-2</v>
      </c>
      <c r="AQ140" s="82">
        <f>IF(VLOOKUP($A140,raw_lb[],COLUMN(AQ$1),FALSE)=0, VLOOKUP($D140, regions_lb[], COLUMN(AQ$1), FALSE), VLOOKUP($A140,raw_lb[],COLUMN(AQ$1),FALSE))</f>
        <v>3.0872546857944796E-2</v>
      </c>
      <c r="AR140" s="82">
        <f>IF(VLOOKUP($A140,raw_lb[],COLUMN(AR$1),FALSE)=0, VLOOKUP($D140, regions_lb[], COLUMN(AR$1), FALSE), VLOOKUP($A140,raw_lb[],COLUMN(AR$1),FALSE))</f>
        <v>4.7064547908596689E-2</v>
      </c>
      <c r="AS140" s="82">
        <f>IF(VLOOKUP($A140,raw_lb[],COLUMN(AS$1),FALSE)=0, VLOOKUP($D140, regions_lb[], COLUMN(AS$1), FALSE), VLOOKUP($A140,raw_lb[],COLUMN(AS$1),FALSE))</f>
        <v>7.0094918319276972E-2</v>
      </c>
      <c r="AT140" s="82">
        <f>IF(VLOOKUP($A140,raw_lb[],COLUMN(AT$1),FALSE)=0, VLOOKUP($D140, regions_lb[], COLUMN(AT$1), FALSE), VLOOKUP($A140,raw_lb[],COLUMN(AT$1),FALSE))</f>
        <v>9.9604592682606283E-2</v>
      </c>
      <c r="AU140" s="82">
        <f>IF(VLOOKUP($A140,raw_lb[],COLUMN(AU$1),FALSE)=0, VLOOKUP($D140, regions_lb[], COLUMN(AU$1), FALSE), VLOOKUP($A140,raw_lb[],COLUMN(AU$1),FALSE))</f>
        <v>0.13043837450783241</v>
      </c>
      <c r="AV140" s="82">
        <f>IF(VLOOKUP($A140,raw_lb[],COLUMN(AV$1),FALSE)=0, VLOOKUP($D140, regions_lb[], COLUMN(AV$1), FALSE), VLOOKUP($A140,raw_lb[],COLUMN(AV$1),FALSE))</f>
        <v>0.15520510485122921</v>
      </c>
      <c r="AW140" s="82">
        <f>IF(VLOOKUP($A140,raw_lb[],COLUMN(AW$1),FALSE)=0, VLOOKUP($D140, regions_lb[], COLUMN(AW$1), FALSE), VLOOKUP($A140,raw_lb[],COLUMN(AW$1),FALSE))</f>
        <v>0.17104372515538666</v>
      </c>
      <c r="AX140" s="82">
        <f>IF(VLOOKUP($A140,raw_lb[],COLUMN(AX$1),FALSE)=0, VLOOKUP($D140, regions_lb[], COLUMN(AX$1), FALSE), VLOOKUP($A140,raw_lb[],COLUMN(AX$1),FALSE))</f>
        <v>61.065049999999992</v>
      </c>
      <c r="AY140" t="str">
        <f t="shared" ref="AY140:AY171" si="5">IF($K140=0,"Yes", "No")</f>
        <v>No</v>
      </c>
    </row>
    <row r="141" spans="1:51" x14ac:dyDescent="0.25">
      <c r="A141" s="55" t="s">
        <v>199</v>
      </c>
      <c r="B141" s="56" t="s">
        <v>200</v>
      </c>
      <c r="C141" s="56">
        <v>8</v>
      </c>
      <c r="D141" s="56" t="s">
        <v>201</v>
      </c>
      <c r="E141" s="56" t="s">
        <v>202</v>
      </c>
      <c r="F141" s="56" t="s">
        <v>203</v>
      </c>
      <c r="G141" s="56" t="s">
        <v>204</v>
      </c>
      <c r="H141" s="74"/>
      <c r="I141" s="74"/>
      <c r="J141" s="67">
        <f>IF(VLOOKUP($A141,raw_lb[],COLUMN(J$1),FALSE)=0, VLOOKUP($D141, regions_lb[], COLUMN(J$1), FALSE), VLOOKUP($A141,raw_lb[],COLUMN(J$1),FALSE))</f>
        <v>0.93669999999999998</v>
      </c>
      <c r="K141" s="77">
        <f>VLOOKUP($A141, raw_lb[], 11, FALSE)</f>
        <v>0.9405</v>
      </c>
      <c r="L141" s="77">
        <f>VLOOKUP($A141, raw_lb[], 12, FALSE)</f>
        <v>0.93099999999999994</v>
      </c>
      <c r="M141" s="77">
        <f>IF(VLOOKUP($A141,raw_lb[],COLUMN(M$1),FALSE)=0, VLOOKUP($D141, regions_lb[], COLUMN(M$1), FALSE), VLOOKUP($A141,raw_lb[],COLUMN(M$1),FALSE))</f>
        <v>6.6600000000000006E-2</v>
      </c>
      <c r="N141" s="68">
        <f>IF(VLOOKUP($A141,raw_lb[],COLUMN(N$1),FALSE)=0, VLOOKUP($D141, regions_lb[], COLUMN(N$1), FALSE), VLOOKUP($A141,raw_lb[],COLUMN(N$1),FALSE))</f>
        <v>0.16329999999999997</v>
      </c>
      <c r="O141" s="67">
        <f>IF(VLOOKUP($A141,raw_lb[],COLUMN(O$1),FALSE)=0, VLOOKUP($D141, regions_lb[], COLUMN(O$1), FALSE), VLOOKUP($A141,raw_lb[],COLUMN(O$1),FALSE))</f>
        <v>0.7</v>
      </c>
      <c r="P141" s="68">
        <f>IF(VLOOKUP($A141,raw_lb[],COLUMN(P$1),FALSE)=0, VLOOKUP($D141, regions_lb[], COLUMN(P$1), FALSE), VLOOKUP($A141,raw_lb[],COLUMN(P$1),FALSE))</f>
        <v>0.05</v>
      </c>
      <c r="Q141" s="70">
        <f>IF(VLOOKUP($A141,raw_lb[],COLUMN(Q$1),FALSE)=0, VLOOKUP($D141, regions_lb[], COLUMN(Q$1), FALSE), VLOOKUP($A141,raw_lb[],COLUMN(Q$1),FALSE))</f>
        <v>1.59924244186047</v>
      </c>
      <c r="R141" s="70">
        <f>IF(VLOOKUP($A141,raw_lb[],COLUMN(R$1),FALSE)=0, VLOOKUP($D141, regions_lb[], COLUMN(R$1), FALSE), VLOOKUP($A141,raw_lb[],COLUMN(R$1),FALSE))</f>
        <v>8.6601424418604704</v>
      </c>
      <c r="S141" s="70">
        <f>IF(VLOOKUP($A141,raw_lb[],COLUMN(S$1),FALSE)=0, VLOOKUP($D141, regions_lb[], COLUMN(S$1), FALSE), VLOOKUP($A141,raw_lb[],COLUMN(S$1),FALSE))</f>
        <v>44.526499742991774</v>
      </c>
      <c r="T141" s="70">
        <f>IF(VLOOKUP($A141,raw_lb[],COLUMN(U$1)-COLUMN($A$1),FALSE)=0, VLOOKUP($D141, regions_lb[], COLUMN(U$1)-COLUMN($A$1), FALSE), VLOOKUP($A141,raw_lb[],COLUMN(U$1)-COLUMN($A$1),FALSE))</f>
        <v>47.98569642041646</v>
      </c>
      <c r="U141" s="70">
        <f>IF(VLOOKUP($A141,raw_lb[],COLUMN(V$1)-COLUMN($A$1),FALSE)=0, VLOOKUP($D141, regions_lb[], COLUMN(V$1)-COLUMN($A$1), FALSE), VLOOKUP($A141,raw_lb[],COLUMN(V$1)-COLUMN($A$1),FALSE))</f>
        <v>46.397306424245912</v>
      </c>
      <c r="V141" s="70">
        <f>IF(VLOOKUP($A141,raw_lb[],COLUMN(W$1)-COLUMN($A$1),FALSE)=0, VLOOKUP($D141, regions_lb[], COLUMN(W$1)-COLUMN($A$1), FALSE), VLOOKUP($A141,raw_lb[],COLUMN(W$1)-COLUMN($A$1),FALSE))</f>
        <v>3.4726840679983271</v>
      </c>
      <c r="W141" s="70">
        <f>IF(VLOOKUP($A141,raw_lb[],COLUMN(X$1)-COLUMN($A$1),FALSE)=0, VLOOKUP($D141, regions_lb[], COLUMN(X$1)-COLUMN($A$1), FALSE), VLOOKUP($A141,raw_lb[],COLUMN(X$1)-COLUMN($A$1),FALSE))</f>
        <v>7.3391840679983273</v>
      </c>
      <c r="X141" s="70">
        <f>IF(VLOOKUP($A141,raw_lb[],COLUMN(Y$1)-COLUMN($A$1),FALSE)=0, VLOOKUP($D141, regions_lb[], COLUMN(Y$1)-COLUMN($A$1), FALSE), VLOOKUP($A141,raw_lb[],COLUMN(Y$1)-COLUMN($A$1),FALSE))</f>
        <v>2.9981515432669896</v>
      </c>
      <c r="Y141" s="70">
        <f>IF(VLOOKUP($A141,raw_lb[],COLUMN(Z$1)-COLUMN($A$1),FALSE)=0, VLOOKUP($D141, regions_lb[], COLUMN(Z$1)-COLUMN($A$1), FALSE), VLOOKUP($A141,raw_lb[],COLUMN(Z$1)-COLUMN($A$1),FALSE))</f>
        <v>6.8646515432669899</v>
      </c>
      <c r="Z141" s="70">
        <f>IF(VLOOKUP($A141,raw_lb[],COLUMN(AA$1)-COLUMN($A$1),FALSE)=0, VLOOKUP($D141, regions_lb[], COLUMN(AA$1)-COLUMN($A$1), FALSE), VLOOKUP($A141,raw_lb[],COLUMN(AA$1)-COLUMN($A$1),FALSE))</f>
        <v>6.8605024845665525</v>
      </c>
      <c r="AA141" s="70">
        <f>IF(VLOOKUP($A141,raw_lb[],COLUMN(AB$1)-COLUMN($A$1),FALSE)=0, VLOOKUP($D141, regions_lb[], COLUMN(AB$1)-COLUMN($A$1), FALSE), VLOOKUP($A141,raw_lb[],COLUMN(AB$1)-COLUMN($A$1),FALSE))</f>
        <v>3.6277768903439136</v>
      </c>
      <c r="AB141" s="70">
        <f>IF(VLOOKUP($A141,raw_lb[],COLUMN(AC$1)-COLUMN($A$1),FALSE)=0, VLOOKUP($D141, regions_lb[], COLUMN(AC$1)-COLUMN($A$1), FALSE), VLOOKUP($A141,raw_lb[],COLUMN(AC$1)-COLUMN($A$1),FALSE))</f>
        <v>7.4942768903439134</v>
      </c>
      <c r="AC141" s="72">
        <f>IF(VLOOKUP($A141,raw_lb[],COLUMN(AD$1)-COLUMN($A$1),FALSE)=0, VLOOKUP($D141, regions_lb[], COLUMN(AD$1)-COLUMN($A$1), FALSE), VLOOKUP($A141,raw_lb[],COLUMN(AD$1)-COLUMN($A$1),FALSE))</f>
        <v>7.6302479999999402E-3</v>
      </c>
      <c r="AD141" s="72">
        <f>IF(VLOOKUP($A141,raw_lb[],COLUMN(AE$1)-COLUMN($A$1),FALSE)=0, VLOOKUP($D141, regions_lb[], COLUMN(AE$1)-COLUMN($A$1), FALSE), VLOOKUP($A141,raw_lb[],COLUMN(AE$1)-COLUMN($A$1),FALSE))</f>
        <v>8.0037914220959505E-4</v>
      </c>
      <c r="AE141" s="72">
        <f>IF(VLOOKUP($A141,raw_lb[],COLUMN(AF$1)-COLUMN($A$1),FALSE)=0, VLOOKUP($D141, regions_lb[], COLUMN(AF$1)-COLUMN($A$1), FALSE), VLOOKUP($A141,raw_lb[],COLUMN(AF$1)-COLUMN($A$1),FALSE))</f>
        <v>2.1201967932821136E-4</v>
      </c>
      <c r="AF141" s="72">
        <f>IF(VLOOKUP($A141,raw_lb[],COLUMN(AG$1)-COLUMN($A$1),FALSE)=0, VLOOKUP($D141, regions_lb[], COLUMN(AG$1)-COLUMN($A$1), FALSE), VLOOKUP($A141,raw_lb[],COLUMN(AG$1)-COLUMN($A$1),FALSE))</f>
        <v>2.545904774314929E-4</v>
      </c>
      <c r="AG141" s="72">
        <f>IF(VLOOKUP($A141,raw_lb[],COLUMN(AH$1)-COLUMN($A$1),FALSE)=0, VLOOKUP($D141, regions_lb[], COLUMN(AH$1)-COLUMN($A$1), FALSE), VLOOKUP($A141,raw_lb[],COLUMN(AH$1)-COLUMN($A$1),FALSE))</f>
        <v>3.5317271432844846E-4</v>
      </c>
      <c r="AH141" s="72">
        <f>IF(VLOOKUP($A141,raw_lb[],COLUMN(AI$1)-COLUMN($A$1),FALSE)=0, VLOOKUP($D141, regions_lb[], COLUMN(AI$1)-COLUMN($A$1), FALSE), VLOOKUP($A141,raw_lb[],COLUMN(AI$1)-COLUMN($A$1),FALSE))</f>
        <v>4.0285498387421969E-4</v>
      </c>
      <c r="AI141" s="72">
        <f>IF(VLOOKUP($A141,raw_lb[],COLUMN(AJ$1)-COLUMN($A$1),FALSE)=0, VLOOKUP($D141, regions_lb[], COLUMN(AJ$1)-COLUMN($A$1), FALSE), VLOOKUP($A141,raw_lb[],COLUMN(AJ$1)-COLUMN($A$1),FALSE))</f>
        <v>4.6464073543951235E-4</v>
      </c>
      <c r="AJ141" s="72">
        <f>IF(VLOOKUP($A141,raw_lb[],COLUMN(AK$1)-COLUMN($A$1),FALSE)=0, VLOOKUP($D141, regions_lb[], COLUMN(AK$1)-COLUMN($A$1), FALSE), VLOOKUP($A141,raw_lb[],COLUMN(AK$1)-COLUMN($A$1),FALSE))</f>
        <v>5.9841264665688645E-4</v>
      </c>
      <c r="AK141" s="72">
        <f>IF(VLOOKUP($A141,raw_lb[],COLUMN(AL$1)-COLUMN($A$1),FALSE)=0, VLOOKUP($D141, regions_lb[], COLUMN(AL$1)-COLUMN($A$1), FALSE), VLOOKUP($A141,raw_lb[],COLUMN(AL$1)-COLUMN($A$1),FALSE))</f>
        <v>9.7982280104594224E-4</v>
      </c>
      <c r="AL141" s="72">
        <f>IF(VLOOKUP($A141,raw_lb[],COLUMN(AM$1)-COLUMN($A$1),FALSE)=0, VLOOKUP($D141, regions_lb[], COLUMN(AM$1)-COLUMN($A$1), FALSE), VLOOKUP($A141,raw_lb[],COLUMN(AM$1)-COLUMN($A$1),FALSE))</f>
        <v>1.3261774402489005E-3</v>
      </c>
      <c r="AM141" s="72">
        <f>IF(VLOOKUP($A141,raw_lb[],COLUMN(AN$1)-COLUMN($A$1),FALSE)=0, VLOOKUP($D141, regions_lb[], COLUMN(AN$1)-COLUMN($A$1), FALSE), VLOOKUP($A141,raw_lb[],COLUMN(AN$1)-COLUMN($A$1),FALSE))</f>
        <v>2.061931860693728E-3</v>
      </c>
      <c r="AN141" s="72">
        <f>IF(VLOOKUP($A141,raw_lb[],COLUMN(AO$1)-COLUMN($A$1),FALSE)=0, VLOOKUP($D141, regions_lb[], COLUMN(AO$1)-COLUMN($A$1), FALSE), VLOOKUP($A141,raw_lb[],COLUMN(AO$1)-COLUMN($A$1),FALSE))</f>
        <v>3.1369112864009065E-3</v>
      </c>
      <c r="AO141" s="72">
        <f>IF(VLOOKUP($A141,raw_lb[],COLUMN(AP$1)-COLUMN($A$1),FALSE)=0, VLOOKUP($D141, regions_lb[], COLUMN(AP$1)-COLUMN($A$1), FALSE), VLOOKUP($A141,raw_lb[],COLUMN(AP$1)-COLUMN($A$1),FALSE))</f>
        <v>4.8072604314003215E-3</v>
      </c>
      <c r="AP141" s="72">
        <f>IF(VLOOKUP($A141,raw_lb[],COLUMN(AQ$1)-COLUMN($A$1),FALSE)=0, VLOOKUP($D141, regions_lb[], COLUMN(AQ$1)-COLUMN($A$1), FALSE), VLOOKUP($A141,raw_lb[],COLUMN(AQ$1)-COLUMN($A$1),FALSE))</f>
        <v>7.4734241012397234E-3</v>
      </c>
      <c r="AQ141" s="72">
        <f>IF(VLOOKUP($A141,raw_lb[],COLUMN(AR$1)-COLUMN($A$1),FALSE)=0, VLOOKUP($D141, regions_lb[], COLUMN(AR$1)-COLUMN($A$1), FALSE), VLOOKUP($A141,raw_lb[],COLUMN(AR$1)-COLUMN($A$1),FALSE))</f>
        <v>1.2467345457055731E-2</v>
      </c>
      <c r="AR141" s="72">
        <f>IF(VLOOKUP($A141,raw_lb[],COLUMN(AS$1)-COLUMN($A$1),FALSE)=0, VLOOKUP($D141, regions_lb[], COLUMN(AS$1)-COLUMN($A$1), FALSE), VLOOKUP($A141,raw_lb[],COLUMN(AS$1)-COLUMN($A$1),FALSE))</f>
        <v>2.1902085151518924E-2</v>
      </c>
      <c r="AS141" s="82">
        <f>IF(VLOOKUP($A141,raw_lb[],COLUMN(AS$1),FALSE)=0, VLOOKUP($D141, regions_lb[], COLUMN(AS$1), FALSE), VLOOKUP($A141,raw_lb[],COLUMN(AS$1),FALSE))</f>
        <v>3.9831435152768241E-2</v>
      </c>
      <c r="AT141" s="82">
        <f>IF(VLOOKUP($A141,raw_lb[],COLUMN(AT$1),FALSE)=0, VLOOKUP($D141, regions_lb[], COLUMN(AT$1), FALSE), VLOOKUP($A141,raw_lb[],COLUMN(AT$1),FALSE))</f>
        <v>7.2251191886059524E-2</v>
      </c>
      <c r="AU141" s="82">
        <f>IF(VLOOKUP($A141,raw_lb[],COLUMN(AU$1),FALSE)=0, VLOOKUP($D141, regions_lb[], COLUMN(AU$1), FALSE), VLOOKUP($A141,raw_lb[],COLUMN(AU$1),FALSE))</f>
        <v>0.10729775969544417</v>
      </c>
      <c r="AV141" s="82">
        <f>IF(VLOOKUP($A141,raw_lb[],COLUMN(AV$1),FALSE)=0, VLOOKUP($D141, regions_lb[], COLUMN(AV$1), FALSE), VLOOKUP($A141,raw_lb[],COLUMN(AV$1),FALSE))</f>
        <v>0.14261418920031074</v>
      </c>
      <c r="AW141" s="82">
        <f>IF(VLOOKUP($A141,raw_lb[],COLUMN(AW$1),FALSE)=0, VLOOKUP($D141, regions_lb[], COLUMN(AW$1), FALSE), VLOOKUP($A141,raw_lb[],COLUMN(AW$1),FALSE))</f>
        <v>0.16891924765651314</v>
      </c>
      <c r="AX141" s="82">
        <f>IF(VLOOKUP($A141,raw_lb[],COLUMN(AX$1),FALSE)=0, VLOOKUP($D141, regions_lb[], COLUMN(AX$1), FALSE), VLOOKUP($A141,raw_lb[],COLUMN(AX$1),FALSE))</f>
        <v>74.458149999999989</v>
      </c>
      <c r="AY141" t="str">
        <f t="shared" si="5"/>
        <v>No</v>
      </c>
    </row>
    <row r="142" spans="1:51" x14ac:dyDescent="0.25">
      <c r="A142" s="53" t="s">
        <v>205</v>
      </c>
      <c r="B142" s="54" t="s">
        <v>206</v>
      </c>
      <c r="C142" s="54">
        <v>12</v>
      </c>
      <c r="D142" s="54" t="s">
        <v>207</v>
      </c>
      <c r="E142" s="54" t="s">
        <v>197</v>
      </c>
      <c r="F142" s="54" t="s">
        <v>197</v>
      </c>
      <c r="G142" s="54" t="s">
        <v>204</v>
      </c>
      <c r="H142" s="73"/>
      <c r="I142" s="73"/>
      <c r="J142" s="67">
        <f>IF(VLOOKUP($A142,raw_lb[],COLUMN(J$1),FALSE)=0, VLOOKUP($D142, regions_lb[], COLUMN(J$1), FALSE), VLOOKUP($A142,raw_lb[],COLUMN(J$1),FALSE))</f>
        <v>0.91959999999999997</v>
      </c>
      <c r="K142" s="77">
        <f>VLOOKUP($A142, raw_lb[], 11, FALSE)</f>
        <v>0.9405</v>
      </c>
      <c r="L142" s="77">
        <f>VLOOKUP($A142, raw_lb[], 12, FALSE)</f>
        <v>0.86449999999999994</v>
      </c>
      <c r="M142" s="77">
        <f>IF(VLOOKUP($A142,raw_lb[],COLUMN(M$1),FALSE)=0, VLOOKUP($D142, regions_lb[], COLUMN(M$1), FALSE), VLOOKUP($A142,raw_lb[],COLUMN(M$1),FALSE))</f>
        <v>1.7899999999999999E-2</v>
      </c>
      <c r="N142" s="68">
        <f>IF(VLOOKUP($A142,raw_lb[],COLUMN(N$1),FALSE)=0, VLOOKUP($D142, regions_lb[], COLUMN(N$1), FALSE), VLOOKUP($A142,raw_lb[],COLUMN(N$1),FALSE))</f>
        <v>0.14980000000000002</v>
      </c>
      <c r="O142" s="67">
        <f>IF(VLOOKUP($A142,raw_lb[],COLUMN(O$1),FALSE)=0, VLOOKUP($D142, regions_lb[], COLUMN(O$1), FALSE), VLOOKUP($A142,raw_lb[],COLUMN(O$1),FALSE))</f>
        <v>0.7</v>
      </c>
      <c r="P142" s="68">
        <f>IF(VLOOKUP($A142,raw_lb[],COLUMN(P$1),FALSE)=0, VLOOKUP($D142, regions_lb[], COLUMN(P$1), FALSE), VLOOKUP($A142,raw_lb[],COLUMN(P$1),FALSE))</f>
        <v>0.05</v>
      </c>
      <c r="Q142" s="70">
        <f>IF(VLOOKUP($A142,raw_lb[],COLUMN(Q$1),FALSE)=0, VLOOKUP($D142, regions_lb[], COLUMN(Q$1), FALSE), VLOOKUP($A142,raw_lb[],COLUMN(Q$1),FALSE))</f>
        <v>1.308541502988898</v>
      </c>
      <c r="R142" s="70">
        <f>IF(VLOOKUP($A142,raw_lb[],COLUMN(R$1),FALSE)=0, VLOOKUP($D142, regions_lb[], COLUMN(R$1), FALSE), VLOOKUP($A142,raw_lb[],COLUMN(R$1),FALSE))</f>
        <v>8.3694415029888987</v>
      </c>
      <c r="S142" s="70">
        <f>IF(VLOOKUP($A142,raw_lb[],COLUMN(S$1),FALSE)=0, VLOOKUP($D142, regions_lb[], COLUMN(S$1), FALSE), VLOOKUP($A142,raw_lb[],COLUMN(S$1),FALSE))</f>
        <v>42.649061354791435</v>
      </c>
      <c r="T142" s="70">
        <f>IF(VLOOKUP($A142,raw_lb[],COLUMN(U$1)-COLUMN($A$1),FALSE)=0, VLOOKUP($D142, regions_lb[], COLUMN(U$1)-COLUMN($A$1), FALSE), VLOOKUP($A142,raw_lb[],COLUMN(U$1)-COLUMN($A$1),FALSE))</f>
        <v>45.282416648135076</v>
      </c>
      <c r="U142" s="70">
        <f>IF(VLOOKUP($A142,raw_lb[],COLUMN(V$1)-COLUMN($A$1),FALSE)=0, VLOOKUP($D142, regions_lb[], COLUMN(V$1)-COLUMN($A$1), FALSE), VLOOKUP($A142,raw_lb[],COLUMN(V$1)-COLUMN($A$1),FALSE))</f>
        <v>44.073235559471499</v>
      </c>
      <c r="V142" s="70">
        <f>IF(VLOOKUP($A142,raw_lb[],COLUMN(W$1)-COLUMN($A$1),FALSE)=0, VLOOKUP($D142, regions_lb[], COLUMN(W$1)-COLUMN($A$1), FALSE), VLOOKUP($A142,raw_lb[],COLUMN(W$1)-COLUMN($A$1),FALSE))</f>
        <v>1.4054509175251704</v>
      </c>
      <c r="W142" s="70">
        <f>IF(VLOOKUP($A142,raw_lb[],COLUMN(X$1)-COLUMN($A$1),FALSE)=0, VLOOKUP($D142, regions_lb[], COLUMN(X$1)-COLUMN($A$1), FALSE), VLOOKUP($A142,raw_lb[],COLUMN(X$1)-COLUMN($A$1),FALSE))</f>
        <v>1.8614509175251703</v>
      </c>
      <c r="X142" s="70">
        <f>IF(VLOOKUP($A142,raw_lb[],COLUMN(Y$1)-COLUMN($A$1),FALSE)=0, VLOOKUP($D142, regions_lb[], COLUMN(Y$1)-COLUMN($A$1), FALSE), VLOOKUP($A142,raw_lb[],COLUMN(Y$1)-COLUMN($A$1),FALSE))</f>
        <v>0.92915898416513287</v>
      </c>
      <c r="Y142" s="70">
        <f>IF(VLOOKUP($A142,raw_lb[],COLUMN(Z$1)-COLUMN($A$1),FALSE)=0, VLOOKUP($D142, regions_lb[], COLUMN(Z$1)-COLUMN($A$1), FALSE), VLOOKUP($A142,raw_lb[],COLUMN(Z$1)-COLUMN($A$1),FALSE))</f>
        <v>1.3851589841651328</v>
      </c>
      <c r="Z142" s="70">
        <f>IF(VLOOKUP($A142,raw_lb[],COLUMN(AA$1)-COLUMN($A$1),FALSE)=0, VLOOKUP($D142, regions_lb[], COLUMN(AA$1)-COLUMN($A$1), FALSE), VLOOKUP($A142,raw_lb[],COLUMN(AA$1)-COLUMN($A$1),FALSE))</f>
        <v>1.3793578114970018</v>
      </c>
      <c r="AA142" s="70">
        <f>IF(VLOOKUP($A142,raw_lb[],COLUMN(AB$1)-COLUMN($A$1),FALSE)=0, VLOOKUP($D142, regions_lb[], COLUMN(AB$1)-COLUMN($A$1), FALSE), VLOOKUP($A142,raw_lb[],COLUMN(AB$1)-COLUMN($A$1),FALSE))</f>
        <v>1.5659727722107462</v>
      </c>
      <c r="AB142" s="70">
        <f>IF(VLOOKUP($A142,raw_lb[],COLUMN(AC$1)-COLUMN($A$1),FALSE)=0, VLOOKUP($D142, regions_lb[], COLUMN(AC$1)-COLUMN($A$1), FALSE), VLOOKUP($A142,raw_lb[],COLUMN(AC$1)-COLUMN($A$1),FALSE))</f>
        <v>2.0219727722107459</v>
      </c>
      <c r="AC142" s="72">
        <f>IF(VLOOKUP($A142,raw_lb[],COLUMN(AD$1)-COLUMN($A$1),FALSE)=0, VLOOKUP($D142, regions_lb[], COLUMN(AD$1)-COLUMN($A$1), FALSE), VLOOKUP($A142,raw_lb[],COLUMN(AD$1)-COLUMN($A$1),FALSE))</f>
        <v>2.0186663999999965E-2</v>
      </c>
      <c r="AD142" s="72">
        <f>IF(VLOOKUP($A142,raw_lb[],COLUMN(AE$1)-COLUMN($A$1),FALSE)=0, VLOOKUP($D142, regions_lb[], COLUMN(AE$1)-COLUMN($A$1), FALSE), VLOOKUP($A142,raw_lb[],COLUMN(AE$1)-COLUMN($A$1),FALSE))</f>
        <v>8.2992556287665037E-4</v>
      </c>
      <c r="AE142" s="72">
        <f>IF(VLOOKUP($A142,raw_lb[],COLUMN(AF$1)-COLUMN($A$1),FALSE)=0, VLOOKUP($D142, regions_lb[], COLUMN(AF$1)-COLUMN($A$1), FALSE), VLOOKUP($A142,raw_lb[],COLUMN(AF$1)-COLUMN($A$1),FALSE))</f>
        <v>4.2336152831688696E-4</v>
      </c>
      <c r="AF142" s="72">
        <f>IF(VLOOKUP($A142,raw_lb[],COLUMN(AG$1)-COLUMN($A$1),FALSE)=0, VLOOKUP($D142, regions_lb[], COLUMN(AG$1)-COLUMN($A$1), FALSE), VLOOKUP($A142,raw_lb[],COLUMN(AG$1)-COLUMN($A$1),FALSE))</f>
        <v>3.7614108204030806E-4</v>
      </c>
      <c r="AG142" s="72">
        <f>IF(VLOOKUP($A142,raw_lb[],COLUMN(AH$1)-COLUMN($A$1),FALSE)=0, VLOOKUP($D142, regions_lb[], COLUMN(AH$1)-COLUMN($A$1), FALSE), VLOOKUP($A142,raw_lb[],COLUMN(AH$1)-COLUMN($A$1),FALSE))</f>
        <v>5.3869702314149391E-4</v>
      </c>
      <c r="AH142" s="72">
        <f>IF(VLOOKUP($A142,raw_lb[],COLUMN(AI$1)-COLUMN($A$1),FALSE)=0, VLOOKUP($D142, regions_lb[], COLUMN(AI$1)-COLUMN($A$1), FALSE), VLOOKUP($A142,raw_lb[],COLUMN(AI$1)-COLUMN($A$1),FALSE))</f>
        <v>7.0094678426253527E-4</v>
      </c>
      <c r="AI142" s="72">
        <f>IF(VLOOKUP($A142,raw_lb[],COLUMN(AJ$1)-COLUMN($A$1),FALSE)=0, VLOOKUP($D142, regions_lb[], COLUMN(AJ$1)-COLUMN($A$1), FALSE), VLOOKUP($A142,raw_lb[],COLUMN(AJ$1)-COLUMN($A$1),FALSE))</f>
        <v>8.2717071028172776E-4</v>
      </c>
      <c r="AJ142" s="72">
        <f>IF(VLOOKUP($A142,raw_lb[],COLUMN(AK$1)-COLUMN($A$1),FALSE)=0, VLOOKUP($D142, regions_lb[], COLUMN(AK$1)-COLUMN($A$1), FALSE), VLOOKUP($A142,raw_lb[],COLUMN(AK$1)-COLUMN($A$1),FALSE))</f>
        <v>9.7713864064980448E-4</v>
      </c>
      <c r="AK142" s="72">
        <f>IF(VLOOKUP($A142,raw_lb[],COLUMN(AL$1)-COLUMN($A$1),FALSE)=0, VLOOKUP($D142, regions_lb[], COLUMN(AL$1)-COLUMN($A$1), FALSE), VLOOKUP($A142,raw_lb[],COLUMN(AL$1)-COLUMN($A$1),FALSE))</f>
        <v>1.3118978206780056E-3</v>
      </c>
      <c r="AL142" s="72">
        <f>IF(VLOOKUP($A142,raw_lb[],COLUMN(AM$1)-COLUMN($A$1),FALSE)=0, VLOOKUP($D142, regions_lb[], COLUMN(AM$1)-COLUMN($A$1), FALSE), VLOOKUP($A142,raw_lb[],COLUMN(AM$1)-COLUMN($A$1),FALSE))</f>
        <v>1.7781776011483394E-3</v>
      </c>
      <c r="AM142" s="72">
        <f>IF(VLOOKUP($A142,raw_lb[],COLUMN(AN$1)-COLUMN($A$1),FALSE)=0, VLOOKUP($D142, regions_lb[], COLUMN(AN$1)-COLUMN($A$1), FALSE), VLOOKUP($A142,raw_lb[],COLUMN(AN$1)-COLUMN($A$1),FALSE))</f>
        <v>2.6000108201753576E-3</v>
      </c>
      <c r="AN142" s="72">
        <f>IF(VLOOKUP($A142,raw_lb[],COLUMN(AO$1)-COLUMN($A$1),FALSE)=0, VLOOKUP($D142, regions_lb[], COLUMN(AO$1)-COLUMN($A$1), FALSE), VLOOKUP($A142,raw_lb[],COLUMN(AO$1)-COLUMN($A$1),FALSE))</f>
        <v>3.8434594210008718E-3</v>
      </c>
      <c r="AO142" s="72">
        <f>IF(VLOOKUP($A142,raw_lb[],COLUMN(AP$1)-COLUMN($A$1),FALSE)=0, VLOOKUP($D142, regions_lb[], COLUMN(AP$1)-COLUMN($A$1), FALSE), VLOOKUP($A142,raw_lb[],COLUMN(AP$1)-COLUMN($A$1),FALSE))</f>
        <v>5.8169663787848739E-3</v>
      </c>
      <c r="AP142" s="72">
        <f>IF(VLOOKUP($A142,raw_lb[],COLUMN(AQ$1)-COLUMN($A$1),FALSE)=0, VLOOKUP($D142, regions_lb[], COLUMN(AQ$1)-COLUMN($A$1), FALSE), VLOOKUP($A142,raw_lb[],COLUMN(AQ$1)-COLUMN($A$1),FALSE))</f>
        <v>9.2189509831527832E-3</v>
      </c>
      <c r="AQ142" s="72">
        <f>IF(VLOOKUP($A142,raw_lb[],COLUMN(AR$1)-COLUMN($A$1),FALSE)=0, VLOOKUP($D142, regions_lb[], COLUMN(AR$1)-COLUMN($A$1), FALSE), VLOOKUP($A142,raw_lb[],COLUMN(AR$1)-COLUMN($A$1),FALSE))</f>
        <v>1.4005109466546116E-2</v>
      </c>
      <c r="AR142" s="72">
        <f>IF(VLOOKUP($A142,raw_lb[],COLUMN(AS$1)-COLUMN($A$1),FALSE)=0, VLOOKUP($D142, regions_lb[], COLUMN(AS$1)-COLUMN($A$1), FALSE), VLOOKUP($A142,raw_lb[],COLUMN(AS$1)-COLUMN($A$1),FALSE))</f>
        <v>2.2821019478876475E-2</v>
      </c>
      <c r="AS142" s="82">
        <f>IF(VLOOKUP($A142,raw_lb[],COLUMN(AS$1),FALSE)=0, VLOOKUP($D142, regions_lb[], COLUMN(AS$1), FALSE), VLOOKUP($A142,raw_lb[],COLUMN(AS$1),FALSE))</f>
        <v>3.8590593731897077E-2</v>
      </c>
      <c r="AT142" s="82">
        <f>IF(VLOOKUP($A142,raw_lb[],COLUMN(AT$1),FALSE)=0, VLOOKUP($D142, regions_lb[], COLUMN(AT$1), FALSE), VLOOKUP($A142,raw_lb[],COLUMN(AT$1),FALSE))</f>
        <v>6.3757035771533702E-2</v>
      </c>
      <c r="AU142" s="82">
        <f>IF(VLOOKUP($A142,raw_lb[],COLUMN(AU$1),FALSE)=0, VLOOKUP($D142, regions_lb[], COLUMN(AU$1), FALSE), VLOOKUP($A142,raw_lb[],COLUMN(AU$1),FALSE))</f>
        <v>9.5857457972641932E-2</v>
      </c>
      <c r="AV142" s="82">
        <f>IF(VLOOKUP($A142,raw_lb[],COLUMN(AV$1),FALSE)=0, VLOOKUP($D142, regions_lb[], COLUMN(AV$1), FALSE), VLOOKUP($A142,raw_lb[],COLUMN(AV$1),FALSE))</f>
        <v>0.12825981641374856</v>
      </c>
      <c r="AW142" s="82">
        <f>IF(VLOOKUP($A142,raw_lb[],COLUMN(AW$1),FALSE)=0, VLOOKUP($D142, regions_lb[], COLUMN(AW$1), FALSE), VLOOKUP($A142,raw_lb[],COLUMN(AW$1),FALSE))</f>
        <v>0.15461667525804973</v>
      </c>
      <c r="AX142" s="82">
        <f>IF(VLOOKUP($A142,raw_lb[],COLUMN(AX$1),FALSE)=0, VLOOKUP($D142, regions_lb[], COLUMN(AX$1), FALSE), VLOOKUP($A142,raw_lb[],COLUMN(AX$1),FALSE))</f>
        <v>72.763350000000003</v>
      </c>
      <c r="AY142" t="str">
        <f t="shared" si="5"/>
        <v>No</v>
      </c>
    </row>
    <row r="143" spans="1:51" x14ac:dyDescent="0.25">
      <c r="A143" s="55" t="s">
        <v>208</v>
      </c>
      <c r="B143" s="56" t="s">
        <v>209</v>
      </c>
      <c r="C143" s="56">
        <v>24</v>
      </c>
      <c r="D143" s="56" t="s">
        <v>207</v>
      </c>
      <c r="E143" s="56" t="s">
        <v>210</v>
      </c>
      <c r="F143" s="56" t="s">
        <v>211</v>
      </c>
      <c r="G143" s="56" t="s">
        <v>212</v>
      </c>
      <c r="H143" s="74"/>
      <c r="I143" s="74"/>
      <c r="J143" s="67">
        <f>IF(VLOOKUP($A143,raw_lb[],COLUMN(J$1),FALSE)=0, VLOOKUP($D143, regions_lb[], COLUMN(J$1), FALSE), VLOOKUP($A143,raw_lb[],COLUMN(J$1),FALSE))</f>
        <v>0.43319999999999997</v>
      </c>
      <c r="K143" s="77">
        <f>VLOOKUP($A143, raw_lb[], 11, FALSE)</f>
        <v>0</v>
      </c>
      <c r="L143" s="77">
        <f>VLOOKUP($A143, raw_lb[], 12, FALSE)</f>
        <v>0.44649999999999995</v>
      </c>
      <c r="M143" s="77">
        <f>IF(VLOOKUP($A143,raw_lb[],COLUMN(M$1),FALSE)=0, VLOOKUP($D143, regions_lb[], COLUMN(M$1), FALSE), VLOOKUP($A143,raw_lb[],COLUMN(M$1),FALSE))</f>
        <v>8.3599999999999994E-2</v>
      </c>
      <c r="N143" s="68">
        <f>IF(VLOOKUP($A143,raw_lb[],COLUMN(N$1),FALSE)=0, VLOOKUP($D143, regions_lb[], COLUMN(N$1), FALSE), VLOOKUP($A143,raw_lb[],COLUMN(N$1),FALSE))</f>
        <v>0.15279999999999999</v>
      </c>
      <c r="O143" s="67">
        <f>IF(VLOOKUP($A143,raw_lb[],COLUMN(O$1),FALSE)=0, VLOOKUP($D143, regions_lb[], COLUMN(O$1), FALSE), VLOOKUP($A143,raw_lb[],COLUMN(O$1),FALSE))</f>
        <v>7.0000000000000007E-2</v>
      </c>
      <c r="P143" s="68">
        <f>IF(VLOOKUP($A143,raw_lb[],COLUMN(P$1),FALSE)=0, VLOOKUP($D143, regions_lb[], COLUMN(P$1), FALSE), VLOOKUP($A143,raw_lb[],COLUMN(P$1),FALSE))</f>
        <v>1E-3</v>
      </c>
      <c r="Q143" s="70">
        <f>IF(VLOOKUP($A143,raw_lb[],COLUMN(Q$1),FALSE)=0, VLOOKUP($D143, regions_lb[], COLUMN(Q$1), FALSE), VLOOKUP($A143,raw_lb[],COLUMN(Q$1),FALSE))</f>
        <v>1.52276595640059</v>
      </c>
      <c r="R143" s="70">
        <f>IF(VLOOKUP($A143,raw_lb[],COLUMN(R$1),FALSE)=0, VLOOKUP($D143, regions_lb[], COLUMN(R$1), FALSE), VLOOKUP($A143,raw_lb[],COLUMN(R$1),FALSE))</f>
        <v>8.5836659564005906</v>
      </c>
      <c r="S143" s="70">
        <f>IF(VLOOKUP($A143,raw_lb[],COLUMN(S$1),FALSE)=0, VLOOKUP($D143, regions_lb[], COLUMN(S$1), FALSE), VLOOKUP($A143,raw_lb[],COLUMN(S$1),FALSE))</f>
        <v>43.178202071058976</v>
      </c>
      <c r="T143" s="70">
        <f>IF(VLOOKUP($A143,raw_lb[],COLUMN(U$1)-COLUMN($A$1),FALSE)=0, VLOOKUP($D143, regions_lb[], COLUMN(U$1)-COLUMN($A$1), FALSE), VLOOKUP($A143,raw_lb[],COLUMN(U$1)-COLUMN($A$1),FALSE))</f>
        <v>45.975460272534349</v>
      </c>
      <c r="U143" s="70">
        <f>IF(VLOOKUP($A143,raw_lb[],COLUMN(V$1)-COLUMN($A$1),FALSE)=0, VLOOKUP($D143, regions_lb[], COLUMN(V$1)-COLUMN($A$1), FALSE), VLOOKUP($A143,raw_lb[],COLUMN(V$1)-COLUMN($A$1),FALSE))</f>
        <v>44.691018432922803</v>
      </c>
      <c r="V143" s="70">
        <f>IF(VLOOKUP($A143,raw_lb[],COLUMN(W$1)-COLUMN($A$1),FALSE)=0, VLOOKUP($D143, regions_lb[], COLUMN(W$1)-COLUMN($A$1), FALSE), VLOOKUP($A143,raw_lb[],COLUMN(W$1)-COLUMN($A$1),FALSE))</f>
        <v>0.72579744494518683</v>
      </c>
      <c r="W143" s="70">
        <f>IF(VLOOKUP($A143,raw_lb[],COLUMN(X$1)-COLUMN($A$1),FALSE)=0, VLOOKUP($D143, regions_lb[], COLUMN(X$1)-COLUMN($A$1), FALSE), VLOOKUP($A143,raw_lb[],COLUMN(X$1)-COLUMN($A$1),FALSE))</f>
        <v>5.3142974449451863</v>
      </c>
      <c r="X143" s="70">
        <f>IF(VLOOKUP($A143,raw_lb[],COLUMN(Y$1)-COLUMN($A$1),FALSE)=0, VLOOKUP($D143, regions_lb[], COLUMN(Y$1)-COLUMN($A$1), FALSE), VLOOKUP($A143,raw_lb[],COLUMN(Y$1)-COLUMN($A$1),FALSE))</f>
        <v>0.25352576500043672</v>
      </c>
      <c r="Y143" s="70">
        <f>IF(VLOOKUP($A143,raw_lb[],COLUMN(Z$1)-COLUMN($A$1),FALSE)=0, VLOOKUP($D143, regions_lb[], COLUMN(Z$1)-COLUMN($A$1), FALSE), VLOOKUP($A143,raw_lb[],COLUMN(Z$1)-COLUMN($A$1),FALSE))</f>
        <v>4.8420257650004368</v>
      </c>
      <c r="Z143" s="70">
        <f>IF(VLOOKUP($A143,raw_lb[],COLUMN(AA$1)-COLUMN($A$1),FALSE)=0, VLOOKUP($D143, regions_lb[], COLUMN(AA$1)-COLUMN($A$1), FALSE), VLOOKUP($A143,raw_lb[],COLUMN(AA$1)-COLUMN($A$1),FALSE))</f>
        <v>4.8391331979035099</v>
      </c>
      <c r="AA143" s="70">
        <f>IF(VLOOKUP($A143,raw_lb[],COLUMN(AB$1)-COLUMN($A$1),FALSE)=0, VLOOKUP($D143, regions_lb[], COLUMN(AB$1)-COLUMN($A$1), FALSE), VLOOKUP($A143,raw_lb[],COLUMN(AB$1)-COLUMN($A$1),FALSE))</f>
        <v>0.87391394623501906</v>
      </c>
      <c r="AB143" s="70">
        <f>IF(VLOOKUP($A143,raw_lb[],COLUMN(AC$1)-COLUMN($A$1),FALSE)=0, VLOOKUP($D143, regions_lb[], COLUMN(AC$1)-COLUMN($A$1), FALSE), VLOOKUP($A143,raw_lb[],COLUMN(AC$1)-COLUMN($A$1),FALSE))</f>
        <v>5.462413946235019</v>
      </c>
      <c r="AC143" s="72">
        <f>IF(VLOOKUP($A143,raw_lb[],COLUMN(AD$1)-COLUMN($A$1),FALSE)=0, VLOOKUP($D143, regions_lb[], COLUMN(AD$1)-COLUMN($A$1), FALSE), VLOOKUP($A143,raw_lb[],COLUMN(AD$1)-COLUMN($A$1),FALSE))</f>
        <v>5.8386448999999951E-2</v>
      </c>
      <c r="AD143" s="72">
        <f>IF(VLOOKUP($A143,raw_lb[],COLUMN(AE$1)-COLUMN($A$1),FALSE)=0, VLOOKUP($D143, regions_lb[], COLUMN(AE$1)-COLUMN($A$1), FALSE), VLOOKUP($A143,raw_lb[],COLUMN(AE$1)-COLUMN($A$1),FALSE))</f>
        <v>4.9169560148374309E-3</v>
      </c>
      <c r="AE143" s="72">
        <f>IF(VLOOKUP($A143,raw_lb[],COLUMN(AF$1)-COLUMN($A$1),FALSE)=0, VLOOKUP($D143, regions_lb[], COLUMN(AF$1)-COLUMN($A$1), FALSE), VLOOKUP($A143,raw_lb[],COLUMN(AF$1)-COLUMN($A$1),FALSE))</f>
        <v>1.8127096865446031E-3</v>
      </c>
      <c r="AF143" s="72">
        <f>IF(VLOOKUP($A143,raw_lb[],COLUMN(AG$1)-COLUMN($A$1),FALSE)=0, VLOOKUP($D143, regions_lb[], COLUMN(AG$1)-COLUMN($A$1), FALSE), VLOOKUP($A143,raw_lb[],COLUMN(AG$1)-COLUMN($A$1),FALSE))</f>
        <v>1.3218459769521905E-3</v>
      </c>
      <c r="AG143" s="72">
        <f>IF(VLOOKUP($A143,raw_lb[],COLUMN(AH$1)-COLUMN($A$1),FALSE)=0, VLOOKUP($D143, regions_lb[], COLUMN(AH$1)-COLUMN($A$1), FALSE), VLOOKUP($A143,raw_lb[],COLUMN(AH$1)-COLUMN($A$1),FALSE))</f>
        <v>2.2205048575684775E-3</v>
      </c>
      <c r="AH143" s="72">
        <f>IF(VLOOKUP($A143,raw_lb[],COLUMN(AI$1)-COLUMN($A$1),FALSE)=0, VLOOKUP($D143, regions_lb[], COLUMN(AI$1)-COLUMN($A$1), FALSE), VLOOKUP($A143,raw_lb[],COLUMN(AI$1)-COLUMN($A$1),FALSE))</f>
        <v>3.0923920794394067E-3</v>
      </c>
      <c r="AI143" s="72">
        <f>IF(VLOOKUP($A143,raw_lb[],COLUMN(AJ$1)-COLUMN($A$1),FALSE)=0, VLOOKUP($D143, regions_lb[], COLUMN(AJ$1)-COLUMN($A$1), FALSE), VLOOKUP($A143,raw_lb[],COLUMN(AJ$1)-COLUMN($A$1),FALSE))</f>
        <v>3.4091900437019399E-3</v>
      </c>
      <c r="AJ143" s="72">
        <f>IF(VLOOKUP($A143,raw_lb[],COLUMN(AK$1)-COLUMN($A$1),FALSE)=0, VLOOKUP($D143, regions_lb[], COLUMN(AK$1)-COLUMN($A$1), FALSE), VLOOKUP($A143,raw_lb[],COLUMN(AK$1)-COLUMN($A$1),FALSE))</f>
        <v>3.9337033543511979E-3</v>
      </c>
      <c r="AK143" s="72">
        <f>IF(VLOOKUP($A143,raw_lb[],COLUMN(AL$1)-COLUMN($A$1),FALSE)=0, VLOOKUP($D143, regions_lb[], COLUMN(AL$1)-COLUMN($A$1), FALSE), VLOOKUP($A143,raw_lb[],COLUMN(AL$1)-COLUMN($A$1),FALSE))</f>
        <v>4.8817971213014882E-3</v>
      </c>
      <c r="AL143" s="72">
        <f>IF(VLOOKUP($A143,raw_lb[],COLUMN(AM$1)-COLUMN($A$1),FALSE)=0, VLOOKUP($D143, regions_lb[], COLUMN(AM$1)-COLUMN($A$1), FALSE), VLOOKUP($A143,raw_lb[],COLUMN(AM$1)-COLUMN($A$1),FALSE))</f>
        <v>6.2658914538164818E-3</v>
      </c>
      <c r="AM143" s="72">
        <f>IF(VLOOKUP($A143,raw_lb[],COLUMN(AN$1)-COLUMN($A$1),FALSE)=0, VLOOKUP($D143, regions_lb[], COLUMN(AN$1)-COLUMN($A$1), FALSE), VLOOKUP($A143,raw_lb[],COLUMN(AN$1)-COLUMN($A$1),FALSE))</f>
        <v>8.3727751440962686E-3</v>
      </c>
      <c r="AN143" s="72">
        <f>IF(VLOOKUP($A143,raw_lb[],COLUMN(AO$1)-COLUMN($A$1),FALSE)=0, VLOOKUP($D143, regions_lb[], COLUMN(AO$1)-COLUMN($A$1), FALSE), VLOOKUP($A143,raw_lb[],COLUMN(AO$1)-COLUMN($A$1),FALSE))</f>
        <v>1.1720959685636653E-2</v>
      </c>
      <c r="AO143" s="72">
        <f>IF(VLOOKUP($A143,raw_lb[],COLUMN(AP$1)-COLUMN($A$1),FALSE)=0, VLOOKUP($D143, regions_lb[], COLUMN(AP$1)-COLUMN($A$1), FALSE), VLOOKUP($A143,raw_lb[],COLUMN(AP$1)-COLUMN($A$1),FALSE))</f>
        <v>1.6518209164100343E-2</v>
      </c>
      <c r="AP143" s="72">
        <f>IF(VLOOKUP($A143,raw_lb[],COLUMN(AQ$1)-COLUMN($A$1),FALSE)=0, VLOOKUP($D143, regions_lb[], COLUMN(AQ$1)-COLUMN($A$1), FALSE), VLOOKUP($A143,raw_lb[],COLUMN(AQ$1)-COLUMN($A$1),FALSE))</f>
        <v>2.4357071053399203E-2</v>
      </c>
      <c r="AQ143" s="72">
        <f>IF(VLOOKUP($A143,raw_lb[],COLUMN(AR$1)-COLUMN($A$1),FALSE)=0, VLOOKUP($D143, regions_lb[], COLUMN(AR$1)-COLUMN($A$1), FALSE), VLOOKUP($A143,raw_lb[],COLUMN(AR$1)-COLUMN($A$1),FALSE))</f>
        <v>3.5718379214068688E-2</v>
      </c>
      <c r="AR143" s="72">
        <f>IF(VLOOKUP($A143,raw_lb[],COLUMN(AS$1)-COLUMN($A$1),FALSE)=0, VLOOKUP($D143, regions_lb[], COLUMN(AS$1)-COLUMN($A$1), FALSE), VLOOKUP($A143,raw_lb[],COLUMN(AS$1)-COLUMN($A$1),FALSE))</f>
        <v>5.278151494322194E-2</v>
      </c>
      <c r="AS143" s="82">
        <f>IF(VLOOKUP($A143,raw_lb[],COLUMN(AS$1),FALSE)=0, VLOOKUP($D143, regions_lb[], COLUMN(AS$1), FALSE), VLOOKUP($A143,raw_lb[],COLUMN(AS$1),FALSE))</f>
        <v>7.5827468705273057E-2</v>
      </c>
      <c r="AT143" s="82">
        <f>IF(VLOOKUP($A143,raw_lb[],COLUMN(AT$1),FALSE)=0, VLOOKUP($D143, regions_lb[], COLUMN(AT$1), FALSE), VLOOKUP($A143,raw_lb[],COLUMN(AT$1),FALSE))</f>
        <v>0.1033802966395635</v>
      </c>
      <c r="AU143" s="82">
        <f>IF(VLOOKUP($A143,raw_lb[],COLUMN(AU$1),FALSE)=0, VLOOKUP($D143, regions_lb[], COLUMN(AU$1), FALSE), VLOOKUP($A143,raw_lb[],COLUMN(AU$1),FALSE))</f>
        <v>0.12916288540862567</v>
      </c>
      <c r="AV143" s="82">
        <f>IF(VLOOKUP($A143,raw_lb[],COLUMN(AV$1),FALSE)=0, VLOOKUP($D143, regions_lb[], COLUMN(AV$1), FALSE), VLOOKUP($A143,raw_lb[],COLUMN(AV$1),FALSE))</f>
        <v>0.15191212177695404</v>
      </c>
      <c r="AW143" s="82">
        <f>IF(VLOOKUP($A143,raw_lb[],COLUMN(AW$1),FALSE)=0, VLOOKUP($D143, regions_lb[], COLUMN(AW$1), FALSE), VLOOKUP($A143,raw_lb[],COLUMN(AW$1),FALSE))</f>
        <v>0.16908633138284643</v>
      </c>
      <c r="AX143" s="82">
        <f>IF(VLOOKUP($A143,raw_lb[],COLUMN(AX$1),FALSE)=0, VLOOKUP($D143, regions_lb[], COLUMN(AX$1), FALSE), VLOOKUP($A143,raw_lb[],COLUMN(AX$1),FALSE))</f>
        <v>57.512999999999998</v>
      </c>
      <c r="AY143" t="str">
        <f t="shared" si="5"/>
        <v>Yes</v>
      </c>
    </row>
    <row r="144" spans="1:51" x14ac:dyDescent="0.25">
      <c r="A144" s="53" t="s">
        <v>213</v>
      </c>
      <c r="B144" s="54" t="s">
        <v>214</v>
      </c>
      <c r="C144" s="54">
        <v>32</v>
      </c>
      <c r="D144" s="54" t="s">
        <v>215</v>
      </c>
      <c r="E144" s="54" t="s">
        <v>216</v>
      </c>
      <c r="F144" s="54" t="s">
        <v>217</v>
      </c>
      <c r="G144" s="54" t="s">
        <v>204</v>
      </c>
      <c r="H144" s="73"/>
      <c r="I144" s="73"/>
      <c r="J144" s="67">
        <f>IF(VLOOKUP($A144,raw_lb[],COLUMN(J$1),FALSE)=0, VLOOKUP($D144, regions_lb[], COLUMN(J$1), FALSE), VLOOKUP($A144,raw_lb[],COLUMN(J$1),FALSE))</f>
        <v>0.94334999999999991</v>
      </c>
      <c r="K144" s="77">
        <f>VLOOKUP($A144, raw_lb[], 11, FALSE)</f>
        <v>0.68399999999999994</v>
      </c>
      <c r="L144" s="77">
        <f>VLOOKUP($A144, raw_lb[], 12, FALSE)</f>
        <v>0.70299999999999996</v>
      </c>
      <c r="M144" s="77">
        <f>IF(VLOOKUP($A144,raw_lb[],COLUMN(M$1),FALSE)=0, VLOOKUP($D144, regions_lb[], COLUMN(M$1), FALSE), VLOOKUP($A144,raw_lb[],COLUMN(M$1),FALSE))</f>
        <v>1.9E-3</v>
      </c>
      <c r="N144" s="68">
        <f>IF(VLOOKUP($A144,raw_lb[],COLUMN(N$1),FALSE)=0, VLOOKUP($D144, regions_lb[], COLUMN(N$1), FALSE), VLOOKUP($A144,raw_lb[],COLUMN(N$1),FALSE))</f>
        <v>0.17660000000000001</v>
      </c>
      <c r="O144" s="67">
        <f>IF(VLOOKUP($A144,raw_lb[],COLUMN(O$1),FALSE)=0, VLOOKUP($D144, regions_lb[], COLUMN(O$1), FALSE), VLOOKUP($A144,raw_lb[],COLUMN(O$1),FALSE))</f>
        <v>0.7</v>
      </c>
      <c r="P144" s="68">
        <f>IF(VLOOKUP($A144,raw_lb[],COLUMN(P$1),FALSE)=0, VLOOKUP($D144, regions_lb[], COLUMN(P$1), FALSE), VLOOKUP($A144,raw_lb[],COLUMN(P$1),FALSE))</f>
        <v>0.05</v>
      </c>
      <c r="Q144" s="70">
        <f>IF(VLOOKUP($A144,raw_lb[],COLUMN(Q$1),FALSE)=0, VLOOKUP($D144, regions_lb[], COLUMN(Q$1), FALSE), VLOOKUP($A144,raw_lb[],COLUMN(Q$1),FALSE))</f>
        <v>2.84158161228045</v>
      </c>
      <c r="R144" s="70">
        <f>IF(VLOOKUP($A144,raw_lb[],COLUMN(R$1),FALSE)=0, VLOOKUP($D144, regions_lb[], COLUMN(R$1), FALSE), VLOOKUP($A144,raw_lb[],COLUMN(R$1),FALSE))</f>
        <v>9.9024816122804502</v>
      </c>
      <c r="S144" s="70">
        <f>IF(VLOOKUP($A144,raw_lb[],COLUMN(S$1),FALSE)=0, VLOOKUP($D144, regions_lb[], COLUMN(S$1), FALSE), VLOOKUP($A144,raw_lb[],COLUMN(S$1),FALSE))</f>
        <v>58.454740705870691</v>
      </c>
      <c r="T144" s="70">
        <f>IF(VLOOKUP($A144,raw_lb[],COLUMN(U$1)-COLUMN($A$1),FALSE)=0, VLOOKUP($D144, regions_lb[], COLUMN(U$1)-COLUMN($A$1), FALSE), VLOOKUP($A144,raw_lb[],COLUMN(U$1)-COLUMN($A$1),FALSE))</f>
        <v>68.516505879445901</v>
      </c>
      <c r="U144" s="70">
        <f>IF(VLOOKUP($A144,raw_lb[],COLUMN(V$1)-COLUMN($A$1),FALSE)=0, VLOOKUP($D144, regions_lb[], COLUMN(V$1)-COLUMN($A$1), FALSE), VLOOKUP($A144,raw_lb[],COLUMN(V$1)-COLUMN($A$1),FALSE))</f>
        <v>63.896355990361698</v>
      </c>
      <c r="V144" s="70">
        <f>IF(VLOOKUP($A144,raw_lb[],COLUMN(W$1)-COLUMN($A$1),FALSE)=0, VLOOKUP($D144, regions_lb[], COLUMN(W$1)-COLUMN($A$1), FALSE), VLOOKUP($A144,raw_lb[],COLUMN(W$1)-COLUMN($A$1),FALSE))</f>
        <v>1.3721185349839764</v>
      </c>
      <c r="W144" s="70">
        <f>IF(VLOOKUP($A144,raw_lb[],COLUMN(X$1)-COLUMN($A$1),FALSE)=0, VLOOKUP($D144, regions_lb[], COLUMN(X$1)-COLUMN($A$1), FALSE), VLOOKUP($A144,raw_lb[],COLUMN(X$1)-COLUMN($A$1),FALSE))</f>
        <v>1.3911185349839763</v>
      </c>
      <c r="X144" s="70">
        <f>IF(VLOOKUP($A144,raw_lb[],COLUMN(Y$1)-COLUMN($A$1),FALSE)=0, VLOOKUP($D144, regions_lb[], COLUMN(Y$1)-COLUMN($A$1), FALSE), VLOOKUP($A144,raw_lb[],COLUMN(Y$1)-COLUMN($A$1),FALSE))</f>
        <v>0.89257711208207757</v>
      </c>
      <c r="Y144" s="70">
        <f>IF(VLOOKUP($A144,raw_lb[],COLUMN(Z$1)-COLUMN($A$1),FALSE)=0, VLOOKUP($D144, regions_lb[], COLUMN(Z$1)-COLUMN($A$1), FALSE), VLOOKUP($A144,raw_lb[],COLUMN(Z$1)-COLUMN($A$1),FALSE))</f>
        <v>0.91157711208207759</v>
      </c>
      <c r="Z144" s="70">
        <f>IF(VLOOKUP($A144,raw_lb[],COLUMN(AA$1)-COLUMN($A$1),FALSE)=0, VLOOKUP($D144, regions_lb[], COLUMN(AA$1)-COLUMN($A$1), FALSE), VLOOKUP($A144,raw_lb[],COLUMN(AA$1)-COLUMN($A$1),FALSE))</f>
        <v>0.90361549622307391</v>
      </c>
      <c r="AA144" s="70">
        <f>IF(VLOOKUP($A144,raw_lb[],COLUMN(AB$1)-COLUMN($A$1),FALSE)=0, VLOOKUP($D144, regions_lb[], COLUMN(AB$1)-COLUMN($A$1), FALSE), VLOOKUP($A144,raw_lb[],COLUMN(AB$1)-COLUMN($A$1),FALSE))</f>
        <v>1.5426673859701527</v>
      </c>
      <c r="AB144" s="70">
        <f>IF(VLOOKUP($A144,raw_lb[],COLUMN(AC$1)-COLUMN($A$1),FALSE)=0, VLOOKUP($D144, regions_lb[], COLUMN(AC$1)-COLUMN($A$1), FALSE), VLOOKUP($A144,raw_lb[],COLUMN(AC$1)-COLUMN($A$1),FALSE))</f>
        <v>1.5616673859701526</v>
      </c>
      <c r="AC144" s="72">
        <f>IF(VLOOKUP($A144,raw_lb[],COLUMN(AD$1)-COLUMN($A$1),FALSE)=0, VLOOKUP($D144, regions_lb[], COLUMN(AD$1)-COLUMN($A$1), FALSE), VLOOKUP($A144,raw_lb[],COLUMN(AD$1)-COLUMN($A$1),FALSE))</f>
        <v>9.7139305000000023E-3</v>
      </c>
      <c r="AD144" s="72">
        <f>IF(VLOOKUP($A144,raw_lb[],COLUMN(AE$1)-COLUMN($A$1),FALSE)=0, VLOOKUP($D144, regions_lb[], COLUMN(AE$1)-COLUMN($A$1), FALSE), VLOOKUP($A144,raw_lb[],COLUMN(AE$1)-COLUMN($A$1),FALSE))</f>
        <v>3.9281839270087433E-4</v>
      </c>
      <c r="AE144" s="72">
        <f>IF(VLOOKUP($A144,raw_lb[],COLUMN(AF$1)-COLUMN($A$1),FALSE)=0, VLOOKUP($D144, regions_lb[], COLUMN(AF$1)-COLUMN($A$1), FALSE), VLOOKUP($A144,raw_lb[],COLUMN(AF$1)-COLUMN($A$1),FALSE))</f>
        <v>1.7318546933358059E-4</v>
      </c>
      <c r="AF144" s="72">
        <f>IF(VLOOKUP($A144,raw_lb[],COLUMN(AG$1)-COLUMN($A$1),FALSE)=0, VLOOKUP($D144, regions_lb[], COLUMN(AG$1)-COLUMN($A$1), FALSE), VLOOKUP($A144,raw_lb[],COLUMN(AG$1)-COLUMN($A$1),FALSE))</f>
        <v>2.2672122944818041E-4</v>
      </c>
      <c r="AG144" s="72">
        <f>IF(VLOOKUP($A144,raw_lb[],COLUMN(AH$1)-COLUMN($A$1),FALSE)=0, VLOOKUP($D144, regions_lb[], COLUMN(AH$1)-COLUMN($A$1), FALSE), VLOOKUP($A144,raw_lb[],COLUMN(AH$1)-COLUMN($A$1),FALSE))</f>
        <v>7.0583472782388809E-4</v>
      </c>
      <c r="AH144" s="72">
        <f>IF(VLOOKUP($A144,raw_lb[],COLUMN(AI$1)-COLUMN($A$1),FALSE)=0, VLOOKUP($D144, regions_lb[], COLUMN(AI$1)-COLUMN($A$1), FALSE), VLOOKUP($A144,raw_lb[],COLUMN(AI$1)-COLUMN($A$1),FALSE))</f>
        <v>9.7098838636224894E-4</v>
      </c>
      <c r="AI144" s="72">
        <f>IF(VLOOKUP($A144,raw_lb[],COLUMN(AJ$1)-COLUMN($A$1),FALSE)=0, VLOOKUP($D144, regions_lb[], COLUMN(AJ$1)-COLUMN($A$1), FALSE), VLOOKUP($A144,raw_lb[],COLUMN(AJ$1)-COLUMN($A$1),FALSE))</f>
        <v>9.7658065648656076E-4</v>
      </c>
      <c r="AJ144" s="72">
        <f>IF(VLOOKUP($A144,raw_lb[],COLUMN(AK$1)-COLUMN($A$1),FALSE)=0, VLOOKUP($D144, regions_lb[], COLUMN(AK$1)-COLUMN($A$1), FALSE), VLOOKUP($A144,raw_lb[],COLUMN(AK$1)-COLUMN($A$1),FALSE))</f>
        <v>1.1068752298679441E-3</v>
      </c>
      <c r="AK144" s="72">
        <f>IF(VLOOKUP($A144,raw_lb[],COLUMN(AL$1)-COLUMN($A$1),FALSE)=0, VLOOKUP($D144, regions_lb[], COLUMN(AL$1)-COLUMN($A$1), FALSE), VLOOKUP($A144,raw_lb[],COLUMN(AL$1)-COLUMN($A$1),FALSE))</f>
        <v>1.339992412643845E-3</v>
      </c>
      <c r="AL144" s="72">
        <f>IF(VLOOKUP($A144,raw_lb[],COLUMN(AM$1)-COLUMN($A$1),FALSE)=0, VLOOKUP($D144, regions_lb[], COLUMN(AM$1)-COLUMN($A$1), FALSE), VLOOKUP($A144,raw_lb[],COLUMN(AM$1)-COLUMN($A$1),FALSE))</f>
        <v>1.8888962764668934E-3</v>
      </c>
      <c r="AM144" s="72">
        <f>IF(VLOOKUP($A144,raw_lb[],COLUMN(AN$1)-COLUMN($A$1),FALSE)=0, VLOOKUP($D144, regions_lb[], COLUMN(AN$1)-COLUMN($A$1), FALSE), VLOOKUP($A144,raw_lb[],COLUMN(AN$1)-COLUMN($A$1),FALSE))</f>
        <v>2.990760737562599E-3</v>
      </c>
      <c r="AN144" s="72">
        <f>IF(VLOOKUP($A144,raw_lb[],COLUMN(AO$1)-COLUMN($A$1),FALSE)=0, VLOOKUP($D144, regions_lb[], COLUMN(AO$1)-COLUMN($A$1), FALSE), VLOOKUP($A144,raw_lb[],COLUMN(AO$1)-COLUMN($A$1),FALSE))</f>
        <v>4.8247513794009581E-3</v>
      </c>
      <c r="AO144" s="72">
        <f>IF(VLOOKUP($A144,raw_lb[],COLUMN(AP$1)-COLUMN($A$1),FALSE)=0, VLOOKUP($D144, regions_lb[], COLUMN(AP$1)-COLUMN($A$1), FALSE), VLOOKUP($A144,raw_lb[],COLUMN(AP$1)-COLUMN($A$1),FALSE))</f>
        <v>7.9367144353653541E-3</v>
      </c>
      <c r="AP144" s="72">
        <f>IF(VLOOKUP($A144,raw_lb[],COLUMN(AQ$1)-COLUMN($A$1),FALSE)=0, VLOOKUP($D144, regions_lb[], COLUMN(AQ$1)-COLUMN($A$1), FALSE), VLOOKUP($A144,raw_lb[],COLUMN(AQ$1)-COLUMN($A$1),FALSE))</f>
        <v>1.1923028644476218E-2</v>
      </c>
      <c r="AQ144" s="72">
        <f>IF(VLOOKUP($A144,raw_lb[],COLUMN(AR$1)-COLUMN($A$1),FALSE)=0, VLOOKUP($D144, regions_lb[], COLUMN(AR$1)-COLUMN($A$1), FALSE), VLOOKUP($A144,raw_lb[],COLUMN(AR$1)-COLUMN($A$1),FALSE))</f>
        <v>1.7955726729232856E-2</v>
      </c>
      <c r="AR144" s="72">
        <f>IF(VLOOKUP($A144,raw_lb[],COLUMN(AS$1)-COLUMN($A$1),FALSE)=0, VLOOKUP($D144, regions_lb[], COLUMN(AS$1)-COLUMN($A$1), FALSE), VLOOKUP($A144,raw_lb[],COLUMN(AS$1)-COLUMN($A$1),FALSE))</f>
        <v>2.6211941494153169E-2</v>
      </c>
      <c r="AS144" s="82">
        <f>IF(VLOOKUP($A144,raw_lb[],COLUMN(AS$1),FALSE)=0, VLOOKUP($D144, regions_lb[], COLUMN(AS$1), FALSE), VLOOKUP($A144,raw_lb[],COLUMN(AS$1),FALSE))</f>
        <v>3.9663215596794331E-2</v>
      </c>
      <c r="AT144" s="82">
        <f>IF(VLOOKUP($A144,raw_lb[],COLUMN(AT$1),FALSE)=0, VLOOKUP($D144, regions_lb[], COLUMN(AT$1), FALSE), VLOOKUP($A144,raw_lb[],COLUMN(AT$1),FALSE))</f>
        <v>6.1373419430890794E-2</v>
      </c>
      <c r="AU144" s="82">
        <f>IF(VLOOKUP($A144,raw_lb[],COLUMN(AU$1),FALSE)=0, VLOOKUP($D144, regions_lb[], COLUMN(AU$1), FALSE), VLOOKUP($A144,raw_lb[],COLUMN(AU$1),FALSE))</f>
        <v>9.0385007061269076E-2</v>
      </c>
      <c r="AV144" s="82">
        <f>IF(VLOOKUP($A144,raw_lb[],COLUMN(AV$1),FALSE)=0, VLOOKUP($D144, regions_lb[], COLUMN(AV$1), FALSE), VLOOKUP($A144,raw_lb[],COLUMN(AV$1),FALSE))</f>
        <v>0.12301239983003993</v>
      </c>
      <c r="AW144" s="82">
        <f>IF(VLOOKUP($A144,raw_lb[],COLUMN(AW$1),FALSE)=0, VLOOKUP($D144, regions_lb[], COLUMN(AW$1), FALSE), VLOOKUP($A144,raw_lb[],COLUMN(AW$1),FALSE))</f>
        <v>0.15320241329225157</v>
      </c>
      <c r="AX144" s="82">
        <f>IF(VLOOKUP($A144,raw_lb[],COLUMN(AX$1),FALSE)=0, VLOOKUP($D144, regions_lb[], COLUMN(AX$1), FALSE), VLOOKUP($A144,raw_lb[],COLUMN(AX$1),FALSE))</f>
        <v>72.625599999999991</v>
      </c>
      <c r="AY144" t="str">
        <f t="shared" si="5"/>
        <v>No</v>
      </c>
    </row>
    <row r="145" spans="1:51" x14ac:dyDescent="0.25">
      <c r="A145" s="55" t="s">
        <v>218</v>
      </c>
      <c r="B145" s="56" t="s">
        <v>219</v>
      </c>
      <c r="C145" s="56">
        <v>51</v>
      </c>
      <c r="D145" s="56" t="s">
        <v>201</v>
      </c>
      <c r="E145" s="56" t="s">
        <v>220</v>
      </c>
      <c r="F145" s="56" t="s">
        <v>203</v>
      </c>
      <c r="G145" s="56" t="s">
        <v>204</v>
      </c>
      <c r="H145" s="74"/>
      <c r="I145" s="74"/>
      <c r="J145" s="67">
        <f>IF(VLOOKUP($A145,raw_lb[],COLUMN(J$1),FALSE)=0, VLOOKUP($D145, regions_lb[], COLUMN(J$1), FALSE), VLOOKUP($A145,raw_lb[],COLUMN(J$1),FALSE))</f>
        <v>0.94334999999999991</v>
      </c>
      <c r="K145" s="77">
        <f>VLOOKUP($A145, raw_lb[], 11, FALSE)</f>
        <v>0.92149999999999999</v>
      </c>
      <c r="L145" s="77">
        <f>VLOOKUP($A145, raw_lb[], 12, FALSE)</f>
        <v>0.874</v>
      </c>
      <c r="M145" s="77">
        <f>IF(VLOOKUP($A145,raw_lb[],COLUMN(M$1),FALSE)=0, VLOOKUP($D145, regions_lb[], COLUMN(M$1), FALSE), VLOOKUP($A145,raw_lb[],COLUMN(M$1),FALSE))</f>
        <v>8.3999999999999995E-3</v>
      </c>
      <c r="N145" s="68">
        <f>IF(VLOOKUP($A145,raw_lb[],COLUMN(N$1),FALSE)=0, VLOOKUP($D145, regions_lb[], COLUMN(N$1), FALSE), VLOOKUP($A145,raw_lb[],COLUMN(N$1),FALSE))</f>
        <v>0.16309999999999999</v>
      </c>
      <c r="O145" s="67">
        <f>IF(VLOOKUP($A145,raw_lb[],COLUMN(O$1),FALSE)=0, VLOOKUP($D145, regions_lb[], COLUMN(O$1), FALSE), VLOOKUP($A145,raw_lb[],COLUMN(O$1),FALSE))</f>
        <v>0.7</v>
      </c>
      <c r="P145" s="68">
        <f>IF(VLOOKUP($A145,raw_lb[],COLUMN(P$1),FALSE)=0, VLOOKUP($D145, regions_lb[], COLUMN(P$1), FALSE), VLOOKUP($A145,raw_lb[],COLUMN(P$1),FALSE))</f>
        <v>0.05</v>
      </c>
      <c r="Q145" s="70">
        <f>IF(VLOOKUP($A145,raw_lb[],COLUMN(Q$1),FALSE)=0, VLOOKUP($D145, regions_lb[], COLUMN(Q$1), FALSE), VLOOKUP($A145,raw_lb[],COLUMN(Q$1),FALSE))</f>
        <v>1.35972792574657</v>
      </c>
      <c r="R145" s="70">
        <f>IF(VLOOKUP($A145,raw_lb[],COLUMN(R$1),FALSE)=0, VLOOKUP($D145, regions_lb[], COLUMN(R$1), FALSE), VLOOKUP($A145,raw_lb[],COLUMN(R$1),FALSE))</f>
        <v>8.4206279257465706</v>
      </c>
      <c r="S145" s="70">
        <f>IF(VLOOKUP($A145,raw_lb[],COLUMN(S$1),FALSE)=0, VLOOKUP($D145, regions_lb[], COLUMN(S$1), FALSE), VLOOKUP($A145,raw_lb[],COLUMN(S$1),FALSE))</f>
        <v>42.652038824038769</v>
      </c>
      <c r="T145" s="70">
        <f>IF(VLOOKUP($A145,raw_lb[],COLUMN(U$1)-COLUMN($A$1),FALSE)=0, VLOOKUP($D145, regions_lb[], COLUMN(U$1)-COLUMN($A$1), FALSE), VLOOKUP($A145,raw_lb[],COLUMN(U$1)-COLUMN($A$1),FALSE))</f>
        <v>45.260303042038515</v>
      </c>
      <c r="U145" s="70">
        <f>IF(VLOOKUP($A145,raw_lb[],COLUMN(V$1)-COLUMN($A$1),FALSE)=0, VLOOKUP($D145, regions_lb[], COLUMN(V$1)-COLUMN($A$1), FALSE), VLOOKUP($A145,raw_lb[],COLUMN(V$1)-COLUMN($A$1),FALSE))</f>
        <v>44.062643244815092</v>
      </c>
      <c r="V145" s="70">
        <f>IF(VLOOKUP($A145,raw_lb[],COLUMN(W$1)-COLUMN($A$1),FALSE)=0, VLOOKUP($D145, regions_lb[], COLUMN(W$1)-COLUMN($A$1), FALSE), VLOOKUP($A145,raw_lb[],COLUMN(W$1)-COLUMN($A$1),FALSE))</f>
        <v>2.7487473235940958</v>
      </c>
      <c r="W145" s="70">
        <f>IF(VLOOKUP($A145,raw_lb[],COLUMN(X$1)-COLUMN($A$1),FALSE)=0, VLOOKUP($D145, regions_lb[], COLUMN(X$1)-COLUMN($A$1), FALSE), VLOOKUP($A145,raw_lb[],COLUMN(X$1)-COLUMN($A$1),FALSE))</f>
        <v>6.6152473235940956</v>
      </c>
      <c r="X145" s="70">
        <f>IF(VLOOKUP($A145,raw_lb[],COLUMN(Y$1)-COLUMN($A$1),FALSE)=0, VLOOKUP($D145, regions_lb[], COLUMN(Y$1)-COLUMN($A$1), FALSE), VLOOKUP($A145,raw_lb[],COLUMN(Y$1)-COLUMN($A$1),FALSE))</f>
        <v>2.2752511053821478</v>
      </c>
      <c r="Y145" s="70">
        <f>IF(VLOOKUP($A145,raw_lb[],COLUMN(Z$1)-COLUMN($A$1),FALSE)=0, VLOOKUP($D145, regions_lb[], COLUMN(Z$1)-COLUMN($A$1), FALSE), VLOOKUP($A145,raw_lb[],COLUMN(Z$1)-COLUMN($A$1),FALSE))</f>
        <v>6.1417511053821485</v>
      </c>
      <c r="Z145" s="70">
        <f>IF(VLOOKUP($A145,raw_lb[],COLUMN(AA$1)-COLUMN($A$1),FALSE)=0, VLOOKUP($D145, regions_lb[], COLUMN(AA$1)-COLUMN($A$1), FALSE), VLOOKUP($A145,raw_lb[],COLUMN(AA$1)-COLUMN($A$1),FALSE))</f>
        <v>6.1380991847966611</v>
      </c>
      <c r="AA145" s="70">
        <f>IF(VLOOKUP($A145,raw_lb[],COLUMN(AB$1)-COLUMN($A$1),FALSE)=0, VLOOKUP($D145, regions_lb[], COLUMN(AB$1)-COLUMN($A$1), FALSE), VLOOKUP($A145,raw_lb[],COLUMN(AB$1)-COLUMN($A$1),FALSE))</f>
        <v>2.9006424001084232</v>
      </c>
      <c r="AB145" s="70">
        <f>IF(VLOOKUP($A145,raw_lb[],COLUMN(AC$1)-COLUMN($A$1),FALSE)=0, VLOOKUP($D145, regions_lb[], COLUMN(AC$1)-COLUMN($A$1), FALSE), VLOOKUP($A145,raw_lb[],COLUMN(AC$1)-COLUMN($A$1),FALSE))</f>
        <v>6.7671424001084235</v>
      </c>
      <c r="AC145" s="72">
        <f>IF(VLOOKUP($A145,raw_lb[],COLUMN(AD$1)-COLUMN($A$1),FALSE)=0, VLOOKUP($D145, regions_lb[], COLUMN(AD$1)-COLUMN($A$1), FALSE), VLOOKUP($A145,raw_lb[],COLUMN(AD$1)-COLUMN($A$1),FALSE))</f>
        <v>1.0228896999999952E-2</v>
      </c>
      <c r="AD145" s="72">
        <f>IF(VLOOKUP($A145,raw_lb[],COLUMN(AE$1)-COLUMN($A$1),FALSE)=0, VLOOKUP($D145, regions_lb[], COLUMN(AE$1)-COLUMN($A$1), FALSE), VLOOKUP($A145,raw_lb[],COLUMN(AE$1)-COLUMN($A$1),FALSE))</f>
        <v>5.7487406856350672E-4</v>
      </c>
      <c r="AE145" s="72">
        <f>IF(VLOOKUP($A145,raw_lb[],COLUMN(AF$1)-COLUMN($A$1),FALSE)=0, VLOOKUP($D145, regions_lb[], COLUMN(AF$1)-COLUMN($A$1), FALSE), VLOOKUP($A145,raw_lb[],COLUMN(AF$1)-COLUMN($A$1),FALSE))</f>
        <v>1.842281594507818E-4</v>
      </c>
      <c r="AF145" s="72">
        <f>IF(VLOOKUP($A145,raw_lb[],COLUMN(AG$1)-COLUMN($A$1),FALSE)=0, VLOOKUP($D145, regions_lb[], COLUMN(AG$1)-COLUMN($A$1), FALSE), VLOOKUP($A145,raw_lb[],COLUMN(AG$1)-COLUMN($A$1),FALSE))</f>
        <v>2.3590778290560234E-4</v>
      </c>
      <c r="AG145" s="72">
        <f>IF(VLOOKUP($A145,raw_lb[],COLUMN(AH$1)-COLUMN($A$1),FALSE)=0, VLOOKUP($D145, regions_lb[], COLUMN(AH$1)-COLUMN($A$1), FALSE), VLOOKUP($A145,raw_lb[],COLUMN(AH$1)-COLUMN($A$1),FALSE))</f>
        <v>5.9840340598489919E-4</v>
      </c>
      <c r="AH145" s="72">
        <f>IF(VLOOKUP($A145,raw_lb[],COLUMN(AI$1)-COLUMN($A$1),FALSE)=0, VLOOKUP($D145, regions_lb[], COLUMN(AI$1)-COLUMN($A$1), FALSE), VLOOKUP($A145,raw_lb[],COLUMN(AI$1)-COLUMN($A$1),FALSE))</f>
        <v>5.8636665272416362E-4</v>
      </c>
      <c r="AI145" s="72">
        <f>IF(VLOOKUP($A145,raw_lb[],COLUMN(AJ$1)-COLUMN($A$1),FALSE)=0, VLOOKUP($D145, regions_lb[], COLUMN(AJ$1)-COLUMN($A$1), FALSE), VLOOKUP($A145,raw_lb[],COLUMN(AJ$1)-COLUMN($A$1),FALSE))</f>
        <v>5.5465463219642967E-4</v>
      </c>
      <c r="AJ145" s="72">
        <f>IF(VLOOKUP($A145,raw_lb[],COLUMN(AK$1)-COLUMN($A$1),FALSE)=0, VLOOKUP($D145, regions_lb[], COLUMN(AK$1)-COLUMN($A$1), FALSE), VLOOKUP($A145,raw_lb[],COLUMN(AK$1)-COLUMN($A$1),FALSE))</f>
        <v>7.3037421992483995E-4</v>
      </c>
      <c r="AK145" s="72">
        <f>IF(VLOOKUP($A145,raw_lb[],COLUMN(AL$1)-COLUMN($A$1),FALSE)=0, VLOOKUP($D145, regions_lb[], COLUMN(AL$1)-COLUMN($A$1), FALSE), VLOOKUP($A145,raw_lb[],COLUMN(AL$1)-COLUMN($A$1),FALSE))</f>
        <v>1.0983746355049135E-3</v>
      </c>
      <c r="AL145" s="72">
        <f>IF(VLOOKUP($A145,raw_lb[],COLUMN(AM$1)-COLUMN($A$1),FALSE)=0, VLOOKUP($D145, regions_lb[], COLUMN(AM$1)-COLUMN($A$1), FALSE), VLOOKUP($A145,raw_lb[],COLUMN(AM$1)-COLUMN($A$1),FALSE))</f>
        <v>2.0664061026517363E-3</v>
      </c>
      <c r="AM145" s="72">
        <f>IF(VLOOKUP($A145,raw_lb[],COLUMN(AN$1)-COLUMN($A$1),FALSE)=0, VLOOKUP($D145, regions_lb[], COLUMN(AN$1)-COLUMN($A$1), FALSE), VLOOKUP($A145,raw_lb[],COLUMN(AN$1)-COLUMN($A$1),FALSE))</f>
        <v>3.4307117449715202E-3</v>
      </c>
      <c r="AN145" s="72">
        <f>IF(VLOOKUP($A145,raw_lb[],COLUMN(AO$1)-COLUMN($A$1),FALSE)=0, VLOOKUP($D145, regions_lb[], COLUMN(AO$1)-COLUMN($A$1), FALSE), VLOOKUP($A145,raw_lb[],COLUMN(AO$1)-COLUMN($A$1),FALSE))</f>
        <v>5.6418149846261803E-3</v>
      </c>
      <c r="AO145" s="72">
        <f>IF(VLOOKUP($A145,raw_lb[],COLUMN(AP$1)-COLUMN($A$1),FALSE)=0, VLOOKUP($D145, regions_lb[], COLUMN(AP$1)-COLUMN($A$1), FALSE), VLOOKUP($A145,raw_lb[],COLUMN(AP$1)-COLUMN($A$1),FALSE))</f>
        <v>8.4799947168289203E-3</v>
      </c>
      <c r="AP145" s="72">
        <f>IF(VLOOKUP($A145,raw_lb[],COLUMN(AQ$1)-COLUMN($A$1),FALSE)=0, VLOOKUP($D145, regions_lb[], COLUMN(AQ$1)-COLUMN($A$1), FALSE), VLOOKUP($A145,raw_lb[],COLUMN(AQ$1)-COLUMN($A$1),FALSE))</f>
        <v>1.3207949318084675E-2</v>
      </c>
      <c r="AQ145" s="72">
        <f>IF(VLOOKUP($A145,raw_lb[],COLUMN(AR$1)-COLUMN($A$1),FALSE)=0, VLOOKUP($D145, regions_lb[], COLUMN(AR$1)-COLUMN($A$1), FALSE), VLOOKUP($A145,raw_lb[],COLUMN(AR$1)-COLUMN($A$1),FALSE))</f>
        <v>1.993389993764861E-2</v>
      </c>
      <c r="AR145" s="72">
        <f>IF(VLOOKUP($A145,raw_lb[],COLUMN(AS$1)-COLUMN($A$1),FALSE)=0, VLOOKUP($D145, regions_lb[], COLUMN(AS$1)-COLUMN($A$1), FALSE), VLOOKUP($A145,raw_lb[],COLUMN(AS$1)-COLUMN($A$1),FALSE))</f>
        <v>3.1731424447423377E-2</v>
      </c>
      <c r="AS145" s="82">
        <f>IF(VLOOKUP($A145,raw_lb[],COLUMN(AS$1),FALSE)=0, VLOOKUP($D145, regions_lb[], COLUMN(AS$1), FALSE), VLOOKUP($A145,raw_lb[],COLUMN(AS$1),FALSE))</f>
        <v>5.1925861798801598E-2</v>
      </c>
      <c r="AT145" s="82">
        <f>IF(VLOOKUP($A145,raw_lb[],COLUMN(AT$1),FALSE)=0, VLOOKUP($D145, regions_lb[], COLUMN(AT$1), FALSE), VLOOKUP($A145,raw_lb[],COLUMN(AT$1),FALSE))</f>
        <v>7.8772112660733501E-2</v>
      </c>
      <c r="AU145" s="82">
        <f>IF(VLOOKUP($A145,raw_lb[],COLUMN(AU$1),FALSE)=0, VLOOKUP($D145, regions_lb[], COLUMN(AU$1), FALSE), VLOOKUP($A145,raw_lb[],COLUMN(AU$1),FALSE))</f>
        <v>0.11028399495492208</v>
      </c>
      <c r="AV145" s="82">
        <f>IF(VLOOKUP($A145,raw_lb[],COLUMN(AV$1),FALSE)=0, VLOOKUP($D145, regions_lb[], COLUMN(AV$1), FALSE), VLOOKUP($A145,raw_lb[],COLUMN(AV$1),FALSE))</f>
        <v>0.1417351121261167</v>
      </c>
      <c r="AW145" s="82">
        <f>IF(VLOOKUP($A145,raw_lb[],COLUMN(AW$1),FALSE)=0, VLOOKUP($D145, regions_lb[], COLUMN(AW$1), FALSE), VLOOKUP($A145,raw_lb[],COLUMN(AW$1),FALSE))</f>
        <v>0.16202733090679061</v>
      </c>
      <c r="AX145" s="82">
        <f>IF(VLOOKUP($A145,raw_lb[],COLUMN(AX$1),FALSE)=0, VLOOKUP($D145, regions_lb[], COLUMN(AX$1), FALSE), VLOOKUP($A145,raw_lb[],COLUMN(AX$1),FALSE))</f>
        <v>71.122699999999995</v>
      </c>
      <c r="AY145" t="str">
        <f t="shared" si="5"/>
        <v>No</v>
      </c>
    </row>
    <row r="146" spans="1:51" x14ac:dyDescent="0.25">
      <c r="A146" s="53" t="s">
        <v>221</v>
      </c>
      <c r="B146" s="54" t="s">
        <v>222</v>
      </c>
      <c r="C146" s="54">
        <v>31</v>
      </c>
      <c r="D146" s="54" t="s">
        <v>201</v>
      </c>
      <c r="E146" s="54" t="s">
        <v>220</v>
      </c>
      <c r="F146" s="54" t="s">
        <v>203</v>
      </c>
      <c r="G146" s="54" t="s">
        <v>204</v>
      </c>
      <c r="H146" s="73"/>
      <c r="I146" s="73"/>
      <c r="J146" s="67">
        <f>IF(VLOOKUP($A146,raw_lb[],COLUMN(J$1),FALSE)=0, VLOOKUP($D146, regions_lb[], COLUMN(J$1), FALSE), VLOOKUP($A146,raw_lb[],COLUMN(J$1),FALSE))</f>
        <v>0.90915000000000001</v>
      </c>
      <c r="K146" s="77">
        <f>VLOOKUP($A146, raw_lb[], 11, FALSE)</f>
        <v>0.93099999999999994</v>
      </c>
      <c r="L146" s="77">
        <f>VLOOKUP($A146, raw_lb[], 12, FALSE)</f>
        <v>0.75049999999999994</v>
      </c>
      <c r="M146" s="77">
        <f>IF(VLOOKUP($A146,raw_lb[],COLUMN(M$1),FALSE)=0, VLOOKUP($D146, regions_lb[], COLUMN(M$1), FALSE), VLOOKUP($A146,raw_lb[],COLUMN(M$1),FALSE))</f>
        <v>1.29E-2</v>
      </c>
      <c r="N146" s="68">
        <f>IF(VLOOKUP($A146,raw_lb[],COLUMN(N$1),FALSE)=0, VLOOKUP($D146, regions_lb[], COLUMN(N$1), FALSE), VLOOKUP($A146,raw_lb[],COLUMN(N$1),FALSE))</f>
        <v>0.16309999999999999</v>
      </c>
      <c r="O146" s="67">
        <f>IF(VLOOKUP($A146,raw_lb[],COLUMN(O$1),FALSE)=0, VLOOKUP($D146, regions_lb[], COLUMN(O$1), FALSE), VLOOKUP($A146,raw_lb[],COLUMN(O$1),FALSE))</f>
        <v>0.7</v>
      </c>
      <c r="P146" s="68">
        <f>IF(VLOOKUP($A146,raw_lb[],COLUMN(P$1),FALSE)=0, VLOOKUP($D146, regions_lb[], COLUMN(P$1), FALSE), VLOOKUP($A146,raw_lb[],COLUMN(P$1),FALSE))</f>
        <v>0.05</v>
      </c>
      <c r="Q146" s="70">
        <f>IF(VLOOKUP($A146,raw_lb[],COLUMN(Q$1),FALSE)=0, VLOOKUP($D146, regions_lb[], COLUMN(Q$1), FALSE), VLOOKUP($A146,raw_lb[],COLUMN(Q$1),FALSE))</f>
        <v>1.9406708167984812</v>
      </c>
      <c r="R146" s="70">
        <f>IF(VLOOKUP($A146,raw_lb[],COLUMN(R$1),FALSE)=0, VLOOKUP($D146, regions_lb[], COLUMN(R$1), FALSE), VLOOKUP($A146,raw_lb[],COLUMN(R$1),FALSE))</f>
        <v>9.0015708167984823</v>
      </c>
      <c r="S146" s="70">
        <f>IF(VLOOKUP($A146,raw_lb[],COLUMN(S$1),FALSE)=0, VLOOKUP($D146, regions_lb[], COLUMN(S$1), FALSE), VLOOKUP($A146,raw_lb[],COLUMN(S$1),FALSE))</f>
        <v>49.472366474957482</v>
      </c>
      <c r="T146" s="70">
        <f>IF(VLOOKUP($A146,raw_lb[],COLUMN(U$1)-COLUMN($A$1),FALSE)=0, VLOOKUP($D146, regions_lb[], COLUMN(U$1)-COLUMN($A$1), FALSE), VLOOKUP($A146,raw_lb[],COLUMN(U$1)-COLUMN($A$1),FALSE))</f>
        <v>55.328012386811046</v>
      </c>
      <c r="U146" s="70">
        <f>IF(VLOOKUP($A146,raw_lb[],COLUMN(V$1)-COLUMN($A$1),FALSE)=0, VLOOKUP($D146, regions_lb[], COLUMN(V$1)-COLUMN($A$1), FALSE), VLOOKUP($A146,raw_lb[],COLUMN(V$1)-COLUMN($A$1),FALSE))</f>
        <v>52.639223556674416</v>
      </c>
      <c r="V146" s="70">
        <f>IF(VLOOKUP($A146,raw_lb[],COLUMN(W$1)-COLUMN($A$1),FALSE)=0, VLOOKUP($D146, regions_lb[], COLUMN(W$1)-COLUMN($A$1), FALSE), VLOOKUP($A146,raw_lb[],COLUMN(W$1)-COLUMN($A$1),FALSE))</f>
        <v>2.3464782643218598</v>
      </c>
      <c r="W146" s="70">
        <f>IF(VLOOKUP($A146,raw_lb[],COLUMN(X$1)-COLUMN($A$1),FALSE)=0, VLOOKUP($D146, regions_lb[], COLUMN(X$1)-COLUMN($A$1), FALSE), VLOOKUP($A146,raw_lb[],COLUMN(X$1)-COLUMN($A$1),FALSE))</f>
        <v>6.2129782643218601</v>
      </c>
      <c r="X146" s="70">
        <f>IF(VLOOKUP($A146,raw_lb[],COLUMN(Y$1)-COLUMN($A$1),FALSE)=0, VLOOKUP($D146, regions_lb[], COLUMN(Y$1)-COLUMN($A$1), FALSE), VLOOKUP($A146,raw_lb[],COLUMN(Y$1)-COLUMN($A$1),FALSE))</f>
        <v>1.8731200116925972</v>
      </c>
      <c r="Y146" s="70">
        <f>IF(VLOOKUP($A146,raw_lb[],COLUMN(Z$1)-COLUMN($A$1),FALSE)=0, VLOOKUP($D146, regions_lb[], COLUMN(Z$1)-COLUMN($A$1), FALSE), VLOOKUP($A146,raw_lb[],COLUMN(Z$1)-COLUMN($A$1),FALSE))</f>
        <v>5.7396200116925975</v>
      </c>
      <c r="Z146" s="70">
        <f>IF(VLOOKUP($A146,raw_lb[],COLUMN(AA$1)-COLUMN($A$1),FALSE)=0, VLOOKUP($D146, regions_lb[], COLUMN(AA$1)-COLUMN($A$1), FALSE), VLOOKUP($A146,raw_lb[],COLUMN(AA$1)-COLUMN($A$1),FALSE))</f>
        <v>5.7361204365139065</v>
      </c>
      <c r="AA146" s="70">
        <f>IF(VLOOKUP($A146,raw_lb[],COLUMN(AB$1)-COLUMN($A$1),FALSE)=0, VLOOKUP($D146, regions_lb[], COLUMN(AB$1)-COLUMN($A$1), FALSE), VLOOKUP($A146,raw_lb[],COLUMN(AB$1)-COLUMN($A$1),FALSE))</f>
        <v>2.4979476184667582</v>
      </c>
      <c r="AB146" s="70">
        <f>IF(VLOOKUP($A146,raw_lb[],COLUMN(AC$1)-COLUMN($A$1),FALSE)=0, VLOOKUP($D146, regions_lb[], COLUMN(AC$1)-COLUMN($A$1), FALSE), VLOOKUP($A146,raw_lb[],COLUMN(AC$1)-COLUMN($A$1),FALSE))</f>
        <v>6.3644476184667589</v>
      </c>
      <c r="AC146" s="72">
        <f>IF(VLOOKUP($A146,raw_lb[],COLUMN(AD$1)-COLUMN($A$1),FALSE)=0, VLOOKUP($D146, regions_lb[], COLUMN(AD$1)-COLUMN($A$1), FALSE), VLOOKUP($A146,raw_lb[],COLUMN(AD$1)-COLUMN($A$1),FALSE))</f>
        <v>1.9765528999999948E-2</v>
      </c>
      <c r="AD146" s="72">
        <f>IF(VLOOKUP($A146,raw_lb[],COLUMN(AE$1)-COLUMN($A$1),FALSE)=0, VLOOKUP($D146, regions_lb[], COLUMN(AE$1)-COLUMN($A$1), FALSE), VLOOKUP($A146,raw_lb[],COLUMN(AE$1)-COLUMN($A$1),FALSE))</f>
        <v>1.0670658040471588E-3</v>
      </c>
      <c r="AE146" s="72">
        <f>IF(VLOOKUP($A146,raw_lb[],COLUMN(AF$1)-COLUMN($A$1),FALSE)=0, VLOOKUP($D146, regions_lb[], COLUMN(AF$1)-COLUMN($A$1), FALSE), VLOOKUP($A146,raw_lb[],COLUMN(AF$1)-COLUMN($A$1),FALSE))</f>
        <v>3.6399385614254256E-4</v>
      </c>
      <c r="AF146" s="72">
        <f>IF(VLOOKUP($A146,raw_lb[],COLUMN(AG$1)-COLUMN($A$1),FALSE)=0, VLOOKUP($D146, regions_lb[], COLUMN(AG$1)-COLUMN($A$1), FALSE), VLOOKUP($A146,raw_lb[],COLUMN(AG$1)-COLUMN($A$1),FALSE))</f>
        <v>3.1115850713940807E-4</v>
      </c>
      <c r="AG146" s="72">
        <f>IF(VLOOKUP($A146,raw_lb[],COLUMN(AH$1)-COLUMN($A$1),FALSE)=0, VLOOKUP($D146, regions_lb[], COLUMN(AH$1)-COLUMN($A$1), FALSE), VLOOKUP($A146,raw_lb[],COLUMN(AH$1)-COLUMN($A$1),FALSE))</f>
        <v>6.3750958810314081E-4</v>
      </c>
      <c r="AH146" s="72">
        <f>IF(VLOOKUP($A146,raw_lb[],COLUMN(AI$1)-COLUMN($A$1),FALSE)=0, VLOOKUP($D146, regions_lb[], COLUMN(AI$1)-COLUMN($A$1), FALSE), VLOOKUP($A146,raw_lb[],COLUMN(AI$1)-COLUMN($A$1),FALSE))</f>
        <v>7.9251943349295301E-4</v>
      </c>
      <c r="AI146" s="72">
        <f>IF(VLOOKUP($A146,raw_lb[],COLUMN(AJ$1)-COLUMN($A$1),FALSE)=0, VLOOKUP($D146, regions_lb[], COLUMN(AJ$1)-COLUMN($A$1), FALSE), VLOOKUP($A146,raw_lb[],COLUMN(AJ$1)-COLUMN($A$1),FALSE))</f>
        <v>7.9831836713456777E-4</v>
      </c>
      <c r="AJ146" s="72">
        <f>IF(VLOOKUP($A146,raw_lb[],COLUMN(AK$1)-COLUMN($A$1),FALSE)=0, VLOOKUP($D146, regions_lb[], COLUMN(AK$1)-COLUMN($A$1), FALSE), VLOOKUP($A146,raw_lb[],COLUMN(AK$1)-COLUMN($A$1),FALSE))</f>
        <v>9.5742371310006923E-4</v>
      </c>
      <c r="AK146" s="72">
        <f>IF(VLOOKUP($A146,raw_lb[],COLUMN(AL$1)-COLUMN($A$1),FALSE)=0, VLOOKUP($D146, regions_lb[], COLUMN(AL$1)-COLUMN($A$1), FALSE), VLOOKUP($A146,raw_lb[],COLUMN(AL$1)-COLUMN($A$1),FALSE))</f>
        <v>1.3407872015251488E-3</v>
      </c>
      <c r="AL146" s="72">
        <f>IF(VLOOKUP($A146,raw_lb[],COLUMN(AM$1)-COLUMN($A$1),FALSE)=0, VLOOKUP($D146, regions_lb[], COLUMN(AM$1)-COLUMN($A$1), FALSE), VLOOKUP($A146,raw_lb[],COLUMN(AM$1)-COLUMN($A$1),FALSE))</f>
        <v>2.0274303940789203E-3</v>
      </c>
      <c r="AM146" s="72">
        <f>IF(VLOOKUP($A146,raw_lb[],COLUMN(AN$1)-COLUMN($A$1),FALSE)=0, VLOOKUP($D146, regions_lb[], COLUMN(AN$1)-COLUMN($A$1), FALSE), VLOOKUP($A146,raw_lb[],COLUMN(AN$1)-COLUMN($A$1),FALSE))</f>
        <v>3.2908820984320682E-3</v>
      </c>
      <c r="AN146" s="72">
        <f>IF(VLOOKUP($A146,raw_lb[],COLUMN(AO$1)-COLUMN($A$1),FALSE)=0, VLOOKUP($D146, regions_lb[], COLUMN(AO$1)-COLUMN($A$1), FALSE), VLOOKUP($A146,raw_lb[],COLUMN(AO$1)-COLUMN($A$1),FALSE))</f>
        <v>5.3522594179292978E-3</v>
      </c>
      <c r="AO146" s="72">
        <f>IF(VLOOKUP($A146,raw_lb[],COLUMN(AP$1)-COLUMN($A$1),FALSE)=0, VLOOKUP($D146, regions_lb[], COLUMN(AP$1)-COLUMN($A$1), FALSE), VLOOKUP($A146,raw_lb[],COLUMN(AP$1)-COLUMN($A$1),FALSE))</f>
        <v>8.6761703189182325E-3</v>
      </c>
      <c r="AP146" s="72">
        <f>IF(VLOOKUP($A146,raw_lb[],COLUMN(AQ$1)-COLUMN($A$1),FALSE)=0, VLOOKUP($D146, regions_lb[], COLUMN(AQ$1)-COLUMN($A$1), FALSE), VLOOKUP($A146,raw_lb[],COLUMN(AQ$1)-COLUMN($A$1),FALSE))</f>
        <v>1.4153498349725003E-2</v>
      </c>
      <c r="AQ146" s="72">
        <f>IF(VLOOKUP($A146,raw_lb[],COLUMN(AR$1)-COLUMN($A$1),FALSE)=0, VLOOKUP($D146, regions_lb[], COLUMN(AR$1)-COLUMN($A$1), FALSE), VLOOKUP($A146,raw_lb[],COLUMN(AR$1)-COLUMN($A$1),FALSE))</f>
        <v>2.2884013189161702E-2</v>
      </c>
      <c r="AR146" s="72">
        <f>IF(VLOOKUP($A146,raw_lb[],COLUMN(AS$1)-COLUMN($A$1),FALSE)=0, VLOOKUP($D146, regions_lb[], COLUMN(AS$1)-COLUMN($A$1), FALSE), VLOOKUP($A146,raw_lb[],COLUMN(AS$1)-COLUMN($A$1),FALSE))</f>
        <v>3.6953343010679887E-2</v>
      </c>
      <c r="AS146" s="82">
        <f>IF(VLOOKUP($A146,raw_lb[],COLUMN(AS$1),FALSE)=0, VLOOKUP($D146, regions_lb[], COLUMN(AS$1), FALSE), VLOOKUP($A146,raw_lb[],COLUMN(AS$1),FALSE))</f>
        <v>5.8540897644734198E-2</v>
      </c>
      <c r="AT146" s="82">
        <f>IF(VLOOKUP($A146,raw_lb[],COLUMN(AT$1),FALSE)=0, VLOOKUP($D146, regions_lb[], COLUMN(AT$1), FALSE), VLOOKUP($A146,raw_lb[],COLUMN(AT$1),FALSE))</f>
        <v>8.6891324874703038E-2</v>
      </c>
      <c r="AU146" s="82">
        <f>IF(VLOOKUP($A146,raw_lb[],COLUMN(AU$1),FALSE)=0, VLOOKUP($D146, regions_lb[], COLUMN(AU$1), FALSE), VLOOKUP($A146,raw_lb[],COLUMN(AU$1),FALSE))</f>
        <v>0.11917905432427373</v>
      </c>
      <c r="AV146" s="82">
        <f>IF(VLOOKUP($A146,raw_lb[],COLUMN(AV$1),FALSE)=0, VLOOKUP($D146, regions_lb[], COLUMN(AV$1), FALSE), VLOOKUP($A146,raw_lb[],COLUMN(AV$1),FALSE))</f>
        <v>0.14701136650012112</v>
      </c>
      <c r="AW146" s="82">
        <f>IF(VLOOKUP($A146,raw_lb[],COLUMN(AW$1),FALSE)=0, VLOOKUP($D146, regions_lb[], COLUMN(AW$1), FALSE), VLOOKUP($A146,raw_lb[],COLUMN(AW$1),FALSE))</f>
        <v>0.16541481194961458</v>
      </c>
      <c r="AX146" s="82">
        <f>IF(VLOOKUP($A146,raw_lb[],COLUMN(AX$1),FALSE)=0, VLOOKUP($D146, regions_lb[], COLUMN(AX$1), FALSE), VLOOKUP($A146,raw_lb[],COLUMN(AX$1),FALSE))</f>
        <v>69.169499999999999</v>
      </c>
      <c r="AY146" t="str">
        <f t="shared" si="5"/>
        <v>No</v>
      </c>
    </row>
    <row r="147" spans="1:51" x14ac:dyDescent="0.25">
      <c r="A147" s="55" t="s">
        <v>223</v>
      </c>
      <c r="B147" s="56" t="s">
        <v>224</v>
      </c>
      <c r="C147" s="56">
        <v>50</v>
      </c>
      <c r="D147" s="56" t="s">
        <v>225</v>
      </c>
      <c r="E147" s="56" t="s">
        <v>226</v>
      </c>
      <c r="F147" s="56" t="s">
        <v>226</v>
      </c>
      <c r="G147" s="56" t="s">
        <v>212</v>
      </c>
      <c r="H147" s="74"/>
      <c r="I147" s="74"/>
      <c r="J147" s="67">
        <f>IF(VLOOKUP($A147,raw_lb[],COLUMN(J$1),FALSE)=0, VLOOKUP($D147, regions_lb[], COLUMN(J$1), FALSE), VLOOKUP($A147,raw_lb[],COLUMN(J$1),FALSE))</f>
        <v>0.50729999999999997</v>
      </c>
      <c r="K147" s="77">
        <f>VLOOKUP($A147, raw_lb[], 11, FALSE)</f>
        <v>0</v>
      </c>
      <c r="L147" s="77">
        <f>VLOOKUP($A147, raw_lb[], 12, FALSE)</f>
        <v>0.93099999999999994</v>
      </c>
      <c r="M147" s="77">
        <f>IF(VLOOKUP($A147,raw_lb[],COLUMN(M$1),FALSE)=0, VLOOKUP($D147, regions_lb[], COLUMN(M$1), FALSE), VLOOKUP($A147,raw_lb[],COLUMN(M$1),FALSE))</f>
        <v>2.5699999999999997E-2</v>
      </c>
      <c r="N147" s="68">
        <f>IF(VLOOKUP($A147,raw_lb[],COLUMN(N$1),FALSE)=0, VLOOKUP($D147, regions_lb[], COLUMN(N$1), FALSE), VLOOKUP($A147,raw_lb[],COLUMN(N$1),FALSE))</f>
        <v>0.1482</v>
      </c>
      <c r="O147" s="67">
        <f>IF(VLOOKUP($A147,raw_lb[],COLUMN(O$1),FALSE)=0, VLOOKUP($D147, regions_lb[], COLUMN(O$1), FALSE), VLOOKUP($A147,raw_lb[],COLUMN(O$1),FALSE))</f>
        <v>0.7</v>
      </c>
      <c r="P147" s="68">
        <f>IF(VLOOKUP($A147,raw_lb[],COLUMN(P$1),FALSE)=0, VLOOKUP($D147, regions_lb[], COLUMN(P$1), FALSE), VLOOKUP($A147,raw_lb[],COLUMN(P$1),FALSE))</f>
        <v>0.05</v>
      </c>
      <c r="Q147" s="70">
        <f>IF(VLOOKUP($A147,raw_lb[],COLUMN(Q$1),FALSE)=0, VLOOKUP($D147, regions_lb[], COLUMN(Q$1), FALSE), VLOOKUP($A147,raw_lb[],COLUMN(Q$1),FALSE))</f>
        <v>0.87296720072689904</v>
      </c>
      <c r="R147" s="70">
        <f>IF(VLOOKUP($A147,raw_lb[],COLUMN(R$1),FALSE)=0, VLOOKUP($D147, regions_lb[], COLUMN(R$1), FALSE), VLOOKUP($A147,raw_lb[],COLUMN(R$1),FALSE))</f>
        <v>7.9338672007268993</v>
      </c>
      <c r="S147" s="70">
        <f>IF(VLOOKUP($A147,raw_lb[],COLUMN(S$1),FALSE)=0, VLOOKUP($D147, regions_lb[], COLUMN(S$1), FALSE), VLOOKUP($A147,raw_lb[],COLUMN(S$1),FALSE))</f>
        <v>39.1706580270655</v>
      </c>
      <c r="T147" s="70">
        <f>IF(VLOOKUP($A147,raw_lb[],COLUMN(U$1)-COLUMN($A$1),FALSE)=0, VLOOKUP($D147, regions_lb[], COLUMN(U$1)-COLUMN($A$1), FALSE), VLOOKUP($A147,raw_lb[],COLUMN(U$1)-COLUMN($A$1),FALSE))</f>
        <v>40.22032716302116</v>
      </c>
      <c r="U147" s="70">
        <f>IF(VLOOKUP($A147,raw_lb[],COLUMN(V$1)-COLUMN($A$1),FALSE)=0, VLOOKUP($D147, regions_lb[], COLUMN(V$1)-COLUMN($A$1), FALSE), VLOOKUP($A147,raw_lb[],COLUMN(V$1)-COLUMN($A$1),FALSE))</f>
        <v>39.738341282969316</v>
      </c>
      <c r="V147" s="70">
        <f>IF(VLOOKUP($A147,raw_lb[],COLUMN(W$1)-COLUMN($A$1),FALSE)=0, VLOOKUP($D147, regions_lb[], COLUMN(W$1)-COLUMN($A$1), FALSE), VLOOKUP($A147,raw_lb[],COLUMN(W$1)-COLUMN($A$1),FALSE))</f>
        <v>1.1499964441995953</v>
      </c>
      <c r="W147" s="70">
        <f>IF(VLOOKUP($A147,raw_lb[],COLUMN(X$1)-COLUMN($A$1),FALSE)=0, VLOOKUP($D147, regions_lb[], COLUMN(X$1)-COLUMN($A$1), FALSE), VLOOKUP($A147,raw_lb[],COLUMN(X$1)-COLUMN($A$1),FALSE))</f>
        <v>2.8693515321574461</v>
      </c>
      <c r="X147" s="70">
        <f>IF(VLOOKUP($A147,raw_lb[],COLUMN(Y$1)-COLUMN($A$1),FALSE)=0, VLOOKUP($D147, regions_lb[], COLUMN(Y$1)-COLUMN($A$1), FALSE), VLOOKUP($A147,raw_lb[],COLUMN(Y$1)-COLUMN($A$1),FALSE))</f>
        <v>0.67704411750302995</v>
      </c>
      <c r="Y147" s="70">
        <f>IF(VLOOKUP($A147,raw_lb[],COLUMN(Z$1)-COLUMN($A$1),FALSE)=0, VLOOKUP($D147, regions_lb[], COLUMN(Z$1)-COLUMN($A$1), FALSE), VLOOKUP($A147,raw_lb[],COLUMN(Z$1)-COLUMN($A$1),FALSE))</f>
        <v>2.3963992054608809</v>
      </c>
      <c r="Z147" s="70">
        <f>IF(VLOOKUP($A147,raw_lb[],COLUMN(AA$1)-COLUMN($A$1),FALSE)=0, VLOOKUP($D147, regions_lb[], COLUMN(AA$1)-COLUMN($A$1), FALSE), VLOOKUP($A147,raw_lb[],COLUMN(AA$1)-COLUMN($A$1),FALSE))</f>
        <v>2.3928777060111632</v>
      </c>
      <c r="AA147" s="70">
        <f>IF(VLOOKUP($A147,raw_lb[],COLUMN(AB$1)-COLUMN($A$1),FALSE)=0, VLOOKUP($D147, regions_lb[], COLUMN(AB$1)-COLUMN($A$1), FALSE), VLOOKUP($A147,raw_lb[],COLUMN(AB$1)-COLUMN($A$1),FALSE))</f>
        <v>1.3002132268950288</v>
      </c>
      <c r="AB147" s="70">
        <f>IF(VLOOKUP($A147,raw_lb[],COLUMN(AC$1)-COLUMN($A$1),FALSE)=0, VLOOKUP($D147, regions_lb[], COLUMN(AC$1)-COLUMN($A$1), FALSE), VLOOKUP($A147,raw_lb[],COLUMN(AC$1)-COLUMN($A$1),FALSE))</f>
        <v>3.0195683148528798</v>
      </c>
      <c r="AC147" s="72">
        <f>IF(VLOOKUP($A147,raw_lb[],COLUMN(AD$1)-COLUMN($A$1),FALSE)=0, VLOOKUP($D147, regions_lb[], COLUMN(AD$1)-COLUMN($A$1), FALSE), VLOOKUP($A147,raw_lb[],COLUMN(AD$1)-COLUMN($A$1),FALSE))</f>
        <v>2.5507861000000003E-2</v>
      </c>
      <c r="AD147" s="72">
        <f>IF(VLOOKUP($A147,raw_lb[],COLUMN(AE$1)-COLUMN($A$1),FALSE)=0, VLOOKUP($D147, regions_lb[], COLUMN(AE$1)-COLUMN($A$1), FALSE), VLOOKUP($A147,raw_lb[],COLUMN(AE$1)-COLUMN($A$1),FALSE))</f>
        <v>1.3559604277500394E-3</v>
      </c>
      <c r="AE147" s="72">
        <f>IF(VLOOKUP($A147,raw_lb[],COLUMN(AF$1)-COLUMN($A$1),FALSE)=0, VLOOKUP($D147, regions_lb[], COLUMN(AF$1)-COLUMN($A$1), FALSE), VLOOKUP($A147,raw_lb[],COLUMN(AF$1)-COLUMN($A$1),FALSE))</f>
        <v>7.1080812532444099E-4</v>
      </c>
      <c r="AF147" s="72">
        <f>IF(VLOOKUP($A147,raw_lb[],COLUMN(AG$1)-COLUMN($A$1),FALSE)=0, VLOOKUP($D147, regions_lb[], COLUMN(AG$1)-COLUMN($A$1), FALSE), VLOOKUP($A147,raw_lb[],COLUMN(AG$1)-COLUMN($A$1),FALSE))</f>
        <v>6.0419477190120068E-4</v>
      </c>
      <c r="AG147" s="72">
        <f>IF(VLOOKUP($A147,raw_lb[],COLUMN(AH$1)-COLUMN($A$1),FALSE)=0, VLOOKUP($D147, regions_lb[], COLUMN(AH$1)-COLUMN($A$1), FALSE), VLOOKUP($A147,raw_lb[],COLUMN(AH$1)-COLUMN($A$1),FALSE))</f>
        <v>9.6195439411005622E-4</v>
      </c>
      <c r="AH147" s="72">
        <f>IF(VLOOKUP($A147,raw_lb[],COLUMN(AI$1)-COLUMN($A$1),FALSE)=0, VLOOKUP($D147, regions_lb[], COLUMN(AI$1)-COLUMN($A$1), FALSE), VLOOKUP($A147,raw_lb[],COLUMN(AI$1)-COLUMN($A$1),FALSE))</f>
        <v>9.874106753361301E-4</v>
      </c>
      <c r="AI147" s="72">
        <f>IF(VLOOKUP($A147,raw_lb[],COLUMN(AJ$1)-COLUMN($A$1),FALSE)=0, VLOOKUP($D147, regions_lb[], COLUMN(AJ$1)-COLUMN($A$1), FALSE), VLOOKUP($A147,raw_lb[],COLUMN(AJ$1)-COLUMN($A$1),FALSE))</f>
        <v>9.4635923934821347E-4</v>
      </c>
      <c r="AJ147" s="72">
        <f>IF(VLOOKUP($A147,raw_lb[],COLUMN(AK$1)-COLUMN($A$1),FALSE)=0, VLOOKUP($D147, regions_lb[], COLUMN(AK$1)-COLUMN($A$1), FALSE), VLOOKUP($A147,raw_lb[],COLUMN(AK$1)-COLUMN($A$1),FALSE))</f>
        <v>1.1838738586487489E-3</v>
      </c>
      <c r="AK147" s="72">
        <f>IF(VLOOKUP($A147,raw_lb[],COLUMN(AL$1)-COLUMN($A$1),FALSE)=0, VLOOKUP($D147, regions_lb[], COLUMN(AL$1)-COLUMN($A$1), FALSE), VLOOKUP($A147,raw_lb[],COLUMN(AL$1)-COLUMN($A$1),FALSE))</f>
        <v>1.6101673684685033E-3</v>
      </c>
      <c r="AL147" s="72">
        <f>IF(VLOOKUP($A147,raw_lb[],COLUMN(AM$1)-COLUMN($A$1),FALSE)=0, VLOOKUP($D147, regions_lb[], COLUMN(AM$1)-COLUMN($A$1), FALSE), VLOOKUP($A147,raw_lb[],COLUMN(AM$1)-COLUMN($A$1),FALSE))</f>
        <v>2.3653842018845845E-3</v>
      </c>
      <c r="AM147" s="72">
        <f>IF(VLOOKUP($A147,raw_lb[],COLUMN(AN$1)-COLUMN($A$1),FALSE)=0, VLOOKUP($D147, regions_lb[], COLUMN(AN$1)-COLUMN($A$1), FALSE), VLOOKUP($A147,raw_lb[],COLUMN(AN$1)-COLUMN($A$1),FALSE))</f>
        <v>3.6849672424003692E-3</v>
      </c>
      <c r="AN147" s="72">
        <f>IF(VLOOKUP($A147,raw_lb[],COLUMN(AO$1)-COLUMN($A$1),FALSE)=0, VLOOKUP($D147, regions_lb[], COLUMN(AO$1)-COLUMN($A$1), FALSE), VLOOKUP($A147,raw_lb[],COLUMN(AO$1)-COLUMN($A$1),FALSE))</f>
        <v>6.0492437831762454E-3</v>
      </c>
      <c r="AO147" s="72">
        <f>IF(VLOOKUP($A147,raw_lb[],COLUMN(AP$1)-COLUMN($A$1),FALSE)=0, VLOOKUP($D147, regions_lb[], COLUMN(AP$1)-COLUMN($A$1), FALSE), VLOOKUP($A147,raw_lb[],COLUMN(AP$1)-COLUMN($A$1),FALSE))</f>
        <v>9.5221827091242651E-3</v>
      </c>
      <c r="AP147" s="72">
        <f>IF(VLOOKUP($A147,raw_lb[],COLUMN(AQ$1)-COLUMN($A$1),FALSE)=0, VLOOKUP($D147, regions_lb[], COLUMN(AQ$1)-COLUMN($A$1), FALSE), VLOOKUP($A147,raw_lb[],COLUMN(AQ$1)-COLUMN($A$1),FALSE))</f>
        <v>1.5817246767574348E-2</v>
      </c>
      <c r="AQ147" s="72">
        <f>IF(VLOOKUP($A147,raw_lb[],COLUMN(AR$1)-COLUMN($A$1),FALSE)=0, VLOOKUP($D147, regions_lb[], COLUMN(AR$1)-COLUMN($A$1), FALSE), VLOOKUP($A147,raw_lb[],COLUMN(AR$1)-COLUMN($A$1),FALSE))</f>
        <v>2.2928372503334401E-2</v>
      </c>
      <c r="AR147" s="72">
        <f>IF(VLOOKUP($A147,raw_lb[],COLUMN(AS$1)-COLUMN($A$1),FALSE)=0, VLOOKUP($D147, regions_lb[], COLUMN(AS$1)-COLUMN($A$1), FALSE), VLOOKUP($A147,raw_lb[],COLUMN(AS$1)-COLUMN($A$1),FALSE))</f>
        <v>3.7183125402074489E-2</v>
      </c>
      <c r="AS147" s="82">
        <f>IF(VLOOKUP($A147,raw_lb[],COLUMN(AS$1),FALSE)=0, VLOOKUP($D147, regions_lb[], COLUMN(AS$1), FALSE), VLOOKUP($A147,raw_lb[],COLUMN(AS$1),FALSE))</f>
        <v>5.0315646378126543E-2</v>
      </c>
      <c r="AT147" s="82">
        <f>IF(VLOOKUP($A147,raw_lb[],COLUMN(AT$1),FALSE)=0, VLOOKUP($D147, regions_lb[], COLUMN(AT$1), FALSE), VLOOKUP($A147,raw_lb[],COLUMN(AT$1),FALSE))</f>
        <v>7.2383826159743897E-2</v>
      </c>
      <c r="AU147" s="82">
        <f>IF(VLOOKUP($A147,raw_lb[],COLUMN(AU$1),FALSE)=0, VLOOKUP($D147, regions_lb[], COLUMN(AU$1), FALSE), VLOOKUP($A147,raw_lb[],COLUMN(AU$1),FALSE))</f>
        <v>9.5652095344908622E-2</v>
      </c>
      <c r="AV147" s="82">
        <f>IF(VLOOKUP($A147,raw_lb[],COLUMN(AV$1),FALSE)=0, VLOOKUP($D147, regions_lb[], COLUMN(AV$1), FALSE), VLOOKUP($A147,raw_lb[],COLUMN(AV$1),FALSE))</f>
        <v>0.1183681347274174</v>
      </c>
      <c r="AW147" s="82">
        <f>IF(VLOOKUP($A147,raw_lb[],COLUMN(AW$1),FALSE)=0, VLOOKUP($D147, regions_lb[], COLUMN(AW$1), FALSE), VLOOKUP($A147,raw_lb[],COLUMN(AW$1),FALSE))</f>
        <v>0.13416654537373876</v>
      </c>
      <c r="AX147" s="82">
        <f>IF(VLOOKUP($A147,raw_lb[],COLUMN(AX$1),FALSE)=0, VLOOKUP($D147, regions_lb[], COLUMN(AX$1), FALSE), VLOOKUP($A147,raw_lb[],COLUMN(AX$1),FALSE))</f>
        <v>68.542500000000004</v>
      </c>
      <c r="AY147" t="str">
        <f t="shared" si="5"/>
        <v>Yes</v>
      </c>
    </row>
    <row r="148" spans="1:51" x14ac:dyDescent="0.25">
      <c r="A148" s="53" t="s">
        <v>227</v>
      </c>
      <c r="B148" s="54" t="s">
        <v>228</v>
      </c>
      <c r="C148" s="54">
        <v>112</v>
      </c>
      <c r="D148" s="54" t="s">
        <v>201</v>
      </c>
      <c r="E148" s="54" t="s">
        <v>229</v>
      </c>
      <c r="F148" s="54" t="s">
        <v>203</v>
      </c>
      <c r="G148" s="54" t="s">
        <v>204</v>
      </c>
      <c r="H148" s="73"/>
      <c r="I148" s="73"/>
      <c r="J148" s="67">
        <f>IF(VLOOKUP($A148,raw_lb[],COLUMN(J$1),FALSE)=0, VLOOKUP($D148, regions_lb[], COLUMN(J$1), FALSE), VLOOKUP($A148,raw_lb[],COLUMN(J$1),FALSE))</f>
        <v>0.94904999999999995</v>
      </c>
      <c r="K148" s="77">
        <f>VLOOKUP($A148, raw_lb[], 11, FALSE)</f>
        <v>0.92149999999999999</v>
      </c>
      <c r="L148" s="77">
        <f>VLOOKUP($A148, raw_lb[], 12, FALSE)</f>
        <v>0.92149999999999999</v>
      </c>
      <c r="M148" s="77">
        <f>IF(VLOOKUP($A148,raw_lb[],COLUMN(M$1),FALSE)=0, VLOOKUP($D148, regions_lb[], COLUMN(M$1), FALSE), VLOOKUP($A148,raw_lb[],COLUMN(M$1),FALSE))</f>
        <v>7.0699999999999999E-2</v>
      </c>
      <c r="N148" s="68">
        <f>IF(VLOOKUP($A148,raw_lb[],COLUMN(N$1),FALSE)=0, VLOOKUP($D148, regions_lb[], COLUMN(N$1), FALSE), VLOOKUP($A148,raw_lb[],COLUMN(N$1),FALSE))</f>
        <v>0.16339999999999999</v>
      </c>
      <c r="O148" s="67">
        <f>IF(VLOOKUP($A148,raw_lb[],COLUMN(O$1),FALSE)=0, VLOOKUP($D148, regions_lb[], COLUMN(O$1), FALSE), VLOOKUP($A148,raw_lb[],COLUMN(O$1),FALSE))</f>
        <v>0.7</v>
      </c>
      <c r="P148" s="68">
        <f>IF(VLOOKUP($A148,raw_lb[],COLUMN(P$1),FALSE)=0, VLOOKUP($D148, regions_lb[], COLUMN(P$1), FALSE), VLOOKUP($A148,raw_lb[],COLUMN(P$1),FALSE))</f>
        <v>0.05</v>
      </c>
      <c r="Q148" s="70">
        <f>IF(VLOOKUP($A148,raw_lb[],COLUMN(Q$1),FALSE)=0, VLOOKUP($D148, regions_lb[], COLUMN(Q$1), FALSE), VLOOKUP($A148,raw_lb[],COLUMN(Q$1),FALSE))</f>
        <v>1.9332944058277302</v>
      </c>
      <c r="R148" s="70">
        <f>IF(VLOOKUP($A148,raw_lb[],COLUMN(R$1),FALSE)=0, VLOOKUP($D148, regions_lb[], COLUMN(R$1), FALSE), VLOOKUP($A148,raw_lb[],COLUMN(R$1),FALSE))</f>
        <v>8.9941944058277308</v>
      </c>
      <c r="S148" s="70">
        <f>IF(VLOOKUP($A148,raw_lb[],COLUMN(S$1),FALSE)=0, VLOOKUP($D148, regions_lb[], COLUMN(S$1), FALSE), VLOOKUP($A148,raw_lb[],COLUMN(S$1),FALSE))</f>
        <v>49.183564058552783</v>
      </c>
      <c r="T148" s="70">
        <f>IF(VLOOKUP($A148,raw_lb[],COLUMN(U$1)-COLUMN($A$1),FALSE)=0, VLOOKUP($D148, regions_lb[], COLUMN(U$1)-COLUMN($A$1), FALSE), VLOOKUP($A148,raw_lb[],COLUMN(U$1)-COLUMN($A$1),FALSE))</f>
        <v>54.892737570739797</v>
      </c>
      <c r="U148" s="70">
        <f>IF(VLOOKUP($A148,raw_lb[],COLUMN(V$1)-COLUMN($A$1),FALSE)=0, VLOOKUP($D148, regions_lb[], COLUMN(V$1)-COLUMN($A$1), FALSE), VLOOKUP($A148,raw_lb[],COLUMN(V$1)-COLUMN($A$1),FALSE))</f>
        <v>52.27120577049795</v>
      </c>
      <c r="V148" s="70">
        <f>IF(VLOOKUP($A148,raw_lb[],COLUMN(W$1)-COLUMN($A$1),FALSE)=0, VLOOKUP($D148, regions_lb[], COLUMN(W$1)-COLUMN($A$1), FALSE), VLOOKUP($A148,raw_lb[],COLUMN(W$1)-COLUMN($A$1),FALSE))</f>
        <v>2.7345421285738865</v>
      </c>
      <c r="W148" s="70">
        <f>IF(VLOOKUP($A148,raw_lb[],COLUMN(X$1)-COLUMN($A$1),FALSE)=0, VLOOKUP($D148, regions_lb[], COLUMN(X$1)-COLUMN($A$1), FALSE), VLOOKUP($A148,raw_lb[],COLUMN(X$1)-COLUMN($A$1),FALSE))</f>
        <v>6.6010421285738872</v>
      </c>
      <c r="X148" s="70">
        <f>IF(VLOOKUP($A148,raw_lb[],COLUMN(Y$1)-COLUMN($A$1),FALSE)=0, VLOOKUP($D148, regions_lb[], COLUMN(Y$1)-COLUMN($A$1), FALSE), VLOOKUP($A148,raw_lb[],COLUMN(Y$1)-COLUMN($A$1),FALSE))</f>
        <v>2.2584078141937893</v>
      </c>
      <c r="Y148" s="70">
        <f>IF(VLOOKUP($A148,raw_lb[],COLUMN(Z$1)-COLUMN($A$1),FALSE)=0, VLOOKUP($D148, regions_lb[], COLUMN(Z$1)-COLUMN($A$1), FALSE), VLOOKUP($A148,raw_lb[],COLUMN(Z$1)-COLUMN($A$1),FALSE))</f>
        <v>6.12490781419379</v>
      </c>
      <c r="Z148" s="70">
        <f>IF(VLOOKUP($A148,raw_lb[],COLUMN(AA$1)-COLUMN($A$1),FALSE)=0, VLOOKUP($D148, regions_lb[], COLUMN(AA$1)-COLUMN($A$1), FALSE), VLOOKUP($A148,raw_lb[],COLUMN(AA$1)-COLUMN($A$1),FALSE))</f>
        <v>6.1196519798066014</v>
      </c>
      <c r="AA148" s="70">
        <f>IF(VLOOKUP($A148,raw_lb[],COLUMN(AB$1)-COLUMN($A$1),FALSE)=0, VLOOKUP($D148, regions_lb[], COLUMN(AB$1)-COLUMN($A$1), FALSE), VLOOKUP($A148,raw_lb[],COLUMN(AB$1)-COLUMN($A$1),FALSE))</f>
        <v>2.8945776161213601</v>
      </c>
      <c r="AB148" s="70">
        <f>IF(VLOOKUP($A148,raw_lb[],COLUMN(AC$1)-COLUMN($A$1),FALSE)=0, VLOOKUP($D148, regions_lb[], COLUMN(AC$1)-COLUMN($A$1), FALSE), VLOOKUP($A148,raw_lb[],COLUMN(AC$1)-COLUMN($A$1),FALSE))</f>
        <v>6.7610776161213604</v>
      </c>
      <c r="AC148" s="72">
        <f>IF(VLOOKUP($A148,raw_lb[],COLUMN(AD$1)-COLUMN($A$1),FALSE)=0, VLOOKUP($D148, regions_lb[], COLUMN(AD$1)-COLUMN($A$1), FALSE), VLOOKUP($A148,raw_lb[],COLUMN(AD$1)-COLUMN($A$1),FALSE))</f>
        <v>2.8176240000000398E-3</v>
      </c>
      <c r="AD148" s="72">
        <f>IF(VLOOKUP($A148,raw_lb[],COLUMN(AE$1)-COLUMN($A$1),FALSE)=0, VLOOKUP($D148, regions_lb[], COLUMN(AE$1)-COLUMN($A$1), FALSE), VLOOKUP($A148,raw_lb[],COLUMN(AE$1)-COLUMN($A$1),FALSE))</f>
        <v>2.0722298178614442E-4</v>
      </c>
      <c r="AE148" s="72">
        <f>IF(VLOOKUP($A148,raw_lb[],COLUMN(AF$1)-COLUMN($A$1),FALSE)=0, VLOOKUP($D148, regions_lb[], COLUMN(AF$1)-COLUMN($A$1), FALSE), VLOOKUP($A148,raw_lb[],COLUMN(AF$1)-COLUMN($A$1),FALSE))</f>
        <v>1.3176312357757262E-4</v>
      </c>
      <c r="AF148" s="72">
        <f>IF(VLOOKUP($A148,raw_lb[],COLUMN(AG$1)-COLUMN($A$1),FALSE)=0, VLOOKUP($D148, regions_lb[], COLUMN(AG$1)-COLUMN($A$1), FALSE), VLOOKUP($A148,raw_lb[],COLUMN(AG$1)-COLUMN($A$1),FALSE))</f>
        <v>1.2510179579699503E-4</v>
      </c>
      <c r="AG148" s="72">
        <f>IF(VLOOKUP($A148,raw_lb[],COLUMN(AH$1)-COLUMN($A$1),FALSE)=0, VLOOKUP($D148, regions_lb[], COLUMN(AH$1)-COLUMN($A$1), FALSE), VLOOKUP($A148,raw_lb[],COLUMN(AH$1)-COLUMN($A$1),FALSE))</f>
        <v>3.3411171031736948E-4</v>
      </c>
      <c r="AH148" s="72">
        <f>IF(VLOOKUP($A148,raw_lb[],COLUMN(AI$1)-COLUMN($A$1),FALSE)=0, VLOOKUP($D148, regions_lb[], COLUMN(AI$1)-COLUMN($A$1), FALSE), VLOOKUP($A148,raw_lb[],COLUMN(AI$1)-COLUMN($A$1),FALSE))</f>
        <v>5.6878976626486579E-4</v>
      </c>
      <c r="AI148" s="72">
        <f>IF(VLOOKUP($A148,raw_lb[],COLUMN(AJ$1)-COLUMN($A$1),FALSE)=0, VLOOKUP($D148, regions_lb[], COLUMN(AJ$1)-COLUMN($A$1), FALSE), VLOOKUP($A148,raw_lb[],COLUMN(AJ$1)-COLUMN($A$1),FALSE))</f>
        <v>8.3087419374707405E-4</v>
      </c>
      <c r="AJ148" s="72">
        <f>IF(VLOOKUP($A148,raw_lb[],COLUMN(AK$1)-COLUMN($A$1),FALSE)=0, VLOOKUP($D148, regions_lb[], COLUMN(AK$1)-COLUMN($A$1), FALSE), VLOOKUP($A148,raw_lb[],COLUMN(AK$1)-COLUMN($A$1),FALSE))</f>
        <v>1.3614323506074529E-3</v>
      </c>
      <c r="AK148" s="72">
        <f>IF(VLOOKUP($A148,raw_lb[],COLUMN(AL$1)-COLUMN($A$1),FALSE)=0, VLOOKUP($D148, regions_lb[], COLUMN(AL$1)-COLUMN($A$1), FALSE), VLOOKUP($A148,raw_lb[],COLUMN(AL$1)-COLUMN($A$1),FALSE))</f>
        <v>2.1797664411739043E-3</v>
      </c>
      <c r="AL148" s="72">
        <f>IF(VLOOKUP($A148,raw_lb[],COLUMN(AM$1)-COLUMN($A$1),FALSE)=0, VLOOKUP($D148, regions_lb[], COLUMN(AM$1)-COLUMN($A$1), FALSE), VLOOKUP($A148,raw_lb[],COLUMN(AM$1)-COLUMN($A$1),FALSE))</f>
        <v>3.149837719211868E-3</v>
      </c>
      <c r="AM148" s="72">
        <f>IF(VLOOKUP($A148,raw_lb[],COLUMN(AN$1)-COLUMN($A$1),FALSE)=0, VLOOKUP($D148, regions_lb[], COLUMN(AN$1)-COLUMN($A$1), FALSE), VLOOKUP($A148,raw_lb[],COLUMN(AN$1)-COLUMN($A$1),FALSE))</f>
        <v>4.7270393440345462E-3</v>
      </c>
      <c r="AN148" s="72">
        <f>IF(VLOOKUP($A148,raw_lb[],COLUMN(AO$1)-COLUMN($A$1),FALSE)=0, VLOOKUP($D148, regions_lb[], COLUMN(AO$1)-COLUMN($A$1), FALSE), VLOOKUP($A148,raw_lb[],COLUMN(AO$1)-COLUMN($A$1),FALSE))</f>
        <v>6.938605091791842E-3</v>
      </c>
      <c r="AO148" s="72">
        <f>IF(VLOOKUP($A148,raw_lb[],COLUMN(AP$1)-COLUMN($A$1),FALSE)=0, VLOOKUP($D148, regions_lb[], COLUMN(AP$1)-COLUMN($A$1), FALSE), VLOOKUP($A148,raw_lb[],COLUMN(AP$1)-COLUMN($A$1),FALSE))</f>
        <v>1.0322221054409138E-2</v>
      </c>
      <c r="AP148" s="72">
        <f>IF(VLOOKUP($A148,raw_lb[],COLUMN(AQ$1)-COLUMN($A$1),FALSE)=0, VLOOKUP($D148, regions_lb[], COLUMN(AQ$1)-COLUMN($A$1), FALSE), VLOOKUP($A148,raw_lb[],COLUMN(AQ$1)-COLUMN($A$1),FALSE))</f>
        <v>1.5614240723267865E-2</v>
      </c>
      <c r="AQ148" s="72">
        <f>IF(VLOOKUP($A148,raw_lb[],COLUMN(AR$1)-COLUMN($A$1),FALSE)=0, VLOOKUP($D148, regions_lb[], COLUMN(AR$1)-COLUMN($A$1), FALSE), VLOOKUP($A148,raw_lb[],COLUMN(AR$1)-COLUMN($A$1),FALSE))</f>
        <v>2.2008633497369683E-2</v>
      </c>
      <c r="AR148" s="72">
        <f>IF(VLOOKUP($A148,raw_lb[],COLUMN(AS$1)-COLUMN($A$1),FALSE)=0, VLOOKUP($D148, regions_lb[], COLUMN(AS$1)-COLUMN($A$1), FALSE), VLOOKUP($A148,raw_lb[],COLUMN(AS$1)-COLUMN($A$1),FALSE))</f>
        <v>3.161782668119225E-2</v>
      </c>
      <c r="AS148" s="82">
        <f>IF(VLOOKUP($A148,raw_lb[],COLUMN(AS$1),FALSE)=0, VLOOKUP($D148, regions_lb[], COLUMN(AS$1), FALSE), VLOOKUP($A148,raw_lb[],COLUMN(AS$1),FALSE))</f>
        <v>4.7810987820282209E-2</v>
      </c>
      <c r="AT148" s="82">
        <f>IF(VLOOKUP($A148,raw_lb[],COLUMN(AT$1),FALSE)=0, VLOOKUP($D148, regions_lb[], COLUMN(AT$1), FALSE), VLOOKUP($A148,raw_lb[],COLUMN(AT$1),FALSE))</f>
        <v>7.349030466836047E-2</v>
      </c>
      <c r="AU148" s="82">
        <f>IF(VLOOKUP($A148,raw_lb[],COLUMN(AU$1),FALSE)=0, VLOOKUP($D148, regions_lb[], COLUMN(AU$1), FALSE), VLOOKUP($A148,raw_lb[],COLUMN(AU$1),FALSE))</f>
        <v>0.10427226691314793</v>
      </c>
      <c r="AV148" s="82">
        <f>IF(VLOOKUP($A148,raw_lb[],COLUMN(AV$1),FALSE)=0, VLOOKUP($D148, regions_lb[], COLUMN(AV$1), FALSE), VLOOKUP($A148,raw_lb[],COLUMN(AV$1),FALSE))</f>
        <v>0.13805827750168115</v>
      </c>
      <c r="AW148" s="82">
        <f>IF(VLOOKUP($A148,raw_lb[],COLUMN(AW$1),FALSE)=0, VLOOKUP($D148, regions_lb[], COLUMN(AW$1), FALSE), VLOOKUP($A148,raw_lb[],COLUMN(AW$1),FALSE))</f>
        <v>0.16340325326333346</v>
      </c>
      <c r="AX148" s="82">
        <f>IF(VLOOKUP($A148,raw_lb[],COLUMN(AX$1),FALSE)=0, VLOOKUP($D148, regions_lb[], COLUMN(AX$1), FALSE), VLOOKUP($A148,raw_lb[],COLUMN(AX$1),FALSE))</f>
        <v>70.765499999999989</v>
      </c>
      <c r="AY148" t="str">
        <f t="shared" si="5"/>
        <v>No</v>
      </c>
    </row>
    <row r="149" spans="1:51" x14ac:dyDescent="0.25">
      <c r="A149" s="55" t="s">
        <v>230</v>
      </c>
      <c r="B149" s="56" t="s">
        <v>231</v>
      </c>
      <c r="C149" s="56">
        <v>84</v>
      </c>
      <c r="D149" s="56" t="s">
        <v>215</v>
      </c>
      <c r="E149" s="56" t="s">
        <v>232</v>
      </c>
      <c r="F149" s="56" t="s">
        <v>217</v>
      </c>
      <c r="G149" s="56" t="s">
        <v>204</v>
      </c>
      <c r="H149" s="74"/>
      <c r="I149" s="74"/>
      <c r="J149" s="67">
        <f>IF(VLOOKUP($A149,raw_lb[],COLUMN(J$1),FALSE)=0, VLOOKUP($D149, regions_lb[], COLUMN(J$1), FALSE), VLOOKUP($A149,raw_lb[],COLUMN(J$1),FALSE))</f>
        <v>0.91580000000000006</v>
      </c>
      <c r="K149" s="77">
        <f>VLOOKUP($A149, raw_lb[], 11, FALSE)</f>
        <v>0.63649999999999995</v>
      </c>
      <c r="L149" s="77">
        <f>VLOOKUP($A149, raw_lb[], 12, FALSE)</f>
        <v>0.75049999999999994</v>
      </c>
      <c r="M149" s="77">
        <f>IF(VLOOKUP($A149,raw_lb[],COLUMN(M$1),FALSE)=0, VLOOKUP($D149, regions_lb[], COLUMN(M$1), FALSE), VLOOKUP($A149,raw_lb[],COLUMN(M$1),FALSE))</f>
        <v>2.7099999999999999E-2</v>
      </c>
      <c r="N149" s="68">
        <f>IF(VLOOKUP($A149,raw_lb[],COLUMN(N$1),FALSE)=0, VLOOKUP($D149, regions_lb[], COLUMN(N$1), FALSE), VLOOKUP($A149,raw_lb[],COLUMN(N$1),FALSE))</f>
        <v>0.16309999999999999</v>
      </c>
      <c r="O149" s="67">
        <f>IF(VLOOKUP($A149,raw_lb[],COLUMN(O$1),FALSE)=0, VLOOKUP($D149, regions_lb[], COLUMN(O$1), FALSE), VLOOKUP($A149,raw_lb[],COLUMN(O$1),FALSE))</f>
        <v>0.7</v>
      </c>
      <c r="P149" s="68">
        <f>IF(VLOOKUP($A149,raw_lb[],COLUMN(P$1),FALSE)=0, VLOOKUP($D149, regions_lb[], COLUMN(P$1), FALSE), VLOOKUP($A149,raw_lb[],COLUMN(P$1),FALSE))</f>
        <v>0.05</v>
      </c>
      <c r="Q149" s="70">
        <f>IF(VLOOKUP($A149,raw_lb[],COLUMN(Q$1),FALSE)=0, VLOOKUP($D149, regions_lb[], COLUMN(Q$1), FALSE), VLOOKUP($A149,raw_lb[],COLUMN(Q$1),FALSE))</f>
        <v>1.69011526179854</v>
      </c>
      <c r="R149" s="70">
        <f>IF(VLOOKUP($A149,raw_lb[],COLUMN(R$1),FALSE)=0, VLOOKUP($D149, regions_lb[], COLUMN(R$1), FALSE), VLOOKUP($A149,raw_lb[],COLUMN(R$1),FALSE))</f>
        <v>8.7510152617985408</v>
      </c>
      <c r="S149" s="70">
        <f>IF(VLOOKUP($A149,raw_lb[],COLUMN(S$1),FALSE)=0, VLOOKUP($D149, regions_lb[], COLUMN(S$1), FALSE), VLOOKUP($A149,raw_lb[],COLUMN(S$1),FALSE))</f>
        <v>45.94781629562182</v>
      </c>
      <c r="T149" s="70">
        <f>IF(VLOOKUP($A149,raw_lb[],COLUMN(U$1)-COLUMN($A$1),FALSE)=0, VLOOKUP($D149, regions_lb[], COLUMN(U$1)-COLUMN($A$1), FALSE), VLOOKUP($A149,raw_lb[],COLUMN(U$1)-COLUMN($A$1),FALSE))</f>
        <v>50.099462435377568</v>
      </c>
      <c r="U149" s="70">
        <f>IF(VLOOKUP($A149,raw_lb[],COLUMN(V$1)-COLUMN($A$1),FALSE)=0, VLOOKUP($D149, regions_lb[], COLUMN(V$1)-COLUMN($A$1), FALSE), VLOOKUP($A149,raw_lb[],COLUMN(V$1)-COLUMN($A$1),FALSE))</f>
        <v>48.193114282621607</v>
      </c>
      <c r="V149" s="70">
        <f>IF(VLOOKUP($A149,raw_lb[],COLUMN(W$1)-COLUMN($A$1),FALSE)=0, VLOOKUP($D149, regions_lb[], COLUMN(W$1)-COLUMN($A$1), FALSE), VLOOKUP($A149,raw_lb[],COLUMN(W$1)-COLUMN($A$1),FALSE))</f>
        <v>4.3157170079321165</v>
      </c>
      <c r="W149" s="70">
        <f>IF(VLOOKUP($A149,raw_lb[],COLUMN(X$1)-COLUMN($A$1),FALSE)=0, VLOOKUP($D149, regions_lb[], COLUMN(X$1)-COLUMN($A$1), FALSE), VLOOKUP($A149,raw_lb[],COLUMN(X$1)-COLUMN($A$1),FALSE))</f>
        <v>4.3347170079321167</v>
      </c>
      <c r="X149" s="70">
        <f>IF(VLOOKUP($A149,raw_lb[],COLUMN(Y$1)-COLUMN($A$1),FALSE)=0, VLOOKUP($D149, regions_lb[], COLUMN(Y$1)-COLUMN($A$1), FALSE), VLOOKUP($A149,raw_lb[],COLUMN(Y$1)-COLUMN($A$1),FALSE))</f>
        <v>3.8377886844045128</v>
      </c>
      <c r="Y149" s="70">
        <f>IF(VLOOKUP($A149,raw_lb[],COLUMN(Z$1)-COLUMN($A$1),FALSE)=0, VLOOKUP($D149, regions_lb[], COLUMN(Z$1)-COLUMN($A$1), FALSE), VLOOKUP($A149,raw_lb[],COLUMN(Z$1)-COLUMN($A$1),FALSE))</f>
        <v>3.8567886844045129</v>
      </c>
      <c r="Z149" s="70">
        <f>IF(VLOOKUP($A149,raw_lb[],COLUMN(AA$1)-COLUMN($A$1),FALSE)=0, VLOOKUP($D149, regions_lb[], COLUMN(AA$1)-COLUMN($A$1), FALSE), VLOOKUP($A149,raw_lb[],COLUMN(AA$1)-COLUMN($A$1),FALSE))</f>
        <v>3.8501466981628818</v>
      </c>
      <c r="AA149" s="70">
        <f>IF(VLOOKUP($A149,raw_lb[],COLUMN(AB$1)-COLUMN($A$1),FALSE)=0, VLOOKUP($D149, regions_lb[], COLUMN(AB$1)-COLUMN($A$1), FALSE), VLOOKUP($A149,raw_lb[],COLUMN(AB$1)-COLUMN($A$1),FALSE))</f>
        <v>4.4812882951347541</v>
      </c>
      <c r="AB149" s="70">
        <f>IF(VLOOKUP($A149,raw_lb[],COLUMN(AC$1)-COLUMN($A$1),FALSE)=0, VLOOKUP($D149, regions_lb[], COLUMN(AC$1)-COLUMN($A$1), FALSE), VLOOKUP($A149,raw_lb[],COLUMN(AC$1)-COLUMN($A$1),FALSE))</f>
        <v>4.5002882951347543</v>
      </c>
      <c r="AC149" s="72">
        <f>IF(VLOOKUP($A149,raw_lb[],COLUMN(AD$1)-COLUMN($A$1),FALSE)=0, VLOOKUP($D149, regions_lb[], COLUMN(AD$1)-COLUMN($A$1), FALSE), VLOOKUP($A149,raw_lb[],COLUMN(AD$1)-COLUMN($A$1),FALSE))</f>
        <v>1.2175266500000033E-2</v>
      </c>
      <c r="AD149" s="72">
        <f>IF(VLOOKUP($A149,raw_lb[],COLUMN(AE$1)-COLUMN($A$1),FALSE)=0, VLOOKUP($D149, regions_lb[], COLUMN(AE$1)-COLUMN($A$1), FALSE), VLOOKUP($A149,raw_lb[],COLUMN(AE$1)-COLUMN($A$1),FALSE))</f>
        <v>5.0197471812570634E-4</v>
      </c>
      <c r="AE149" s="72">
        <f>IF(VLOOKUP($A149,raw_lb[],COLUMN(AF$1)-COLUMN($A$1),FALSE)=0, VLOOKUP($D149, regions_lb[], COLUMN(AF$1)-COLUMN($A$1), FALSE), VLOOKUP($A149,raw_lb[],COLUMN(AF$1)-COLUMN($A$1),FALSE))</f>
        <v>2.8911474990738173E-4</v>
      </c>
      <c r="AF149" s="72">
        <f>IF(VLOOKUP($A149,raw_lb[],COLUMN(AG$1)-COLUMN($A$1),FALSE)=0, VLOOKUP($D149, regions_lb[], COLUMN(AG$1)-COLUMN($A$1), FALSE), VLOOKUP($A149,raw_lb[],COLUMN(AG$1)-COLUMN($A$1),FALSE))</f>
        <v>3.1359707496900972E-4</v>
      </c>
      <c r="AG149" s="72">
        <f>IF(VLOOKUP($A149,raw_lb[],COLUMN(AH$1)-COLUMN($A$1),FALSE)=0, VLOOKUP($D149, regions_lb[], COLUMN(AH$1)-COLUMN($A$1), FALSE), VLOOKUP($A149,raw_lb[],COLUMN(AH$1)-COLUMN($A$1),FALSE))</f>
        <v>9.4370099149770556E-4</v>
      </c>
      <c r="AH149" s="72">
        <f>IF(VLOOKUP($A149,raw_lb[],COLUMN(AI$1)-COLUMN($A$1),FALSE)=0, VLOOKUP($D149, regions_lb[], COLUMN(AI$1)-COLUMN($A$1), FALSE), VLOOKUP($A149,raw_lb[],COLUMN(AI$1)-COLUMN($A$1),FALSE))</f>
        <v>1.4805023080087254E-3</v>
      </c>
      <c r="AI149" s="72">
        <f>IF(VLOOKUP($A149,raw_lb[],COLUMN(AJ$1)-COLUMN($A$1),FALSE)=0, VLOOKUP($D149, regions_lb[], COLUMN(AJ$1)-COLUMN($A$1), FALSE), VLOOKUP($A149,raw_lb[],COLUMN(AJ$1)-COLUMN($A$1),FALSE))</f>
        <v>2.2121871134670673E-3</v>
      </c>
      <c r="AJ149" s="72">
        <f>IF(VLOOKUP($A149,raw_lb[],COLUMN(AK$1)-COLUMN($A$1),FALSE)=0, VLOOKUP($D149, regions_lb[], COLUMN(AK$1)-COLUMN($A$1), FALSE), VLOOKUP($A149,raw_lb[],COLUMN(AK$1)-COLUMN($A$1),FALSE))</f>
        <v>2.6137435833212606E-3</v>
      </c>
      <c r="AK149" s="72">
        <f>IF(VLOOKUP($A149,raw_lb[],COLUMN(AL$1)-COLUMN($A$1),FALSE)=0, VLOOKUP($D149, regions_lb[], COLUMN(AL$1)-COLUMN($A$1), FALSE), VLOOKUP($A149,raw_lb[],COLUMN(AL$1)-COLUMN($A$1),FALSE))</f>
        <v>2.7236747556477494E-3</v>
      </c>
      <c r="AL149" s="72">
        <f>IF(VLOOKUP($A149,raw_lb[],COLUMN(AM$1)-COLUMN($A$1),FALSE)=0, VLOOKUP($D149, regions_lb[], COLUMN(AM$1)-COLUMN($A$1), FALSE), VLOOKUP($A149,raw_lb[],COLUMN(AM$1)-COLUMN($A$1),FALSE))</f>
        <v>3.3395115389218749E-3</v>
      </c>
      <c r="AM149" s="72">
        <f>IF(VLOOKUP($A149,raw_lb[],COLUMN(AN$1)-COLUMN($A$1),FALSE)=0, VLOOKUP($D149, regions_lb[], COLUMN(AN$1)-COLUMN($A$1), FALSE), VLOOKUP($A149,raw_lb[],COLUMN(AN$1)-COLUMN($A$1),FALSE))</f>
        <v>4.6025046726243168E-3</v>
      </c>
      <c r="AN149" s="72">
        <f>IF(VLOOKUP($A149,raw_lb[],COLUMN(AO$1)-COLUMN($A$1),FALSE)=0, VLOOKUP($D149, regions_lb[], COLUMN(AO$1)-COLUMN($A$1), FALSE), VLOOKUP($A149,raw_lb[],COLUMN(AO$1)-COLUMN($A$1),FALSE))</f>
        <v>6.3856309653817752E-3</v>
      </c>
      <c r="AO149" s="72">
        <f>IF(VLOOKUP($A149,raw_lb[],COLUMN(AP$1)-COLUMN($A$1),FALSE)=0, VLOOKUP($D149, regions_lb[], COLUMN(AP$1)-COLUMN($A$1), FALSE), VLOOKUP($A149,raw_lb[],COLUMN(AP$1)-COLUMN($A$1),FALSE))</f>
        <v>1.0048965085874698E-2</v>
      </c>
      <c r="AP149" s="72">
        <f>IF(VLOOKUP($A149,raw_lb[],COLUMN(AQ$1)-COLUMN($A$1),FALSE)=0, VLOOKUP($D149, regions_lb[], COLUMN(AQ$1)-COLUMN($A$1), FALSE), VLOOKUP($A149,raw_lb[],COLUMN(AQ$1)-COLUMN($A$1),FALSE))</f>
        <v>1.3381747843825873E-2</v>
      </c>
      <c r="AQ149" s="72">
        <f>IF(VLOOKUP($A149,raw_lb[],COLUMN(AR$1)-COLUMN($A$1),FALSE)=0, VLOOKUP($D149, regions_lb[], COLUMN(AR$1)-COLUMN($A$1), FALSE), VLOOKUP($A149,raw_lb[],COLUMN(AR$1)-COLUMN($A$1),FALSE))</f>
        <v>1.8075578910110829E-2</v>
      </c>
      <c r="AR149" s="72">
        <f>IF(VLOOKUP($A149,raw_lb[],COLUMN(AS$1)-COLUMN($A$1),FALSE)=0, VLOOKUP($D149, regions_lb[], COLUMN(AS$1)-COLUMN($A$1), FALSE), VLOOKUP($A149,raw_lb[],COLUMN(AS$1)-COLUMN($A$1),FALSE))</f>
        <v>2.5224479044451999E-2</v>
      </c>
      <c r="AS149" s="82">
        <f>IF(VLOOKUP($A149,raw_lb[],COLUMN(AS$1),FALSE)=0, VLOOKUP($D149, regions_lb[], COLUMN(AS$1), FALSE), VLOOKUP($A149,raw_lb[],COLUMN(AS$1),FALSE))</f>
        <v>3.6736667093888217E-2</v>
      </c>
      <c r="AT149" s="82">
        <f>IF(VLOOKUP($A149,raw_lb[],COLUMN(AT$1),FALSE)=0, VLOOKUP($D149, regions_lb[], COLUMN(AT$1), FALSE), VLOOKUP($A149,raw_lb[],COLUMN(AT$1),FALSE))</f>
        <v>5.8129694248748552E-2</v>
      </c>
      <c r="AU149" s="82">
        <f>IF(VLOOKUP($A149,raw_lb[],COLUMN(AU$1),FALSE)=0, VLOOKUP($D149, regions_lb[], COLUMN(AU$1), FALSE), VLOOKUP($A149,raw_lb[],COLUMN(AU$1),FALSE))</f>
        <v>8.0996679050755874E-2</v>
      </c>
      <c r="AV149" s="82">
        <f>IF(VLOOKUP($A149,raw_lb[],COLUMN(AV$1),FALSE)=0, VLOOKUP($D149, regions_lb[], COLUMN(AV$1), FALSE), VLOOKUP($A149,raw_lb[],COLUMN(AV$1),FALSE))</f>
        <v>0.10390891448629154</v>
      </c>
      <c r="AW149" s="82">
        <f>IF(VLOOKUP($A149,raw_lb[],COLUMN(AW$1),FALSE)=0, VLOOKUP($D149, regions_lb[], COLUMN(AW$1), FALSE), VLOOKUP($A149,raw_lb[],COLUMN(AW$1),FALSE))</f>
        <v>0.14356974935585201</v>
      </c>
      <c r="AX149" s="82">
        <f>IF(VLOOKUP($A149,raw_lb[],COLUMN(AX$1),FALSE)=0, VLOOKUP($D149, regions_lb[], COLUMN(AX$1), FALSE), VLOOKUP($A149,raw_lb[],COLUMN(AX$1),FALSE))</f>
        <v>70.651499999999999</v>
      </c>
      <c r="AY149" t="str">
        <f t="shared" si="5"/>
        <v>No</v>
      </c>
    </row>
    <row r="150" spans="1:51" x14ac:dyDescent="0.25">
      <c r="A150" s="53" t="s">
        <v>233</v>
      </c>
      <c r="B150" s="54" t="s">
        <v>234</v>
      </c>
      <c r="C150" s="54">
        <v>204</v>
      </c>
      <c r="D150" s="54" t="s">
        <v>207</v>
      </c>
      <c r="E150" s="54" t="s">
        <v>235</v>
      </c>
      <c r="F150" s="54" t="s">
        <v>211</v>
      </c>
      <c r="G150" s="54" t="s">
        <v>198</v>
      </c>
      <c r="H150" s="73"/>
      <c r="I150" s="73"/>
      <c r="J150" s="67">
        <f>IF(VLOOKUP($A150,raw_lb[],COLUMN(J$1),FALSE)=0, VLOOKUP($D150, regions_lb[], COLUMN(J$1), FALSE), VLOOKUP($A150,raw_lb[],COLUMN(J$1),FALSE))</f>
        <v>0.79705000000000004</v>
      </c>
      <c r="K150" s="77">
        <f>VLOOKUP($A150, raw_lb[], 11, FALSE)</f>
        <v>0.19949999999999998</v>
      </c>
      <c r="L150" s="77">
        <f>VLOOKUP($A150, raw_lb[], 12, FALSE)</f>
        <v>0.68399999999999994</v>
      </c>
      <c r="M150" s="77">
        <f>IF(VLOOKUP($A150,raw_lb[],COLUMN(M$1),FALSE)=0, VLOOKUP($D150, regions_lb[], COLUMN(M$1), FALSE), VLOOKUP($A150,raw_lb[],COLUMN(M$1),FALSE))</f>
        <v>8.2400000000000001E-2</v>
      </c>
      <c r="N150" s="68">
        <f>IF(VLOOKUP($A150,raw_lb[],COLUMN(N$1),FALSE)=0, VLOOKUP($D150, regions_lb[], COLUMN(N$1), FALSE), VLOOKUP($A150,raw_lb[],COLUMN(N$1),FALSE))</f>
        <v>0.155</v>
      </c>
      <c r="O150" s="67">
        <f>IF(VLOOKUP($A150,raw_lb[],COLUMN(O$1),FALSE)=0, VLOOKUP($D150, regions_lb[], COLUMN(O$1), FALSE), VLOOKUP($A150,raw_lb[],COLUMN(O$1),FALSE))</f>
        <v>7.0000000000000007E-2</v>
      </c>
      <c r="P150" s="68">
        <f>IF(VLOOKUP($A150,raw_lb[],COLUMN(P$1),FALSE)=0, VLOOKUP($D150, regions_lb[], COLUMN(P$1), FALSE), VLOOKUP($A150,raw_lb[],COLUMN(P$1),FALSE))</f>
        <v>1E-3</v>
      </c>
      <c r="Q150" s="70">
        <f>IF(VLOOKUP($A150,raw_lb[],COLUMN(Q$1),FALSE)=0, VLOOKUP($D150, regions_lb[], COLUMN(Q$1), FALSE), VLOOKUP($A150,raw_lb[],COLUMN(Q$1),FALSE))</f>
        <v>0.73479023034154101</v>
      </c>
      <c r="R150" s="70">
        <f>IF(VLOOKUP($A150,raw_lb[],COLUMN(R$1),FALSE)=0, VLOOKUP($D150, regions_lb[], COLUMN(R$1), FALSE), VLOOKUP($A150,raw_lb[],COLUMN(R$1),FALSE))</f>
        <v>7.7956902303415418</v>
      </c>
      <c r="S150" s="70">
        <f>IF(VLOOKUP($A150,raw_lb[],COLUMN(S$1),FALSE)=0, VLOOKUP($D150, regions_lb[], COLUMN(S$1), FALSE), VLOOKUP($A150,raw_lb[],COLUMN(S$1),FALSE))</f>
        <v>37.815178761770213</v>
      </c>
      <c r="T150" s="70">
        <f>IF(VLOOKUP($A150,raw_lb[],COLUMN(U$1)-COLUMN($A$1),FALSE)=0, VLOOKUP($D150, regions_lb[], COLUMN(U$1)-COLUMN($A$1), FALSE), VLOOKUP($A150,raw_lb[],COLUMN(U$1)-COLUMN($A$1),FALSE))</f>
        <v>38.231284599337279</v>
      </c>
      <c r="U150" s="70">
        <f>IF(VLOOKUP($A150,raw_lb[],COLUMN(V$1)-COLUMN($A$1),FALSE)=0, VLOOKUP($D150, regions_lb[], COLUMN(V$1)-COLUMN($A$1), FALSE), VLOOKUP($A150,raw_lb[],COLUMN(V$1)-COLUMN($A$1),FALSE))</f>
        <v>38.040217594083401</v>
      </c>
      <c r="V150" s="70">
        <f>IF(VLOOKUP($A150,raw_lb[],COLUMN(W$1)-COLUMN($A$1),FALSE)=0, VLOOKUP($D150, regions_lb[], COLUMN(W$1)-COLUMN($A$1), FALSE), VLOOKUP($A150,raw_lb[],COLUMN(W$1)-COLUMN($A$1),FALSE))</f>
        <v>1.0112264048610744</v>
      </c>
      <c r="W150" s="70">
        <f>IF(VLOOKUP($A150,raw_lb[],COLUMN(X$1)-COLUMN($A$1),FALSE)=0, VLOOKUP($D150, regions_lb[], COLUMN(X$1)-COLUMN($A$1), FALSE), VLOOKUP($A150,raw_lb[],COLUMN(X$1)-COLUMN($A$1),FALSE))</f>
        <v>5.599726404861074</v>
      </c>
      <c r="X150" s="70">
        <f>IF(VLOOKUP($A150,raw_lb[],COLUMN(Y$1)-COLUMN($A$1),FALSE)=0, VLOOKUP($D150, regions_lb[], COLUMN(Y$1)-COLUMN($A$1), FALSE), VLOOKUP($A150,raw_lb[],COLUMN(Y$1)-COLUMN($A$1),FALSE))</f>
        <v>0.5402472708333117</v>
      </c>
      <c r="Y150" s="70">
        <f>IF(VLOOKUP($A150,raw_lb[],COLUMN(Z$1)-COLUMN($A$1),FALSE)=0, VLOOKUP($D150, regions_lb[], COLUMN(Z$1)-COLUMN($A$1), FALSE), VLOOKUP($A150,raw_lb[],COLUMN(Z$1)-COLUMN($A$1),FALSE))</f>
        <v>5.1287472708333119</v>
      </c>
      <c r="Z150" s="70">
        <f>IF(VLOOKUP($A150,raw_lb[],COLUMN(AA$1)-COLUMN($A$1),FALSE)=0, VLOOKUP($D150, regions_lb[], COLUMN(AA$1)-COLUMN($A$1), FALSE), VLOOKUP($A150,raw_lb[],COLUMN(AA$1)-COLUMN($A$1),FALSE))</f>
        <v>5.1268028166151005</v>
      </c>
      <c r="AA150" s="70">
        <f>IF(VLOOKUP($A150,raw_lb[],COLUMN(AB$1)-COLUMN($A$1),FALSE)=0, VLOOKUP($D150, regions_lb[], COLUMN(AB$1)-COLUMN($A$1), FALSE), VLOOKUP($A150,raw_lb[],COLUMN(AB$1)-COLUMN($A$1),FALSE))</f>
        <v>1.1553544787499166</v>
      </c>
      <c r="AB150" s="70">
        <f>IF(VLOOKUP($A150,raw_lb[],COLUMN(AC$1)-COLUMN($A$1),FALSE)=0, VLOOKUP($D150, regions_lb[], COLUMN(AC$1)-COLUMN($A$1), FALSE), VLOOKUP($A150,raw_lb[],COLUMN(AC$1)-COLUMN($A$1),FALSE))</f>
        <v>5.7438544787499168</v>
      </c>
      <c r="AC150" s="72">
        <f>IF(VLOOKUP($A150,raw_lb[],COLUMN(AD$1)-COLUMN($A$1),FALSE)=0, VLOOKUP($D150, regions_lb[], COLUMN(AD$1)-COLUMN($A$1), FALSE), VLOOKUP($A150,raw_lb[],COLUMN(AD$1)-COLUMN($A$1),FALSE))</f>
        <v>5.8106702499999954E-2</v>
      </c>
      <c r="AD150" s="72">
        <f>IF(VLOOKUP($A150,raw_lb[],COLUMN(AE$1)-COLUMN($A$1),FALSE)=0, VLOOKUP($D150, regions_lb[], COLUMN(AE$1)-COLUMN($A$1), FALSE), VLOOKUP($A150,raw_lb[],COLUMN(AE$1)-COLUMN($A$1),FALSE))</f>
        <v>8.7324917992782809E-3</v>
      </c>
      <c r="AE150" s="72">
        <f>IF(VLOOKUP($A150,raw_lb[],COLUMN(AF$1)-COLUMN($A$1),FALSE)=0, VLOOKUP($D150, regions_lb[], COLUMN(AF$1)-COLUMN($A$1), FALSE), VLOOKUP($A150,raw_lb[],COLUMN(AF$1)-COLUMN($A$1),FALSE))</f>
        <v>2.9416631759973957E-3</v>
      </c>
      <c r="AF150" s="72">
        <f>IF(VLOOKUP($A150,raw_lb[],COLUMN(AG$1)-COLUMN($A$1),FALSE)=0, VLOOKUP($D150, regions_lb[], COLUMN(AG$1)-COLUMN($A$1), FALSE), VLOOKUP($A150,raw_lb[],COLUMN(AG$1)-COLUMN($A$1),FALSE))</f>
        <v>1.740807257803104E-3</v>
      </c>
      <c r="AG150" s="72">
        <f>IF(VLOOKUP($A150,raw_lb[],COLUMN(AH$1)-COLUMN($A$1),FALSE)=0, VLOOKUP($D150, regions_lb[], COLUMN(AH$1)-COLUMN($A$1), FALSE), VLOOKUP($A150,raw_lb[],COLUMN(AH$1)-COLUMN($A$1),FALSE))</f>
        <v>2.3401131136008384E-3</v>
      </c>
      <c r="AH150" s="72">
        <f>IF(VLOOKUP($A150,raw_lb[],COLUMN(AI$1)-COLUMN($A$1),FALSE)=0, VLOOKUP($D150, regions_lb[], COLUMN(AI$1)-COLUMN($A$1), FALSE), VLOOKUP($A150,raw_lb[],COLUMN(AI$1)-COLUMN($A$1),FALSE))</f>
        <v>3.167586872471438E-3</v>
      </c>
      <c r="AI150" s="72">
        <f>IF(VLOOKUP($A150,raw_lb[],COLUMN(AJ$1)-COLUMN($A$1),FALSE)=0, VLOOKUP($D150, regions_lb[], COLUMN(AJ$1)-COLUMN($A$1), FALSE), VLOOKUP($A150,raw_lb[],COLUMN(AJ$1)-COLUMN($A$1),FALSE))</f>
        <v>3.4819964105745685E-3</v>
      </c>
      <c r="AJ150" s="72">
        <f>IF(VLOOKUP($A150,raw_lb[],COLUMN(AK$1)-COLUMN($A$1),FALSE)=0, VLOOKUP($D150, regions_lb[], COLUMN(AK$1)-COLUMN($A$1), FALSE), VLOOKUP($A150,raw_lb[],COLUMN(AK$1)-COLUMN($A$1),FALSE))</f>
        <v>3.8422382167263005E-3</v>
      </c>
      <c r="AK150" s="72">
        <f>IF(VLOOKUP($A150,raw_lb[],COLUMN(AL$1)-COLUMN($A$1),FALSE)=0, VLOOKUP($D150, regions_lb[], COLUMN(AL$1)-COLUMN($A$1), FALSE), VLOOKUP($A150,raw_lb[],COLUMN(AL$1)-COLUMN($A$1),FALSE))</f>
        <v>4.3778228401940341E-3</v>
      </c>
      <c r="AL150" s="72">
        <f>IF(VLOOKUP($A150,raw_lb[],COLUMN(AM$1)-COLUMN($A$1),FALSE)=0, VLOOKUP($D150, regions_lb[], COLUMN(AM$1)-COLUMN($A$1), FALSE), VLOOKUP($A150,raw_lb[],COLUMN(AM$1)-COLUMN($A$1),FALSE))</f>
        <v>5.4099829136548096E-3</v>
      </c>
      <c r="AM150" s="72">
        <f>IF(VLOOKUP($A150,raw_lb[],COLUMN(AN$1)-COLUMN($A$1),FALSE)=0, VLOOKUP($D150, regions_lb[], COLUMN(AN$1)-COLUMN($A$1), FALSE), VLOOKUP($A150,raw_lb[],COLUMN(AN$1)-COLUMN($A$1),FALSE))</f>
        <v>6.5723699295530914E-3</v>
      </c>
      <c r="AN150" s="72">
        <f>IF(VLOOKUP($A150,raw_lb[],COLUMN(AO$1)-COLUMN($A$1),FALSE)=0, VLOOKUP($D150, regions_lb[], COLUMN(AO$1)-COLUMN($A$1), FALSE), VLOOKUP($A150,raw_lb[],COLUMN(AO$1)-COLUMN($A$1),FALSE))</f>
        <v>9.1378258815910992E-3</v>
      </c>
      <c r="AO150" s="72">
        <f>IF(VLOOKUP($A150,raw_lb[],COLUMN(AP$1)-COLUMN($A$1),FALSE)=0, VLOOKUP($D150, regions_lb[], COLUMN(AP$1)-COLUMN($A$1), FALSE), VLOOKUP($A150,raw_lb[],COLUMN(AP$1)-COLUMN($A$1),FALSE))</f>
        <v>1.222131611364697E-2</v>
      </c>
      <c r="AP150" s="72">
        <f>IF(VLOOKUP($A150,raw_lb[],COLUMN(AQ$1)-COLUMN($A$1),FALSE)=0, VLOOKUP($D150, regions_lb[], COLUMN(AQ$1)-COLUMN($A$1), FALSE), VLOOKUP($A150,raw_lb[],COLUMN(AQ$1)-COLUMN($A$1),FALSE))</f>
        <v>1.8373125188166646E-2</v>
      </c>
      <c r="AQ150" s="72">
        <f>IF(VLOOKUP($A150,raw_lb[],COLUMN(AR$1)-COLUMN($A$1),FALSE)=0, VLOOKUP($D150, regions_lb[], COLUMN(AR$1)-COLUMN($A$1), FALSE), VLOOKUP($A150,raw_lb[],COLUMN(AR$1)-COLUMN($A$1),FALSE))</f>
        <v>2.8009476073596461E-2</v>
      </c>
      <c r="AR150" s="72">
        <f>IF(VLOOKUP($A150,raw_lb[],COLUMN(AS$1)-COLUMN($A$1),FALSE)=0, VLOOKUP($D150, regions_lb[], COLUMN(AS$1)-COLUMN($A$1), FALSE), VLOOKUP($A150,raw_lb[],COLUMN(AS$1)-COLUMN($A$1),FALSE))</f>
        <v>4.2988637149515362E-2</v>
      </c>
      <c r="AS150" s="82">
        <f>IF(VLOOKUP($A150,raw_lb[],COLUMN(AS$1),FALSE)=0, VLOOKUP($D150, regions_lb[], COLUMN(AS$1), FALSE), VLOOKUP($A150,raw_lb[],COLUMN(AS$1),FALSE))</f>
        <v>6.4353521784876133E-2</v>
      </c>
      <c r="AT150" s="82">
        <f>IF(VLOOKUP($A150,raw_lb[],COLUMN(AT$1),FALSE)=0, VLOOKUP($D150, regions_lb[], COLUMN(AT$1), FALSE), VLOOKUP($A150,raw_lb[],COLUMN(AT$1),FALSE))</f>
        <v>9.2687393607720533E-2</v>
      </c>
      <c r="AU150" s="82">
        <f>IF(VLOOKUP($A150,raw_lb[],COLUMN(AU$1),FALSE)=0, VLOOKUP($D150, regions_lb[], COLUMN(AU$1), FALSE), VLOOKUP($A150,raw_lb[],COLUMN(AU$1),FALSE))</f>
        <v>0.12306702086755865</v>
      </c>
      <c r="AV150" s="82">
        <f>IF(VLOOKUP($A150,raw_lb[],COLUMN(AV$1),FALSE)=0, VLOOKUP($D150, regions_lb[], COLUMN(AV$1), FALSE), VLOOKUP($A150,raw_lb[],COLUMN(AV$1),FALSE))</f>
        <v>0.14953303490317804</v>
      </c>
      <c r="AW150" s="82">
        <f>IF(VLOOKUP($A150,raw_lb[],COLUMN(AW$1),FALSE)=0, VLOOKUP($D150, regions_lb[], COLUMN(AW$1), FALSE), VLOOKUP($A150,raw_lb[],COLUMN(AW$1),FALSE))</f>
        <v>0.16730598402636218</v>
      </c>
      <c r="AX150" s="82">
        <f>IF(VLOOKUP($A150,raw_lb[],COLUMN(AX$1),FALSE)=0, VLOOKUP($D150, regions_lb[], COLUMN(AX$1), FALSE), VLOOKUP($A150,raw_lb[],COLUMN(AX$1),FALSE))</f>
        <v>58.237849999999995</v>
      </c>
      <c r="AY150" t="str">
        <f t="shared" si="5"/>
        <v>No</v>
      </c>
    </row>
    <row r="151" spans="1:51" x14ac:dyDescent="0.25">
      <c r="A151" s="55" t="s">
        <v>236</v>
      </c>
      <c r="B151" s="56" t="s">
        <v>237</v>
      </c>
      <c r="C151" s="56">
        <v>64</v>
      </c>
      <c r="D151" s="56" t="s">
        <v>225</v>
      </c>
      <c r="E151" s="56" t="s">
        <v>226</v>
      </c>
      <c r="F151" s="56" t="s">
        <v>226</v>
      </c>
      <c r="G151" s="56" t="s">
        <v>212</v>
      </c>
      <c r="H151" s="74"/>
      <c r="I151" s="74"/>
      <c r="J151" s="67">
        <f>IF(VLOOKUP($A151,raw_lb[],COLUMN(J$1),FALSE)=0, VLOOKUP($D151, regions_lb[], COLUMN(J$1), FALSE), VLOOKUP($A151,raw_lb[],COLUMN(J$1),FALSE))</f>
        <v>0.70109999999999995</v>
      </c>
      <c r="K151" s="77">
        <f>VLOOKUP($A151, raw_lb[], 11, FALSE)</f>
        <v>0.8075</v>
      </c>
      <c r="L151" s="77">
        <f>VLOOKUP($A151, raw_lb[], 12, FALSE)</f>
        <v>0.91199999999999992</v>
      </c>
      <c r="M151" s="77">
        <f>IF(VLOOKUP($A151,raw_lb[],COLUMN(M$1),FALSE)=0, VLOOKUP($D151, regions_lb[], COLUMN(M$1), FALSE), VLOOKUP($A151,raw_lb[],COLUMN(M$1),FALSE))</f>
        <v>2.7200000000000002E-2</v>
      </c>
      <c r="N151" s="68">
        <f>IF(VLOOKUP($A151,raw_lb[],COLUMN(N$1),FALSE)=0, VLOOKUP($D151, regions_lb[], COLUMN(N$1), FALSE), VLOOKUP($A151,raw_lb[],COLUMN(N$1),FALSE))</f>
        <v>0.1482</v>
      </c>
      <c r="O151" s="67">
        <f>IF(VLOOKUP($A151,raw_lb[],COLUMN(O$1),FALSE)=0, VLOOKUP($D151, regions_lb[], COLUMN(O$1), FALSE), VLOOKUP($A151,raw_lb[],COLUMN(O$1),FALSE))</f>
        <v>0.7</v>
      </c>
      <c r="P151" s="68">
        <f>IF(VLOOKUP($A151,raw_lb[],COLUMN(P$1),FALSE)=0, VLOOKUP($D151, regions_lb[], COLUMN(P$1), FALSE), VLOOKUP($A151,raw_lb[],COLUMN(P$1),FALSE))</f>
        <v>0.05</v>
      </c>
      <c r="Q151" s="70">
        <f>IF(VLOOKUP($A151,raw_lb[],COLUMN(Q$1),FALSE)=0, VLOOKUP($D151, regions_lb[], COLUMN(Q$1), FALSE), VLOOKUP($A151,raw_lb[],COLUMN(Q$1),FALSE))</f>
        <v>1.0875354122099721</v>
      </c>
      <c r="R151" s="70">
        <f>IF(VLOOKUP($A151,raw_lb[],COLUMN(R$1),FALSE)=0, VLOOKUP($D151, regions_lb[], COLUMN(R$1), FALSE), VLOOKUP($A151,raw_lb[],COLUMN(R$1),FALSE))</f>
        <v>8.148435412209972</v>
      </c>
      <c r="S151" s="70">
        <f>IF(VLOOKUP($A151,raw_lb[],COLUMN(S$1),FALSE)=0, VLOOKUP($D151, regions_lb[], COLUMN(S$1), FALSE), VLOOKUP($A151,raw_lb[],COLUMN(S$1),FALSE))</f>
        <v>40.661847742543443</v>
      </c>
      <c r="T151" s="70">
        <f>IF(VLOOKUP($A151,raw_lb[],COLUMN(U$1)-COLUMN($A$1),FALSE)=0, VLOOKUP($D151, regions_lb[], COLUMN(U$1)-COLUMN($A$1), FALSE), VLOOKUP($A151,raw_lb[],COLUMN(U$1)-COLUMN($A$1),FALSE))</f>
        <v>42.375953751941978</v>
      </c>
      <c r="U151" s="70">
        <f>IF(VLOOKUP($A151,raw_lb[],COLUMN(V$1)-COLUMN($A$1),FALSE)=0, VLOOKUP($D151, regions_lb[], COLUMN(V$1)-COLUMN($A$1), FALSE), VLOOKUP($A151,raw_lb[],COLUMN(V$1)-COLUMN($A$1),FALSE))</f>
        <v>41.588872504011476</v>
      </c>
      <c r="V151" s="70">
        <f>IF(VLOOKUP($A151,raw_lb[],COLUMN(W$1)-COLUMN($A$1),FALSE)=0, VLOOKUP($D151, regions_lb[], COLUMN(W$1)-COLUMN($A$1), FALSE), VLOOKUP($A151,raw_lb[],COLUMN(W$1)-COLUMN($A$1),FALSE))</f>
        <v>3.7315264703779758</v>
      </c>
      <c r="W151" s="70">
        <f>IF(VLOOKUP($A151,raw_lb[],COLUMN(X$1)-COLUMN($A$1),FALSE)=0, VLOOKUP($D151, regions_lb[], COLUMN(X$1)-COLUMN($A$1), FALSE), VLOOKUP($A151,raw_lb[],COLUMN(X$1)-COLUMN($A$1),FALSE))</f>
        <v>5.4508815583358263</v>
      </c>
      <c r="X151" s="70">
        <f>IF(VLOOKUP($A151,raw_lb[],COLUMN(Y$1)-COLUMN($A$1),FALSE)=0, VLOOKUP($D151, regions_lb[], COLUMN(Y$1)-COLUMN($A$1), FALSE), VLOOKUP($A151,raw_lb[],COLUMN(Y$1)-COLUMN($A$1),FALSE))</f>
        <v>3.2565029564314889</v>
      </c>
      <c r="Y151" s="70">
        <f>IF(VLOOKUP($A151,raw_lb[],COLUMN(Z$1)-COLUMN($A$1),FALSE)=0, VLOOKUP($D151, regions_lb[], COLUMN(Z$1)-COLUMN($A$1), FALSE), VLOOKUP($A151,raw_lb[],COLUMN(Z$1)-COLUMN($A$1),FALSE))</f>
        <v>4.9758580443893399</v>
      </c>
      <c r="Z151" s="70">
        <f>IF(VLOOKUP($A151,raw_lb[],COLUMN(AA$1)-COLUMN($A$1),FALSE)=0, VLOOKUP($D151, regions_lb[], COLUMN(AA$1)-COLUMN($A$1), FALSE), VLOOKUP($A151,raw_lb[],COLUMN(AA$1)-COLUMN($A$1),FALSE))</f>
        <v>4.97130208671161</v>
      </c>
      <c r="AA151" s="70">
        <f>IF(VLOOKUP($A151,raw_lb[],COLUMN(AB$1)-COLUMN($A$1),FALSE)=0, VLOOKUP($D151, regions_lb[], COLUMN(AB$1)-COLUMN($A$1), FALSE), VLOOKUP($A151,raw_lb[],COLUMN(AB$1)-COLUMN($A$1),FALSE))</f>
        <v>3.8881343451588806</v>
      </c>
      <c r="AB151" s="70">
        <f>IF(VLOOKUP($A151,raw_lb[],COLUMN(AC$1)-COLUMN($A$1),FALSE)=0, VLOOKUP($D151, regions_lb[], COLUMN(AC$1)-COLUMN($A$1), FALSE), VLOOKUP($A151,raw_lb[],COLUMN(AC$1)-COLUMN($A$1),FALSE))</f>
        <v>5.6074894331167311</v>
      </c>
      <c r="AC151" s="72">
        <f>IF(VLOOKUP($A151,raw_lb[],COLUMN(AD$1)-COLUMN($A$1),FALSE)=0, VLOOKUP($D151, regions_lb[], COLUMN(AD$1)-COLUMN($A$1), FALSE), VLOOKUP($A151,raw_lb[],COLUMN(AD$1)-COLUMN($A$1),FALSE))</f>
        <v>2.2866623500000061E-2</v>
      </c>
      <c r="AD151" s="72">
        <f>IF(VLOOKUP($A151,raw_lb[],COLUMN(AE$1)-COLUMN($A$1),FALSE)=0, VLOOKUP($D151, regions_lb[], COLUMN(AE$1)-COLUMN($A$1), FALSE), VLOOKUP($A151,raw_lb[],COLUMN(AE$1)-COLUMN($A$1),FALSE))</f>
        <v>1.3463421300958602E-3</v>
      </c>
      <c r="AE151" s="72">
        <f>IF(VLOOKUP($A151,raw_lb[],COLUMN(AF$1)-COLUMN($A$1),FALSE)=0, VLOOKUP($D151, regions_lb[], COLUMN(AF$1)-COLUMN($A$1), FALSE), VLOOKUP($A151,raw_lb[],COLUMN(AF$1)-COLUMN($A$1),FALSE))</f>
        <v>7.349576772924855E-4</v>
      </c>
      <c r="AF151" s="72">
        <f>IF(VLOOKUP($A151,raw_lb[],COLUMN(AG$1)-COLUMN($A$1),FALSE)=0, VLOOKUP($D151, regions_lb[], COLUMN(AG$1)-COLUMN($A$1), FALSE), VLOOKUP($A151,raw_lb[],COLUMN(AG$1)-COLUMN($A$1),FALSE))</f>
        <v>5.9562869806583437E-4</v>
      </c>
      <c r="AG151" s="72">
        <f>IF(VLOOKUP($A151,raw_lb[],COLUMN(AH$1)-COLUMN($A$1),FALSE)=0, VLOOKUP($D151, regions_lb[], COLUMN(AH$1)-COLUMN($A$1), FALSE), VLOOKUP($A151,raw_lb[],COLUMN(AH$1)-COLUMN($A$1),FALSE))</f>
        <v>8.0590931945226233E-4</v>
      </c>
      <c r="AH151" s="72">
        <f>IF(VLOOKUP($A151,raw_lb[],COLUMN(AI$1)-COLUMN($A$1),FALSE)=0, VLOOKUP($D151, regions_lb[], COLUMN(AI$1)-COLUMN($A$1), FALSE), VLOOKUP($A151,raw_lb[],COLUMN(AI$1)-COLUMN($A$1),FALSE))</f>
        <v>1.3124334560908047E-3</v>
      </c>
      <c r="AI151" s="72">
        <f>IF(VLOOKUP($A151,raw_lb[],COLUMN(AJ$1)-COLUMN($A$1),FALSE)=0, VLOOKUP($D151, regions_lb[], COLUMN(AJ$1)-COLUMN($A$1), FALSE), VLOOKUP($A151,raw_lb[],COLUMN(AJ$1)-COLUMN($A$1),FALSE))</f>
        <v>1.89944720645092E-3</v>
      </c>
      <c r="AJ151" s="72">
        <f>IF(VLOOKUP($A151,raw_lb[],COLUMN(AK$1)-COLUMN($A$1),FALSE)=0, VLOOKUP($D151, regions_lb[], COLUMN(AK$1)-COLUMN($A$1), FALSE), VLOOKUP($A151,raw_lb[],COLUMN(AK$1)-COLUMN($A$1),FALSE))</f>
        <v>2.7530877717457628E-3</v>
      </c>
      <c r="AK151" s="72">
        <f>IF(VLOOKUP($A151,raw_lb[],COLUMN(AL$1)-COLUMN($A$1),FALSE)=0, VLOOKUP($D151, regions_lb[], COLUMN(AL$1)-COLUMN($A$1), FALSE), VLOOKUP($A151,raw_lb[],COLUMN(AL$1)-COLUMN($A$1),FALSE))</f>
        <v>3.7432510005914518E-3</v>
      </c>
      <c r="AL151" s="72">
        <f>IF(VLOOKUP($A151,raw_lb[],COLUMN(AM$1)-COLUMN($A$1),FALSE)=0, VLOOKUP($D151, regions_lb[], COLUMN(AM$1)-COLUMN($A$1), FALSE), VLOOKUP($A151,raw_lb[],COLUMN(AM$1)-COLUMN($A$1),FALSE))</f>
        <v>4.8946918510709148E-3</v>
      </c>
      <c r="AM151" s="72">
        <f>IF(VLOOKUP($A151,raw_lb[],COLUMN(AN$1)-COLUMN($A$1),FALSE)=0, VLOOKUP($D151, regions_lb[], COLUMN(AN$1)-COLUMN($A$1), FALSE), VLOOKUP($A151,raw_lb[],COLUMN(AN$1)-COLUMN($A$1),FALSE))</f>
        <v>6.3547087757053321E-3</v>
      </c>
      <c r="AN151" s="72">
        <f>IF(VLOOKUP($A151,raw_lb[],COLUMN(AO$1)-COLUMN($A$1),FALSE)=0, VLOOKUP($D151, regions_lb[], COLUMN(AO$1)-COLUMN($A$1), FALSE), VLOOKUP($A151,raw_lb[],COLUMN(AO$1)-COLUMN($A$1),FALSE))</f>
        <v>8.3566542175876161E-3</v>
      </c>
      <c r="AO151" s="72">
        <f>IF(VLOOKUP($A151,raw_lb[],COLUMN(AP$1)-COLUMN($A$1),FALSE)=0, VLOOKUP($D151, regions_lb[], COLUMN(AP$1)-COLUMN($A$1), FALSE), VLOOKUP($A151,raw_lb[],COLUMN(AP$1)-COLUMN($A$1),FALSE))</f>
        <v>1.13186137785497E-2</v>
      </c>
      <c r="AP151" s="72">
        <f>IF(VLOOKUP($A151,raw_lb[],COLUMN(AQ$1)-COLUMN($A$1),FALSE)=0, VLOOKUP($D151, regions_lb[], COLUMN(AQ$1)-COLUMN($A$1), FALSE), VLOOKUP($A151,raw_lb[],COLUMN(AQ$1)-COLUMN($A$1),FALSE))</f>
        <v>1.5188009821042469E-2</v>
      </c>
      <c r="AQ151" s="72">
        <f>IF(VLOOKUP($A151,raw_lb[],COLUMN(AR$1)-COLUMN($A$1),FALSE)=0, VLOOKUP($D151, regions_lb[], COLUMN(AR$1)-COLUMN($A$1), FALSE), VLOOKUP($A151,raw_lb[],COLUMN(AR$1)-COLUMN($A$1),FALSE))</f>
        <v>2.1252733815658474E-2</v>
      </c>
      <c r="AR151" s="72">
        <f>IF(VLOOKUP($A151,raw_lb[],COLUMN(AS$1)-COLUMN($A$1),FALSE)=0, VLOOKUP($D151, regions_lb[], COLUMN(AS$1)-COLUMN($A$1), FALSE), VLOOKUP($A151,raw_lb[],COLUMN(AS$1)-COLUMN($A$1),FALSE))</f>
        <v>3.0081514124853288E-2</v>
      </c>
      <c r="AS151" s="82">
        <f>IF(VLOOKUP($A151,raw_lb[],COLUMN(AS$1),FALSE)=0, VLOOKUP($D151, regions_lb[], COLUMN(AS$1), FALSE), VLOOKUP($A151,raw_lb[],COLUMN(AS$1),FALSE))</f>
        <v>4.2963623201066663E-2</v>
      </c>
      <c r="AT151" s="82">
        <f>IF(VLOOKUP($A151,raw_lb[],COLUMN(AT$1),FALSE)=0, VLOOKUP($D151, regions_lb[], COLUMN(AT$1), FALSE), VLOOKUP($A151,raw_lb[],COLUMN(AT$1),FALSE))</f>
        <v>6.0659566605135246E-2</v>
      </c>
      <c r="AU151" s="82">
        <f>IF(VLOOKUP($A151,raw_lb[],COLUMN(AU$1),FALSE)=0, VLOOKUP($D151, regions_lb[], COLUMN(AU$1), FALSE), VLOOKUP($A151,raw_lb[],COLUMN(AU$1),FALSE))</f>
        <v>7.9931113413177046E-2</v>
      </c>
      <c r="AV151" s="82">
        <f>IF(VLOOKUP($A151,raw_lb[],COLUMN(AV$1),FALSE)=0, VLOOKUP($D151, regions_lb[], COLUMN(AV$1), FALSE), VLOOKUP($A151,raw_lb[],COLUMN(AV$1),FALSE))</f>
        <v>0.10219321371818435</v>
      </c>
      <c r="AW151" s="82">
        <f>IF(VLOOKUP($A151,raw_lb[],COLUMN(AW$1),FALSE)=0, VLOOKUP($D151, regions_lb[], COLUMN(AW$1), FALSE), VLOOKUP($A151,raw_lb[],COLUMN(AW$1),FALSE))</f>
        <v>0.12395490066379476</v>
      </c>
      <c r="AX151" s="82">
        <f>IF(VLOOKUP($A151,raw_lb[],COLUMN(AX$1),FALSE)=0, VLOOKUP($D151, regions_lb[], COLUMN(AX$1), FALSE), VLOOKUP($A151,raw_lb[],COLUMN(AX$1),FALSE))</f>
        <v>67.718850000000003</v>
      </c>
      <c r="AY151" t="str">
        <f t="shared" si="5"/>
        <v>No</v>
      </c>
    </row>
    <row r="152" spans="1:51" x14ac:dyDescent="0.25">
      <c r="A152" s="53" t="s">
        <v>238</v>
      </c>
      <c r="B152" s="54" t="s">
        <v>239</v>
      </c>
      <c r="C152" s="54">
        <v>68</v>
      </c>
      <c r="D152" s="54" t="s">
        <v>215</v>
      </c>
      <c r="E152" s="54" t="s">
        <v>240</v>
      </c>
      <c r="F152" s="54" t="s">
        <v>217</v>
      </c>
      <c r="G152" s="54" t="s">
        <v>212</v>
      </c>
      <c r="H152" s="73"/>
      <c r="I152" s="73"/>
      <c r="J152" s="67">
        <f>IF(VLOOKUP($A152,raw_lb[],COLUMN(J$1),FALSE)=0, VLOOKUP($D152, regions_lb[], COLUMN(J$1), FALSE), VLOOKUP($A152,raw_lb[],COLUMN(J$1),FALSE))</f>
        <v>0.83314999999999995</v>
      </c>
      <c r="K152" s="77">
        <f>VLOOKUP($A152, raw_lb[], 11, FALSE)</f>
        <v>0</v>
      </c>
      <c r="L152" s="77">
        <f>VLOOKUP($A152, raw_lb[], 12, FALSE)</f>
        <v>0.64600000000000002</v>
      </c>
      <c r="M152" s="77">
        <f>IF(VLOOKUP($A152,raw_lb[],COLUMN(M$1),FALSE)=0, VLOOKUP($D152, regions_lb[], COLUMN(M$1), FALSE), VLOOKUP($A152,raw_lb[],COLUMN(M$1),FALSE))</f>
        <v>2.3E-3</v>
      </c>
      <c r="N152" s="68">
        <f>IF(VLOOKUP($A152,raw_lb[],COLUMN(N$1),FALSE)=0, VLOOKUP($D152, regions_lb[], COLUMN(N$1), FALSE), VLOOKUP($A152,raw_lb[],COLUMN(N$1),FALSE))</f>
        <v>0.16269999999999998</v>
      </c>
      <c r="O152" s="67">
        <f>IF(VLOOKUP($A152,raw_lb[],COLUMN(O$1),FALSE)=0, VLOOKUP($D152, regions_lb[], COLUMN(O$1), FALSE), VLOOKUP($A152,raw_lb[],COLUMN(O$1),FALSE))</f>
        <v>0.7</v>
      </c>
      <c r="P152" s="68">
        <f>IF(VLOOKUP($A152,raw_lb[],COLUMN(P$1),FALSE)=0, VLOOKUP($D152, regions_lb[], COLUMN(P$1), FALSE), VLOOKUP($A152,raw_lb[],COLUMN(P$1),FALSE))</f>
        <v>0.05</v>
      </c>
      <c r="Q152" s="70">
        <f>IF(VLOOKUP($A152,raw_lb[],COLUMN(Q$1),FALSE)=0, VLOOKUP($D152, regions_lb[], COLUMN(Q$1), FALSE), VLOOKUP($A152,raw_lb[],COLUMN(Q$1),FALSE))</f>
        <v>1.038050654582074</v>
      </c>
      <c r="R152" s="70">
        <f>IF(VLOOKUP($A152,raw_lb[],COLUMN(R$1),FALSE)=0, VLOOKUP($D152, regions_lb[], COLUMN(R$1), FALSE), VLOOKUP($A152,raw_lb[],COLUMN(R$1),FALSE))</f>
        <v>8.0989506545820742</v>
      </c>
      <c r="S152" s="70">
        <f>IF(VLOOKUP($A152,raw_lb[],COLUMN(S$1),FALSE)=0, VLOOKUP($D152, regions_lb[], COLUMN(S$1), FALSE), VLOOKUP($A152,raw_lb[],COLUMN(S$1),FALSE))</f>
        <v>40.403251577139912</v>
      </c>
      <c r="T152" s="70">
        <f>IF(VLOOKUP($A152,raw_lb[],COLUMN(U$1)-COLUMN($A$1),FALSE)=0, VLOOKUP($D152, regions_lb[], COLUMN(U$1)-COLUMN($A$1), FALSE), VLOOKUP($A152,raw_lb[],COLUMN(U$1)-COLUMN($A$1),FALSE))</f>
        <v>42.008522407474885</v>
      </c>
      <c r="U152" s="70">
        <f>IF(VLOOKUP($A152,raw_lb[],COLUMN(V$1)-COLUMN($A$1),FALSE)=0, VLOOKUP($D152, regions_lb[], COLUMN(V$1)-COLUMN($A$1), FALSE), VLOOKUP($A152,raw_lb[],COLUMN(V$1)-COLUMN($A$1),FALSE))</f>
        <v>41.271415973287759</v>
      </c>
      <c r="V152" s="70">
        <f>IF(VLOOKUP($A152,raw_lb[],COLUMN(W$1)-COLUMN($A$1),FALSE)=0, VLOOKUP($D152, regions_lb[], COLUMN(W$1)-COLUMN($A$1), FALSE), VLOOKUP($A152,raw_lb[],COLUMN(W$1)-COLUMN($A$1),FALSE))</f>
        <v>1.5176731089511064</v>
      </c>
      <c r="W152" s="70">
        <f>IF(VLOOKUP($A152,raw_lb[],COLUMN(X$1)-COLUMN($A$1),FALSE)=0, VLOOKUP($D152, regions_lb[], COLUMN(X$1)-COLUMN($A$1), FALSE), VLOOKUP($A152,raw_lb[],COLUMN(X$1)-COLUMN($A$1),FALSE))</f>
        <v>1.5366731089511063</v>
      </c>
      <c r="X152" s="70">
        <f>IF(VLOOKUP($A152,raw_lb[],COLUMN(Y$1)-COLUMN($A$1),FALSE)=0, VLOOKUP($D152, regions_lb[], COLUMN(Y$1)-COLUMN($A$1), FALSE), VLOOKUP($A152,raw_lb[],COLUMN(Y$1)-COLUMN($A$1),FALSE))</f>
        <v>1.0418521555921541</v>
      </c>
      <c r="Y152" s="70">
        <f>IF(VLOOKUP($A152,raw_lb[],COLUMN(Z$1)-COLUMN($A$1),FALSE)=0, VLOOKUP($D152, regions_lb[], COLUMN(Z$1)-COLUMN($A$1), FALSE), VLOOKUP($A152,raw_lb[],COLUMN(Z$1)-COLUMN($A$1),FALSE))</f>
        <v>1.060852155592154</v>
      </c>
      <c r="Z152" s="70">
        <f>IF(VLOOKUP($A152,raw_lb[],COLUMN(AA$1)-COLUMN($A$1),FALSE)=0, VLOOKUP($D152, regions_lb[], COLUMN(AA$1)-COLUMN($A$1), FALSE), VLOOKUP($A152,raw_lb[],COLUMN(AA$1)-COLUMN($A$1),FALSE))</f>
        <v>1.0554020366726202</v>
      </c>
      <c r="AA152" s="70">
        <f>IF(VLOOKUP($A152,raw_lb[],COLUMN(AB$1)-COLUMN($A$1),FALSE)=0, VLOOKUP($D152, regions_lb[], COLUMN(AB$1)-COLUMN($A$1), FALSE), VLOOKUP($A152,raw_lb[],COLUMN(AB$1)-COLUMN($A$1),FALSE))</f>
        <v>1.6767416539190478</v>
      </c>
      <c r="AB152" s="70">
        <f>IF(VLOOKUP($A152,raw_lb[],COLUMN(AC$1)-COLUMN($A$1),FALSE)=0, VLOOKUP($D152, regions_lb[], COLUMN(AC$1)-COLUMN($A$1), FALSE), VLOOKUP($A152,raw_lb[],COLUMN(AC$1)-COLUMN($A$1),FALSE))</f>
        <v>1.6957416539190477</v>
      </c>
      <c r="AC152" s="72">
        <f>IF(VLOOKUP($A152,raw_lb[],COLUMN(AD$1)-COLUMN($A$1),FALSE)=0, VLOOKUP($D152, regions_lb[], COLUMN(AD$1)-COLUMN($A$1), FALSE), VLOOKUP($A152,raw_lb[],COLUMN(AD$1)-COLUMN($A$1),FALSE))</f>
        <v>2.822364500000003E-2</v>
      </c>
      <c r="AD152" s="72">
        <f>IF(VLOOKUP($A152,raw_lb[],COLUMN(AE$1)-COLUMN($A$1),FALSE)=0, VLOOKUP($D152, regions_lb[], COLUMN(AE$1)-COLUMN($A$1), FALSE), VLOOKUP($A152,raw_lb[],COLUMN(AE$1)-COLUMN($A$1),FALSE))</f>
        <v>4.6523340319897799E-3</v>
      </c>
      <c r="AE152" s="72">
        <f>IF(VLOOKUP($A152,raw_lb[],COLUMN(AF$1)-COLUMN($A$1),FALSE)=0, VLOOKUP($D152, regions_lb[], COLUMN(AF$1)-COLUMN($A$1), FALSE), VLOOKUP($A152,raw_lb[],COLUMN(AF$1)-COLUMN($A$1),FALSE))</f>
        <v>1.2984788802680354E-3</v>
      </c>
      <c r="AF152" s="72">
        <f>IF(VLOOKUP($A152,raw_lb[],COLUMN(AG$1)-COLUMN($A$1),FALSE)=0, VLOOKUP($D152, regions_lb[], COLUMN(AG$1)-COLUMN($A$1), FALSE), VLOOKUP($A152,raw_lb[],COLUMN(AG$1)-COLUMN($A$1),FALSE))</f>
        <v>7.6137923831222918E-4</v>
      </c>
      <c r="AG152" s="72">
        <f>IF(VLOOKUP($A152,raw_lb[],COLUMN(AH$1)-COLUMN($A$1),FALSE)=0, VLOOKUP($D152, regions_lb[], COLUMN(AH$1)-COLUMN($A$1), FALSE), VLOOKUP($A152,raw_lb[],COLUMN(AH$1)-COLUMN($A$1),FALSE))</f>
        <v>1.510775492115564E-3</v>
      </c>
      <c r="AH152" s="72">
        <f>IF(VLOOKUP($A152,raw_lb[],COLUMN(AI$1)-COLUMN($A$1),FALSE)=0, VLOOKUP($D152, regions_lb[], COLUMN(AI$1)-COLUMN($A$1), FALSE), VLOOKUP($A152,raw_lb[],COLUMN(AI$1)-COLUMN($A$1),FALSE))</f>
        <v>2.1058752758285849E-3</v>
      </c>
      <c r="AI152" s="72">
        <f>IF(VLOOKUP($A152,raw_lb[],COLUMN(AJ$1)-COLUMN($A$1),FALSE)=0, VLOOKUP($D152, regions_lb[], COLUMN(AJ$1)-COLUMN($A$1), FALSE), VLOOKUP($A152,raw_lb[],COLUMN(AJ$1)-COLUMN($A$1),FALSE))</f>
        <v>2.2617843612816831E-3</v>
      </c>
      <c r="AJ152" s="72">
        <f>IF(VLOOKUP($A152,raw_lb[],COLUMN(AK$1)-COLUMN($A$1),FALSE)=0, VLOOKUP($D152, regions_lb[], COLUMN(AK$1)-COLUMN($A$1), FALSE), VLOOKUP($A152,raw_lb[],COLUMN(AK$1)-COLUMN($A$1),FALSE))</f>
        <v>2.566678974565118E-3</v>
      </c>
      <c r="AK152" s="72">
        <f>IF(VLOOKUP($A152,raw_lb[],COLUMN(AL$1)-COLUMN($A$1),FALSE)=0, VLOOKUP($D152, regions_lb[], COLUMN(AL$1)-COLUMN($A$1), FALSE), VLOOKUP($A152,raw_lb[],COLUMN(AL$1)-COLUMN($A$1),FALSE))</f>
        <v>3.2348115698511751E-3</v>
      </c>
      <c r="AL152" s="72">
        <f>IF(VLOOKUP($A152,raw_lb[],COLUMN(AM$1)-COLUMN($A$1),FALSE)=0, VLOOKUP($D152, regions_lb[], COLUMN(AM$1)-COLUMN($A$1), FALSE), VLOOKUP($A152,raw_lb[],COLUMN(AM$1)-COLUMN($A$1),FALSE))</f>
        <v>3.8212153029534243E-3</v>
      </c>
      <c r="AM152" s="72">
        <f>IF(VLOOKUP($A152,raw_lb[],COLUMN(AN$1)-COLUMN($A$1),FALSE)=0, VLOOKUP($D152, regions_lb[], COLUMN(AN$1)-COLUMN($A$1), FALSE), VLOOKUP($A152,raw_lb[],COLUMN(AN$1)-COLUMN($A$1),FALSE))</f>
        <v>5.1735227722607387E-3</v>
      </c>
      <c r="AN152" s="72">
        <f>IF(VLOOKUP($A152,raw_lb[],COLUMN(AO$1)-COLUMN($A$1),FALSE)=0, VLOOKUP($D152, regions_lb[], COLUMN(AO$1)-COLUMN($A$1), FALSE), VLOOKUP($A152,raw_lb[],COLUMN(AO$1)-COLUMN($A$1),FALSE))</f>
        <v>6.9977071216973576E-3</v>
      </c>
      <c r="AO152" s="72">
        <f>IF(VLOOKUP($A152,raw_lb[],COLUMN(AP$1)-COLUMN($A$1),FALSE)=0, VLOOKUP($D152, regions_lb[], COLUMN(AP$1)-COLUMN($A$1), FALSE), VLOOKUP($A152,raw_lb[],COLUMN(AP$1)-COLUMN($A$1),FALSE))</f>
        <v>9.8277476820648815E-3</v>
      </c>
      <c r="AP152" s="72">
        <f>IF(VLOOKUP($A152,raw_lb[],COLUMN(AQ$1)-COLUMN($A$1),FALSE)=0, VLOOKUP($D152, regions_lb[], COLUMN(AQ$1)-COLUMN($A$1), FALSE), VLOOKUP($A152,raw_lb[],COLUMN(AQ$1)-COLUMN($A$1),FALSE))</f>
        <v>1.4509784440702255E-2</v>
      </c>
      <c r="AQ152" s="72">
        <f>IF(VLOOKUP($A152,raw_lb[],COLUMN(AR$1)-COLUMN($A$1),FALSE)=0, VLOOKUP($D152, regions_lb[], COLUMN(AR$1)-COLUMN($A$1), FALSE), VLOOKUP($A152,raw_lb[],COLUMN(AR$1)-COLUMN($A$1),FALSE))</f>
        <v>1.9208894688906842E-2</v>
      </c>
      <c r="AR152" s="72">
        <f>IF(VLOOKUP($A152,raw_lb[],COLUMN(AS$1)-COLUMN($A$1),FALSE)=0, VLOOKUP($D152, regions_lb[], COLUMN(AS$1)-COLUMN($A$1), FALSE), VLOOKUP($A152,raw_lb[],COLUMN(AS$1)-COLUMN($A$1),FALSE))</f>
        <v>2.4915136708573014E-2</v>
      </c>
      <c r="AS152" s="82">
        <f>IF(VLOOKUP($A152,raw_lb[],COLUMN(AS$1),FALSE)=0, VLOOKUP($D152, regions_lb[], COLUMN(AS$1), FALSE), VLOOKUP($A152,raw_lb[],COLUMN(AS$1),FALSE))</f>
        <v>3.5822532833163494E-2</v>
      </c>
      <c r="AT152" s="82">
        <f>IF(VLOOKUP($A152,raw_lb[],COLUMN(AT$1),FALSE)=0, VLOOKUP($D152, regions_lb[], COLUMN(AT$1), FALSE), VLOOKUP($A152,raw_lb[],COLUMN(AT$1),FALSE))</f>
        <v>5.0745047387093636E-2</v>
      </c>
      <c r="AU152" s="82">
        <f>IF(VLOOKUP($A152,raw_lb[],COLUMN(AU$1),FALSE)=0, VLOOKUP($D152, regions_lb[], COLUMN(AU$1), FALSE), VLOOKUP($A152,raw_lb[],COLUMN(AU$1),FALSE))</f>
        <v>7.1305994384417842E-2</v>
      </c>
      <c r="AV152" s="82">
        <f>IF(VLOOKUP($A152,raw_lb[],COLUMN(AV$1),FALSE)=0, VLOOKUP($D152, regions_lb[], COLUMN(AV$1), FALSE), VLOOKUP($A152,raw_lb[],COLUMN(AV$1),FALSE))</f>
        <v>9.5117117597254788E-2</v>
      </c>
      <c r="AW152" s="82">
        <f>IF(VLOOKUP($A152,raw_lb[],COLUMN(AW$1),FALSE)=0, VLOOKUP($D152, regions_lb[], COLUMN(AW$1), FALSE), VLOOKUP($A152,raw_lb[],COLUMN(AW$1),FALSE))</f>
        <v>0.11828160760404921</v>
      </c>
      <c r="AX152" s="82">
        <f>IF(VLOOKUP($A152,raw_lb[],COLUMN(AX$1),FALSE)=0, VLOOKUP($D152, regions_lb[], COLUMN(AX$1), FALSE), VLOOKUP($A152,raw_lb[],COLUMN(AX$1),FALSE))</f>
        <v>67.527899999999988</v>
      </c>
      <c r="AY152" t="str">
        <f t="shared" si="5"/>
        <v>Yes</v>
      </c>
    </row>
    <row r="153" spans="1:51" x14ac:dyDescent="0.25">
      <c r="A153" s="55" t="s">
        <v>241</v>
      </c>
      <c r="B153" s="56" t="s">
        <v>242</v>
      </c>
      <c r="C153" s="56">
        <v>70</v>
      </c>
      <c r="D153" s="56" t="s">
        <v>201</v>
      </c>
      <c r="E153" s="56" t="s">
        <v>202</v>
      </c>
      <c r="F153" s="56" t="s">
        <v>203</v>
      </c>
      <c r="G153" s="56" t="s">
        <v>204</v>
      </c>
      <c r="H153" s="74"/>
      <c r="I153" s="74"/>
      <c r="J153" s="67">
        <f>IF(VLOOKUP($A153,raw_lb[],COLUMN(J$1),FALSE)=0, VLOOKUP($D153, regions_lb[], COLUMN(J$1), FALSE), VLOOKUP($A153,raw_lb[],COLUMN(J$1),FALSE))</f>
        <v>0.94714999999999994</v>
      </c>
      <c r="K153" s="77">
        <f>VLOOKUP($A153, raw_lb[], 11, FALSE)</f>
        <v>0</v>
      </c>
      <c r="L153" s="77">
        <f>VLOOKUP($A153, raw_lb[], 12, FALSE)</f>
        <v>0.76</v>
      </c>
      <c r="M153" s="77">
        <f>IF(VLOOKUP($A153,raw_lb[],COLUMN(M$1),FALSE)=0, VLOOKUP($D153, regions_lb[], COLUMN(M$1), FALSE), VLOOKUP($A153,raw_lb[],COLUMN(M$1),FALSE))</f>
        <v>1.04E-2</v>
      </c>
      <c r="N153" s="68">
        <f>IF(VLOOKUP($A153,raw_lb[],COLUMN(N$1),FALSE)=0, VLOOKUP($D153, regions_lb[], COLUMN(N$1), FALSE), VLOOKUP($A153,raw_lb[],COLUMN(N$1),FALSE))</f>
        <v>0.16329999999999997</v>
      </c>
      <c r="O153" s="67">
        <f>IF(VLOOKUP($A153,raw_lb[],COLUMN(O$1),FALSE)=0, VLOOKUP($D153, regions_lb[], COLUMN(O$1), FALSE), VLOOKUP($A153,raw_lb[],COLUMN(O$1),FALSE))</f>
        <v>0.7</v>
      </c>
      <c r="P153" s="68">
        <f>IF(VLOOKUP($A153,raw_lb[],COLUMN(P$1),FALSE)=0, VLOOKUP($D153, regions_lb[], COLUMN(P$1), FALSE), VLOOKUP($A153,raw_lb[],COLUMN(P$1),FALSE))</f>
        <v>0.05</v>
      </c>
      <c r="Q153" s="70">
        <f>IF(VLOOKUP($A153,raw_lb[],COLUMN(Q$1),FALSE)=0, VLOOKUP($D153, regions_lb[], COLUMN(Q$1), FALSE), VLOOKUP($A153,raw_lb[],COLUMN(Q$1),FALSE))</f>
        <v>1.7770278668925001</v>
      </c>
      <c r="R153" s="70">
        <f>IF(VLOOKUP($A153,raw_lb[],COLUMN(R$1),FALSE)=0, VLOOKUP($D153, regions_lb[], COLUMN(R$1), FALSE), VLOOKUP($A153,raw_lb[],COLUMN(R$1),FALSE))</f>
        <v>8.8379278668925014</v>
      </c>
      <c r="S153" s="70">
        <f>IF(VLOOKUP($A153,raw_lb[],COLUMN(S$1),FALSE)=0, VLOOKUP($D153, regions_lb[], COLUMN(S$1), FALSE), VLOOKUP($A153,raw_lb[],COLUMN(S$1),FALSE))</f>
        <v>46.360233627044195</v>
      </c>
      <c r="T153" s="70">
        <f>IF(VLOOKUP($A153,raw_lb[],COLUMN(U$1)-COLUMN($A$1),FALSE)=0, VLOOKUP($D153, regions_lb[], COLUMN(U$1)-COLUMN($A$1), FALSE), VLOOKUP($A153,raw_lb[],COLUMN(U$1)-COLUMN($A$1),FALSE))</f>
        <v>50.681293600090193</v>
      </c>
      <c r="U153" s="70">
        <f>IF(VLOOKUP($A153,raw_lb[],COLUMN(V$1)-COLUMN($A$1),FALSE)=0, VLOOKUP($D153, regions_lb[], COLUMN(V$1)-COLUMN($A$1), FALSE), VLOOKUP($A153,raw_lb[],COLUMN(V$1)-COLUMN($A$1),FALSE))</f>
        <v>48.697154196039584</v>
      </c>
      <c r="V153" s="70">
        <f>IF(VLOOKUP($A153,raw_lb[],COLUMN(W$1)-COLUMN($A$1),FALSE)=0, VLOOKUP($D153, regions_lb[], COLUMN(W$1)-COLUMN($A$1), FALSE), VLOOKUP($A153,raw_lb[],COLUMN(W$1)-COLUMN($A$1),FALSE))</f>
        <v>1.4656513172232668</v>
      </c>
      <c r="W153" s="70">
        <f>IF(VLOOKUP($A153,raw_lb[],COLUMN(X$1)-COLUMN($A$1),FALSE)=0, VLOOKUP($D153, regions_lb[], COLUMN(X$1)-COLUMN($A$1), FALSE), VLOOKUP($A153,raw_lb[],COLUMN(X$1)-COLUMN($A$1),FALSE))</f>
        <v>5.3321513172232669</v>
      </c>
      <c r="X153" s="70">
        <f>IF(VLOOKUP($A153,raw_lb[],COLUMN(Y$1)-COLUMN($A$1),FALSE)=0, VLOOKUP($D153, regions_lb[], COLUMN(Y$1)-COLUMN($A$1), FALSE), VLOOKUP($A153,raw_lb[],COLUMN(Y$1)-COLUMN($A$1),FALSE))</f>
        <v>0.9900328663404836</v>
      </c>
      <c r="Y153" s="70">
        <f>IF(VLOOKUP($A153,raw_lb[],COLUMN(Z$1)-COLUMN($A$1),FALSE)=0, VLOOKUP($D153, regions_lb[], COLUMN(Z$1)-COLUMN($A$1), FALSE), VLOOKUP($A153,raw_lb[],COLUMN(Z$1)-COLUMN($A$1),FALSE))</f>
        <v>4.8565328663404834</v>
      </c>
      <c r="Z153" s="70">
        <f>IF(VLOOKUP($A153,raw_lb[],COLUMN(AA$1)-COLUMN($A$1),FALSE)=0, VLOOKUP($D153, regions_lb[], COLUMN(AA$1)-COLUMN($A$1), FALSE), VLOOKUP($A153,raw_lb[],COLUMN(AA$1)-COLUMN($A$1),FALSE))</f>
        <v>4.8516685029097868</v>
      </c>
      <c r="AA153" s="70">
        <f>IF(VLOOKUP($A153,raw_lb[],COLUMN(AB$1)-COLUMN($A$1),FALSE)=0, VLOOKUP($D153, regions_lb[], COLUMN(AB$1)-COLUMN($A$1), FALSE), VLOOKUP($A153,raw_lb[],COLUMN(AB$1)-COLUMN($A$1),FALSE))</f>
        <v>1.6240949974076007</v>
      </c>
      <c r="AB153" s="70">
        <f>IF(VLOOKUP($A153,raw_lb[],COLUMN(AC$1)-COLUMN($A$1),FALSE)=0, VLOOKUP($D153, regions_lb[], COLUMN(AC$1)-COLUMN($A$1), FALSE), VLOOKUP($A153,raw_lb[],COLUMN(AC$1)-COLUMN($A$1),FALSE))</f>
        <v>5.4905949974076007</v>
      </c>
      <c r="AC153" s="72">
        <f>IF(VLOOKUP($A153,raw_lb[],COLUMN(AD$1)-COLUMN($A$1),FALSE)=0, VLOOKUP($D153, regions_lb[], COLUMN(AD$1)-COLUMN($A$1), FALSE), VLOOKUP($A153,raw_lb[],COLUMN(AD$1)-COLUMN($A$1),FALSE))</f>
        <v>5.7060039999999789E-3</v>
      </c>
      <c r="AD153" s="72">
        <f>IF(VLOOKUP($A153,raw_lb[],COLUMN(AE$1)-COLUMN($A$1),FALSE)=0, VLOOKUP($D153, regions_lb[], COLUMN(AE$1)-COLUMN($A$1), FALSE), VLOOKUP($A153,raw_lb[],COLUMN(AE$1)-COLUMN($A$1),FALSE))</f>
        <v>1.8413535084046563E-4</v>
      </c>
      <c r="AE153" s="72">
        <f>IF(VLOOKUP($A153,raw_lb[],COLUMN(AF$1)-COLUMN($A$1),FALSE)=0, VLOOKUP($D153, regions_lb[], COLUMN(AF$1)-COLUMN($A$1), FALSE), VLOOKUP($A153,raw_lb[],COLUMN(AF$1)-COLUMN($A$1),FALSE))</f>
        <v>7.4875327850589806E-5</v>
      </c>
      <c r="AF153" s="72">
        <f>IF(VLOOKUP($A153,raw_lb[],COLUMN(AG$1)-COLUMN($A$1),FALSE)=0, VLOOKUP($D153, regions_lb[], COLUMN(AG$1)-COLUMN($A$1), FALSE), VLOOKUP($A153,raw_lb[],COLUMN(AG$1)-COLUMN($A$1),FALSE))</f>
        <v>1.352443831311537E-4</v>
      </c>
      <c r="AG153" s="72">
        <f>IF(VLOOKUP($A153,raw_lb[],COLUMN(AH$1)-COLUMN($A$1),FALSE)=0, VLOOKUP($D153, regions_lb[], COLUMN(AH$1)-COLUMN($A$1), FALSE), VLOOKUP($A153,raw_lb[],COLUMN(AH$1)-COLUMN($A$1),FALSE))</f>
        <v>2.2055992929357726E-4</v>
      </c>
      <c r="AH153" s="72">
        <f>IF(VLOOKUP($A153,raw_lb[],COLUMN(AI$1)-COLUMN($A$1),FALSE)=0, VLOOKUP($D153, regions_lb[], COLUMN(AI$1)-COLUMN($A$1), FALSE), VLOOKUP($A153,raw_lb[],COLUMN(AI$1)-COLUMN($A$1),FALSE))</f>
        <v>3.3624582040920432E-4</v>
      </c>
      <c r="AI153" s="72">
        <f>IF(VLOOKUP($A153,raw_lb[],COLUMN(AJ$1)-COLUMN($A$1),FALSE)=0, VLOOKUP($D153, regions_lb[], COLUMN(AJ$1)-COLUMN($A$1), FALSE), VLOOKUP($A153,raw_lb[],COLUMN(AJ$1)-COLUMN($A$1),FALSE))</f>
        <v>3.9805484216764504E-4</v>
      </c>
      <c r="AJ153" s="72">
        <f>IF(VLOOKUP($A153,raw_lb[],COLUMN(AK$1)-COLUMN($A$1),FALSE)=0, VLOOKUP($D153, regions_lb[], COLUMN(AK$1)-COLUMN($A$1), FALSE), VLOOKUP($A153,raw_lb[],COLUMN(AK$1)-COLUMN($A$1),FALSE))</f>
        <v>6.0112666296527686E-4</v>
      </c>
      <c r="AK153" s="72">
        <f>IF(VLOOKUP($A153,raw_lb[],COLUMN(AL$1)-COLUMN($A$1),FALSE)=0, VLOOKUP($D153, regions_lb[], COLUMN(AL$1)-COLUMN($A$1), FALSE), VLOOKUP($A153,raw_lb[],COLUMN(AL$1)-COLUMN($A$1),FALSE))</f>
        <v>8.2752260877574371E-4</v>
      </c>
      <c r="AL153" s="72">
        <f>IF(VLOOKUP($A153,raw_lb[],COLUMN(AM$1)-COLUMN($A$1),FALSE)=0, VLOOKUP($D153, regions_lb[], COLUMN(AM$1)-COLUMN($A$1), FALSE), VLOOKUP($A153,raw_lb[],COLUMN(AM$1)-COLUMN($A$1),FALSE))</f>
        <v>1.3558534068192347E-3</v>
      </c>
      <c r="AM153" s="72">
        <f>IF(VLOOKUP($A153,raw_lb[],COLUMN(AN$1)-COLUMN($A$1),FALSE)=0, VLOOKUP($D153, regions_lb[], COLUMN(AN$1)-COLUMN($A$1), FALSE), VLOOKUP($A153,raw_lb[],COLUMN(AN$1)-COLUMN($A$1),FALSE))</f>
        <v>2.4539980140151343E-3</v>
      </c>
      <c r="AN153" s="72">
        <f>IF(VLOOKUP($A153,raw_lb[],COLUMN(AO$1)-COLUMN($A$1),FALSE)=0, VLOOKUP($D153, regions_lb[], COLUMN(AO$1)-COLUMN($A$1), FALSE), VLOOKUP($A153,raw_lb[],COLUMN(AO$1)-COLUMN($A$1),FALSE))</f>
        <v>4.331739182041815E-3</v>
      </c>
      <c r="AO153" s="72">
        <f>IF(VLOOKUP($A153,raw_lb[],COLUMN(AP$1)-COLUMN($A$1),FALSE)=0, VLOOKUP($D153, regions_lb[], COLUMN(AP$1)-COLUMN($A$1), FALSE), VLOOKUP($A153,raw_lb[],COLUMN(AP$1)-COLUMN($A$1),FALSE))</f>
        <v>6.9165351262308536E-3</v>
      </c>
      <c r="AP153" s="72">
        <f>IF(VLOOKUP($A153,raw_lb[],COLUMN(AQ$1)-COLUMN($A$1),FALSE)=0, VLOOKUP($D153, regions_lb[], COLUMN(AQ$1)-COLUMN($A$1), FALSE), VLOOKUP($A153,raw_lb[],COLUMN(AQ$1)-COLUMN($A$1),FALSE))</f>
        <v>1.12133678106143E-2</v>
      </c>
      <c r="AQ153" s="72">
        <f>IF(VLOOKUP($A153,raw_lb[],COLUMN(AR$1)-COLUMN($A$1),FALSE)=0, VLOOKUP($D153, regions_lb[], COLUMN(AR$1)-COLUMN($A$1), FALSE), VLOOKUP($A153,raw_lb[],COLUMN(AR$1)-COLUMN($A$1),FALSE))</f>
        <v>1.7753488355746798E-2</v>
      </c>
      <c r="AR153" s="72">
        <f>IF(VLOOKUP($A153,raw_lb[],COLUMN(AS$1)-COLUMN($A$1),FALSE)=0, VLOOKUP($D153, regions_lb[], COLUMN(AS$1)-COLUMN($A$1), FALSE), VLOOKUP($A153,raw_lb[],COLUMN(AS$1)-COLUMN($A$1),FALSE))</f>
        <v>2.9194178255818048E-2</v>
      </c>
      <c r="AS153" s="82">
        <f>IF(VLOOKUP($A153,raw_lb[],COLUMN(AS$1),FALSE)=0, VLOOKUP($D153, regions_lb[], COLUMN(AS$1), FALSE), VLOOKUP($A153,raw_lb[],COLUMN(AS$1),FALSE))</f>
        <v>4.7883465355911287E-2</v>
      </c>
      <c r="AT153" s="82">
        <f>IF(VLOOKUP($A153,raw_lb[],COLUMN(AT$1),FALSE)=0, VLOOKUP($D153, regions_lb[], COLUMN(AT$1), FALSE), VLOOKUP($A153,raw_lb[],COLUMN(AT$1),FALSE))</f>
        <v>7.2061294417439248E-2</v>
      </c>
      <c r="AU153" s="82">
        <f>IF(VLOOKUP($A153,raw_lb[],COLUMN(AU$1),FALSE)=0, VLOOKUP($D153, regions_lb[], COLUMN(AU$1), FALSE), VLOOKUP($A153,raw_lb[],COLUMN(AU$1),FALSE))</f>
        <v>0.1026378957436368</v>
      </c>
      <c r="AV153" s="82">
        <f>IF(VLOOKUP($A153,raw_lb[],COLUMN(AV$1),FALSE)=0, VLOOKUP($D153, regions_lb[], COLUMN(AV$1), FALSE), VLOOKUP($A153,raw_lb[],COLUMN(AV$1),FALSE))</f>
        <v>0.13414148713923216</v>
      </c>
      <c r="AW153" s="82">
        <f>IF(VLOOKUP($A153,raw_lb[],COLUMN(AW$1),FALSE)=0, VLOOKUP($D153, regions_lb[], COLUMN(AW$1), FALSE), VLOOKUP($A153,raw_lb[],COLUMN(AW$1),FALSE))</f>
        <v>0.1597935112258701</v>
      </c>
      <c r="AX153" s="82">
        <f>IF(VLOOKUP($A153,raw_lb[],COLUMN(AX$1),FALSE)=0, VLOOKUP($D153, regions_lb[], COLUMN(AX$1), FALSE), VLOOKUP($A153,raw_lb[],COLUMN(AX$1),FALSE))</f>
        <v>73.3172</v>
      </c>
      <c r="AY153" t="str">
        <f t="shared" si="5"/>
        <v>Yes</v>
      </c>
    </row>
    <row r="154" spans="1:51" x14ac:dyDescent="0.25">
      <c r="A154" s="53" t="s">
        <v>243</v>
      </c>
      <c r="B154" s="54" t="s">
        <v>244</v>
      </c>
      <c r="C154" s="54">
        <v>72</v>
      </c>
      <c r="D154" s="54" t="s">
        <v>207</v>
      </c>
      <c r="E154" s="54" t="s">
        <v>245</v>
      </c>
      <c r="F154" s="54" t="s">
        <v>211</v>
      </c>
      <c r="G154" s="54" t="s">
        <v>204</v>
      </c>
      <c r="H154" s="73"/>
      <c r="I154" s="73"/>
      <c r="J154" s="67">
        <f>IF(VLOOKUP($A154,raw_lb[],COLUMN(J$1),FALSE)=0, VLOOKUP($D154, regions_lb[], COLUMN(J$1), FALSE), VLOOKUP($A154,raw_lb[],COLUMN(J$1),FALSE))</f>
        <v>0.94714999999999994</v>
      </c>
      <c r="K154" s="77">
        <f>VLOOKUP($A154, raw_lb[], 11, FALSE)</f>
        <v>0</v>
      </c>
      <c r="L154" s="77">
        <f>VLOOKUP($A154, raw_lb[], 12, FALSE)</f>
        <v>0.90249999999999997</v>
      </c>
      <c r="M154" s="77">
        <f>IF(VLOOKUP($A154,raw_lb[],COLUMN(M$1),FALSE)=0, VLOOKUP($D154, regions_lb[], COLUMN(M$1), FALSE), VLOOKUP($A154,raw_lb[],COLUMN(M$1),FALSE))</f>
        <v>3.5999999999999999E-3</v>
      </c>
      <c r="N154" s="68">
        <f>IF(VLOOKUP($A154,raw_lb[],COLUMN(N$1),FALSE)=0, VLOOKUP($D154, regions_lb[], COLUMN(N$1), FALSE), VLOOKUP($A154,raw_lb[],COLUMN(N$1),FALSE))</f>
        <v>0.15109999999999998</v>
      </c>
      <c r="O154" s="67">
        <f>IF(VLOOKUP($A154,raw_lb[],COLUMN(O$1),FALSE)=0, VLOOKUP($D154, regions_lb[], COLUMN(O$1), FALSE), VLOOKUP($A154,raw_lb[],COLUMN(O$1),FALSE))</f>
        <v>7.0000000000000007E-2</v>
      </c>
      <c r="P154" s="68">
        <f>IF(VLOOKUP($A154,raw_lb[],COLUMN(P$1),FALSE)=0, VLOOKUP($D154, regions_lb[], COLUMN(P$1), FALSE), VLOOKUP($A154,raw_lb[],COLUMN(P$1),FALSE))</f>
        <v>1E-3</v>
      </c>
      <c r="Q154" s="70">
        <f>IF(VLOOKUP($A154,raw_lb[],COLUMN(Q$1),FALSE)=0, VLOOKUP($D154, regions_lb[], COLUMN(Q$1), FALSE), VLOOKUP($A154,raw_lb[],COLUMN(Q$1),FALSE))</f>
        <v>2.5959038176033902</v>
      </c>
      <c r="R154" s="70">
        <f>IF(VLOOKUP($A154,raw_lb[],COLUMN(R$1),FALSE)=0, VLOOKUP($D154, regions_lb[], COLUMN(R$1), FALSE), VLOOKUP($A154,raw_lb[],COLUMN(R$1),FALSE))</f>
        <v>9.6568038176033912</v>
      </c>
      <c r="S154" s="70">
        <f>IF(VLOOKUP($A154,raw_lb[],COLUMN(S$1),FALSE)=0, VLOOKUP($D154, regions_lb[], COLUMN(S$1), FALSE), VLOOKUP($A154,raw_lb[],COLUMN(S$1),FALSE))</f>
        <v>56.133765837762908</v>
      </c>
      <c r="T154" s="70">
        <f>IF(VLOOKUP($A154,raw_lb[],COLUMN(U$1)-COLUMN($A$1),FALSE)=0, VLOOKUP($D154, regions_lb[], COLUMN(U$1)-COLUMN($A$1), FALSE), VLOOKUP($A154,raw_lb[],COLUMN(U$1)-COLUMN($A$1),FALSE))</f>
        <v>65.115411418631481</v>
      </c>
      <c r="U154" s="70">
        <f>IF(VLOOKUP($A154,raw_lb[],COLUMN(V$1)-COLUMN($A$1),FALSE)=0, VLOOKUP($D154, regions_lb[], COLUMN(V$1)-COLUMN($A$1), FALSE), VLOOKUP($A154,raw_lb[],COLUMN(V$1)-COLUMN($A$1),FALSE))</f>
        <v>60.991229615698515</v>
      </c>
      <c r="V154" s="70">
        <f>IF(VLOOKUP($A154,raw_lb[],COLUMN(W$1)-COLUMN($A$1),FALSE)=0, VLOOKUP($D154, regions_lb[], COLUMN(W$1)-COLUMN($A$1), FALSE), VLOOKUP($A154,raw_lb[],COLUMN(W$1)-COLUMN($A$1),FALSE))</f>
        <v>3.5579890412876511</v>
      </c>
      <c r="W154" s="70">
        <f>IF(VLOOKUP($A154,raw_lb[],COLUMN(X$1)-COLUMN($A$1),FALSE)=0, VLOOKUP($D154, regions_lb[], COLUMN(X$1)-COLUMN($A$1), FALSE), VLOOKUP($A154,raw_lb[],COLUMN(X$1)-COLUMN($A$1),FALSE))</f>
        <v>8.1464890412876514</v>
      </c>
      <c r="X154" s="70">
        <f>IF(VLOOKUP($A154,raw_lb[],COLUMN(Y$1)-COLUMN($A$1),FALSE)=0, VLOOKUP($D154, regions_lb[], COLUMN(Y$1)-COLUMN($A$1), FALSE), VLOOKUP($A154,raw_lb[],COLUMN(Y$1)-COLUMN($A$1),FALSE))</f>
        <v>3.0822801157901214</v>
      </c>
      <c r="Y154" s="70">
        <f>IF(VLOOKUP($A154,raw_lb[],COLUMN(Z$1)-COLUMN($A$1),FALSE)=0, VLOOKUP($D154, regions_lb[], COLUMN(Z$1)-COLUMN($A$1), FALSE), VLOOKUP($A154,raw_lb[],COLUMN(Z$1)-COLUMN($A$1),FALSE))</f>
        <v>7.6707801157901212</v>
      </c>
      <c r="Z154" s="70">
        <f>IF(VLOOKUP($A154,raw_lb[],COLUMN(AA$1)-COLUMN($A$1),FALSE)=0, VLOOKUP($D154, regions_lb[], COLUMN(AA$1)-COLUMN($A$1), FALSE), VLOOKUP($A154,raw_lb[],COLUMN(AA$1)-COLUMN($A$1),FALSE))</f>
        <v>7.6661126681412561</v>
      </c>
      <c r="AA154" s="70">
        <f>IF(VLOOKUP($A154,raw_lb[],COLUMN(AB$1)-COLUMN($A$1),FALSE)=0, VLOOKUP($D154, regions_lb[], COLUMN(AB$1)-COLUMN($A$1), FALSE), VLOOKUP($A154,raw_lb[],COLUMN(AB$1)-COLUMN($A$1),FALSE))</f>
        <v>3.7167119002832032</v>
      </c>
      <c r="AB154" s="70">
        <f>IF(VLOOKUP($A154,raw_lb[],COLUMN(AC$1)-COLUMN($A$1),FALSE)=0, VLOOKUP($D154, regions_lb[], COLUMN(AC$1)-COLUMN($A$1), FALSE), VLOOKUP($A154,raw_lb[],COLUMN(AC$1)-COLUMN($A$1),FALSE))</f>
        <v>8.3052119002832026</v>
      </c>
      <c r="AC154" s="72">
        <f>IF(VLOOKUP($A154,raw_lb[],COLUMN(AD$1)-COLUMN($A$1),FALSE)=0, VLOOKUP($D154, regions_lb[], COLUMN(AD$1)-COLUMN($A$1), FALSE), VLOOKUP($A154,raw_lb[],COLUMN(AD$1)-COLUMN($A$1),FALSE))</f>
        <v>2.8652702999999936E-2</v>
      </c>
      <c r="AD154" s="72">
        <f>IF(VLOOKUP($A154,raw_lb[],COLUMN(AE$1)-COLUMN($A$1),FALSE)=0, VLOOKUP($D154, regions_lb[], COLUMN(AE$1)-COLUMN($A$1), FALSE), VLOOKUP($A154,raw_lb[],COLUMN(AE$1)-COLUMN($A$1),FALSE))</f>
        <v>1.9148268446051728E-3</v>
      </c>
      <c r="AE154" s="72">
        <f>IF(VLOOKUP($A154,raw_lb[],COLUMN(AF$1)-COLUMN($A$1),FALSE)=0, VLOOKUP($D154, regions_lb[], COLUMN(AF$1)-COLUMN($A$1), FALSE), VLOOKUP($A154,raw_lb[],COLUMN(AF$1)-COLUMN($A$1),FALSE))</f>
        <v>4.9588771543212259E-4</v>
      </c>
      <c r="AF154" s="72">
        <f>IF(VLOOKUP($A154,raw_lb[],COLUMN(AG$1)-COLUMN($A$1),FALSE)=0, VLOOKUP($D154, regions_lb[], COLUMN(AG$1)-COLUMN($A$1), FALSE), VLOOKUP($A154,raw_lb[],COLUMN(AG$1)-COLUMN($A$1),FALSE))</f>
        <v>4.1648511985589362E-4</v>
      </c>
      <c r="AG154" s="72">
        <f>IF(VLOOKUP($A154,raw_lb[],COLUMN(AH$1)-COLUMN($A$1),FALSE)=0, VLOOKUP($D154, regions_lb[], COLUMN(AH$1)-COLUMN($A$1), FALSE), VLOOKUP($A154,raw_lb[],COLUMN(AH$1)-COLUMN($A$1),FALSE))</f>
        <v>7.458079014176169E-4</v>
      </c>
      <c r="AH154" s="72">
        <f>IF(VLOOKUP($A154,raw_lb[],COLUMN(AI$1)-COLUMN($A$1),FALSE)=0, VLOOKUP($D154, regions_lb[], COLUMN(AI$1)-COLUMN($A$1), FALSE), VLOOKUP($A154,raw_lb[],COLUMN(AI$1)-COLUMN($A$1),FALSE))</f>
        <v>1.3138152123476424E-3</v>
      </c>
      <c r="AI154" s="72">
        <f>IF(VLOOKUP($A154,raw_lb[],COLUMN(AJ$1)-COLUMN($A$1),FALSE)=0, VLOOKUP($D154, regions_lb[], COLUMN(AJ$1)-COLUMN($A$1), FALSE), VLOOKUP($A154,raw_lb[],COLUMN(AJ$1)-COLUMN($A$1),FALSE))</f>
        <v>2.0921529555389009E-3</v>
      </c>
      <c r="AJ154" s="72">
        <f>IF(VLOOKUP($A154,raw_lb[],COLUMN(AK$1)-COLUMN($A$1),FALSE)=0, VLOOKUP($D154, regions_lb[], COLUMN(AK$1)-COLUMN($A$1), FALSE), VLOOKUP($A154,raw_lb[],COLUMN(AK$1)-COLUMN($A$1),FALSE))</f>
        <v>2.9812563550634524E-3</v>
      </c>
      <c r="AK154" s="72">
        <f>IF(VLOOKUP($A154,raw_lb[],COLUMN(AL$1)-COLUMN($A$1),FALSE)=0, VLOOKUP($D154, regions_lb[], COLUMN(AL$1)-COLUMN($A$1), FALSE), VLOOKUP($A154,raw_lb[],COLUMN(AL$1)-COLUMN($A$1),FALSE))</f>
        <v>4.2911497381733577E-3</v>
      </c>
      <c r="AL154" s="72">
        <f>IF(VLOOKUP($A154,raw_lb[],COLUMN(AM$1)-COLUMN($A$1),FALSE)=0, VLOOKUP($D154, regions_lb[], COLUMN(AM$1)-COLUMN($A$1), FALSE), VLOOKUP($A154,raw_lb[],COLUMN(AM$1)-COLUMN($A$1),FALSE))</f>
        <v>5.3454674600744694E-3</v>
      </c>
      <c r="AM154" s="72">
        <f>IF(VLOOKUP($A154,raw_lb[],COLUMN(AN$1)-COLUMN($A$1),FALSE)=0, VLOOKUP($D154, regions_lb[], COLUMN(AN$1)-COLUMN($A$1), FALSE), VLOOKUP($A154,raw_lb[],COLUMN(AN$1)-COLUMN($A$1),FALSE))</f>
        <v>6.6589530958325056E-3</v>
      </c>
      <c r="AN154" s="72">
        <f>IF(VLOOKUP($A154,raw_lb[],COLUMN(AO$1)-COLUMN($A$1),FALSE)=0, VLOOKUP($D154, regions_lb[], COLUMN(AO$1)-COLUMN($A$1), FALSE), VLOOKUP($A154,raw_lb[],COLUMN(AO$1)-COLUMN($A$1),FALSE))</f>
        <v>8.5145043645468259E-3</v>
      </c>
      <c r="AO154" s="72">
        <f>IF(VLOOKUP($A154,raw_lb[],COLUMN(AP$1)-COLUMN($A$1),FALSE)=0, VLOOKUP($D154, regions_lb[], COLUMN(AP$1)-COLUMN($A$1), FALSE), VLOOKUP($A154,raw_lb[],COLUMN(AP$1)-COLUMN($A$1),FALSE))</f>
        <v>1.0637421361858645E-2</v>
      </c>
      <c r="AP154" s="72">
        <f>IF(VLOOKUP($A154,raw_lb[],COLUMN(AQ$1)-COLUMN($A$1),FALSE)=0, VLOOKUP($D154, regions_lb[], COLUMN(AQ$1)-COLUMN($A$1), FALSE), VLOOKUP($A154,raw_lb[],COLUMN(AQ$1)-COLUMN($A$1),FALSE))</f>
        <v>1.4866609975559603E-2</v>
      </c>
      <c r="AQ154" s="72">
        <f>IF(VLOOKUP($A154,raw_lb[],COLUMN(AR$1)-COLUMN($A$1),FALSE)=0, VLOOKUP($D154, regions_lb[], COLUMN(AR$1)-COLUMN($A$1), FALSE), VLOOKUP($A154,raw_lb[],COLUMN(AR$1)-COLUMN($A$1),FALSE))</f>
        <v>2.2320859044271869E-2</v>
      </c>
      <c r="AR154" s="72">
        <f>IF(VLOOKUP($A154,raw_lb[],COLUMN(AS$1)-COLUMN($A$1),FALSE)=0, VLOOKUP($D154, regions_lb[], COLUMN(AS$1)-COLUMN($A$1), FALSE), VLOOKUP($A154,raw_lb[],COLUMN(AS$1)-COLUMN($A$1),FALSE))</f>
        <v>3.4186560919546673E-2</v>
      </c>
      <c r="AS154" s="82">
        <f>IF(VLOOKUP($A154,raw_lb[],COLUMN(AS$1),FALSE)=0, VLOOKUP($D154, regions_lb[], COLUMN(AS$1), FALSE), VLOOKUP($A154,raw_lb[],COLUMN(AS$1),FALSE))</f>
        <v>5.2226818976815685E-2</v>
      </c>
      <c r="AT154" s="82">
        <f>IF(VLOOKUP($A154,raw_lb[],COLUMN(AT$1),FALSE)=0, VLOOKUP($D154, regions_lb[], COLUMN(AT$1), FALSE), VLOOKUP($A154,raw_lb[],COLUMN(AT$1),FALSE))</f>
        <v>8.1290084987695549E-2</v>
      </c>
      <c r="AU154" s="82">
        <f>IF(VLOOKUP($A154,raw_lb[],COLUMN(AU$1),FALSE)=0, VLOOKUP($D154, regions_lb[], COLUMN(AU$1), FALSE), VLOOKUP($A154,raw_lb[],COLUMN(AU$1),FALSE))</f>
        <v>0.11951399751786188</v>
      </c>
      <c r="AV154" s="82">
        <f>IF(VLOOKUP($A154,raw_lb[],COLUMN(AV$1),FALSE)=0, VLOOKUP($D154, regions_lb[], COLUMN(AV$1), FALSE), VLOOKUP($A154,raw_lb[],COLUMN(AV$1),FALSE))</f>
        <v>0.15580207754378333</v>
      </c>
      <c r="AW154" s="82">
        <f>IF(VLOOKUP($A154,raw_lb[],COLUMN(AW$1),FALSE)=0, VLOOKUP($D154, regions_lb[], COLUMN(AW$1), FALSE), VLOOKUP($A154,raw_lb[],COLUMN(AW$1),FALSE))</f>
        <v>0.17329928677890458</v>
      </c>
      <c r="AX154" s="82">
        <f>IF(VLOOKUP($A154,raw_lb[],COLUMN(AX$1),FALSE)=0, VLOOKUP($D154, regions_lb[], COLUMN(AX$1), FALSE), VLOOKUP($A154,raw_lb[],COLUMN(AX$1),FALSE))</f>
        <v>65.640249999999995</v>
      </c>
      <c r="AY154" t="str">
        <f t="shared" si="5"/>
        <v>Yes</v>
      </c>
    </row>
    <row r="155" spans="1:51" x14ac:dyDescent="0.25">
      <c r="A155" s="55" t="s">
        <v>246</v>
      </c>
      <c r="B155" s="56" t="s">
        <v>247</v>
      </c>
      <c r="C155" s="56">
        <v>76</v>
      </c>
      <c r="D155" s="56" t="s">
        <v>215</v>
      </c>
      <c r="E155" s="56" t="s">
        <v>248</v>
      </c>
      <c r="F155" s="56" t="s">
        <v>217</v>
      </c>
      <c r="G155" s="56" t="s">
        <v>204</v>
      </c>
      <c r="H155" s="74"/>
      <c r="I155" s="74"/>
      <c r="J155" s="67">
        <f>IF(VLOOKUP($A155,raw_lb[],COLUMN(J$1),FALSE)=0, VLOOKUP($D155, regions_lb[], COLUMN(J$1), FALSE), VLOOKUP($A155,raw_lb[],COLUMN(J$1),FALSE))</f>
        <v>0.9414499999999999</v>
      </c>
      <c r="K155" s="77">
        <f>VLOOKUP($A155, raw_lb[], 11, FALSE)</f>
        <v>0.59849999999999992</v>
      </c>
      <c r="L155" s="77">
        <f>VLOOKUP($A155, raw_lb[], 12, FALSE)</f>
        <v>0.73149999999999993</v>
      </c>
      <c r="M155" s="77">
        <f>IF(VLOOKUP($A155,raw_lb[],COLUMN(M$1),FALSE)=0, VLOOKUP($D155, regions_lb[], COLUMN(M$1), FALSE), VLOOKUP($A155,raw_lb[],COLUMN(M$1),FALSE))</f>
        <v>5.3E-3</v>
      </c>
      <c r="N155" s="68">
        <f>IF(VLOOKUP($A155,raw_lb[],COLUMN(N$1),FALSE)=0, VLOOKUP($D155, regions_lb[], COLUMN(N$1), FALSE), VLOOKUP($A155,raw_lb[],COLUMN(N$1),FALSE))</f>
        <v>0.17010000000000003</v>
      </c>
      <c r="O155" s="67">
        <f>IF(VLOOKUP($A155,raw_lb[],COLUMN(O$1),FALSE)=0, VLOOKUP($D155, regions_lb[], COLUMN(O$1), FALSE), VLOOKUP($A155,raw_lb[],COLUMN(O$1),FALSE))</f>
        <v>0.7</v>
      </c>
      <c r="P155" s="68">
        <f>IF(VLOOKUP($A155,raw_lb[],COLUMN(P$1),FALSE)=0, VLOOKUP($D155, regions_lb[], COLUMN(P$1), FALSE), VLOOKUP($A155,raw_lb[],COLUMN(P$1),FALSE))</f>
        <v>0.05</v>
      </c>
      <c r="Q155" s="70">
        <f>IF(VLOOKUP($A155,raw_lb[],COLUMN(Q$1),FALSE)=0, VLOOKUP($D155, regions_lb[], COLUMN(Q$1), FALSE), VLOOKUP($A155,raw_lb[],COLUMN(Q$1),FALSE))</f>
        <v>1.0032717246484091</v>
      </c>
      <c r="R155" s="70">
        <f>IF(VLOOKUP($A155,raw_lb[],COLUMN(R$1),FALSE)=0, VLOOKUP($D155, regions_lb[], COLUMN(R$1), FALSE), VLOOKUP($A155,raw_lb[],COLUMN(R$1),FALSE))</f>
        <v>8.0641717246484106</v>
      </c>
      <c r="S155" s="70">
        <f>IF(VLOOKUP($A155,raw_lb[],COLUMN(S$1),FALSE)=0, VLOOKUP($D155, regions_lb[], COLUMN(S$1), FALSE), VLOOKUP($A155,raw_lb[],COLUMN(S$1),FALSE))</f>
        <v>40.962910488080126</v>
      </c>
      <c r="T155" s="70">
        <f>IF(VLOOKUP($A155,raw_lb[],COLUMN(U$1)-COLUMN($A$1),FALSE)=0, VLOOKUP($D155, regions_lb[], COLUMN(U$1)-COLUMN($A$1), FALSE), VLOOKUP($A155,raw_lb[],COLUMN(U$1)-COLUMN($A$1),FALSE))</f>
        <v>42.877565438305311</v>
      </c>
      <c r="U155" s="70">
        <f>IF(VLOOKUP($A155,raw_lb[],COLUMN(V$1)-COLUMN($A$1),FALSE)=0, VLOOKUP($D155, regions_lb[], COLUMN(V$1)-COLUMN($A$1), FALSE), VLOOKUP($A155,raw_lb[],COLUMN(V$1)-COLUMN($A$1),FALSE))</f>
        <v>41.998396355811792</v>
      </c>
      <c r="V155" s="70">
        <f>IF(VLOOKUP($A155,raw_lb[],COLUMN(W$1)-COLUMN($A$1),FALSE)=0, VLOOKUP($D155, regions_lb[], COLUMN(W$1)-COLUMN($A$1), FALSE), VLOOKUP($A155,raw_lb[],COLUMN(W$1)-COLUMN($A$1),FALSE))</f>
        <v>0.98303210083449188</v>
      </c>
      <c r="W155" s="70">
        <f>IF(VLOOKUP($A155,raw_lb[],COLUMN(X$1)-COLUMN($A$1),FALSE)=0, VLOOKUP($D155, regions_lb[], COLUMN(X$1)-COLUMN($A$1), FALSE), VLOOKUP($A155,raw_lb[],COLUMN(X$1)-COLUMN($A$1),FALSE))</f>
        <v>1.0020321008344919</v>
      </c>
      <c r="X155" s="70">
        <f>IF(VLOOKUP($A155,raw_lb[],COLUMN(Y$1)-COLUMN($A$1),FALSE)=0, VLOOKUP($D155, regions_lb[], COLUMN(Y$1)-COLUMN($A$1), FALSE), VLOOKUP($A155,raw_lb[],COLUMN(Y$1)-COLUMN($A$1),FALSE))</f>
        <v>0.50668779787649854</v>
      </c>
      <c r="Y155" s="70">
        <f>IF(VLOOKUP($A155,raw_lb[],COLUMN(Z$1)-COLUMN($A$1),FALSE)=0, VLOOKUP($D155, regions_lb[], COLUMN(Z$1)-COLUMN($A$1), FALSE), VLOOKUP($A155,raw_lb[],COLUMN(Z$1)-COLUMN($A$1),FALSE))</f>
        <v>0.52568779787649855</v>
      </c>
      <c r="Z155" s="70">
        <f>IF(VLOOKUP($A155,raw_lb[],COLUMN(AA$1)-COLUMN($A$1),FALSE)=0, VLOOKUP($D155, regions_lb[], COLUMN(AA$1)-COLUMN($A$1), FALSE), VLOOKUP($A155,raw_lb[],COLUMN(AA$1)-COLUMN($A$1),FALSE))</f>
        <v>0.52050582245753274</v>
      </c>
      <c r="AA155" s="70">
        <f>IF(VLOOKUP($A155,raw_lb[],COLUMN(AB$1)-COLUMN($A$1),FALSE)=0, VLOOKUP($D155, regions_lb[], COLUMN(AB$1)-COLUMN($A$1), FALSE), VLOOKUP($A155,raw_lb[],COLUMN(AB$1)-COLUMN($A$1),FALSE))</f>
        <v>1.1437155531366177</v>
      </c>
      <c r="AB155" s="70">
        <f>IF(VLOOKUP($A155,raw_lb[],COLUMN(AC$1)-COLUMN($A$1),FALSE)=0, VLOOKUP($D155, regions_lb[], COLUMN(AC$1)-COLUMN($A$1), FALSE), VLOOKUP($A155,raw_lb[],COLUMN(AC$1)-COLUMN($A$1),FALSE))</f>
        <v>1.1627155531366176</v>
      </c>
      <c r="AC155" s="72">
        <f>IF(VLOOKUP($A155,raw_lb[],COLUMN(AD$1)-COLUMN($A$1),FALSE)=0, VLOOKUP($D155, regions_lb[], COLUMN(AD$1)-COLUMN($A$1), FALSE), VLOOKUP($A155,raw_lb[],COLUMN(AD$1)-COLUMN($A$1),FALSE))</f>
        <v>1.2366235500000024E-2</v>
      </c>
      <c r="AD155" s="72">
        <f>IF(VLOOKUP($A155,raw_lb[],COLUMN(AE$1)-COLUMN($A$1),FALSE)=0, VLOOKUP($D155, regions_lb[], COLUMN(AE$1)-COLUMN($A$1), FALSE), VLOOKUP($A155,raw_lb[],COLUMN(AE$1)-COLUMN($A$1),FALSE))</f>
        <v>5.3719965120772851E-4</v>
      </c>
      <c r="AE155" s="72">
        <f>IF(VLOOKUP($A155,raw_lb[],COLUMN(AF$1)-COLUMN($A$1),FALSE)=0, VLOOKUP($D155, regions_lb[], COLUMN(AF$1)-COLUMN($A$1), FALSE), VLOOKUP($A155,raw_lb[],COLUMN(AF$1)-COLUMN($A$1),FALSE))</f>
        <v>2.147524764801908E-4</v>
      </c>
      <c r="AF155" s="72">
        <f>IF(VLOOKUP($A155,raw_lb[],COLUMN(AG$1)-COLUMN($A$1),FALSE)=0, VLOOKUP($D155, regions_lb[], COLUMN(AG$1)-COLUMN($A$1), FALSE), VLOOKUP($A155,raw_lb[],COLUMN(AG$1)-COLUMN($A$1),FALSE))</f>
        <v>2.9505089385476277E-4</v>
      </c>
      <c r="AG155" s="72">
        <f>IF(VLOOKUP($A155,raw_lb[],COLUMN(AH$1)-COLUMN($A$1),FALSE)=0, VLOOKUP($D155, regions_lb[], COLUMN(AH$1)-COLUMN($A$1), FALSE), VLOOKUP($A155,raw_lb[],COLUMN(AH$1)-COLUMN($A$1),FALSE))</f>
        <v>1.0292513792218836E-3</v>
      </c>
      <c r="AH155" s="72">
        <f>IF(VLOOKUP($A155,raw_lb[],COLUMN(AI$1)-COLUMN($A$1),FALSE)=0, VLOOKUP($D155, regions_lb[], COLUMN(AI$1)-COLUMN($A$1), FALSE), VLOOKUP($A155,raw_lb[],COLUMN(AI$1)-COLUMN($A$1),FALSE))</f>
        <v>1.5641572111942692E-3</v>
      </c>
      <c r="AI155" s="72">
        <f>IF(VLOOKUP($A155,raw_lb[],COLUMN(AJ$1)-COLUMN($A$1),FALSE)=0, VLOOKUP($D155, regions_lb[], COLUMN(AJ$1)-COLUMN($A$1), FALSE), VLOOKUP($A155,raw_lb[],COLUMN(AJ$1)-COLUMN($A$1),FALSE))</f>
        <v>1.4952274501821158E-3</v>
      </c>
      <c r="AJ155" s="72">
        <f>IF(VLOOKUP($A155,raw_lb[],COLUMN(AK$1)-COLUMN($A$1),FALSE)=0, VLOOKUP($D155, regions_lb[], COLUMN(AK$1)-COLUMN($A$1), FALSE), VLOOKUP($A155,raw_lb[],COLUMN(AK$1)-COLUMN($A$1),FALSE))</f>
        <v>1.7245175007047989E-3</v>
      </c>
      <c r="AK155" s="72">
        <f>IF(VLOOKUP($A155,raw_lb[],COLUMN(AL$1)-COLUMN($A$1),FALSE)=0, VLOOKUP($D155, regions_lb[], COLUMN(AL$1)-COLUMN($A$1), FALSE), VLOOKUP($A155,raw_lb[],COLUMN(AL$1)-COLUMN($A$1),FALSE))</f>
        <v>2.178240417094815E-3</v>
      </c>
      <c r="AL155" s="72">
        <f>IF(VLOOKUP($A155,raw_lb[],COLUMN(AM$1)-COLUMN($A$1),FALSE)=0, VLOOKUP($D155, regions_lb[], COLUMN(AM$1)-COLUMN($A$1), FALSE), VLOOKUP($A155,raw_lb[],COLUMN(AM$1)-COLUMN($A$1),FALSE))</f>
        <v>2.8017400176018107E-3</v>
      </c>
      <c r="AM155" s="72">
        <f>IF(VLOOKUP($A155,raw_lb[],COLUMN(AN$1)-COLUMN($A$1),FALSE)=0, VLOOKUP($D155, regions_lb[], COLUMN(AN$1)-COLUMN($A$1), FALSE), VLOOKUP($A155,raw_lb[],COLUMN(AN$1)-COLUMN($A$1),FALSE))</f>
        <v>4.0414131174501986E-3</v>
      </c>
      <c r="AN155" s="72">
        <f>IF(VLOOKUP($A155,raw_lb[],COLUMN(AO$1)-COLUMN($A$1),FALSE)=0, VLOOKUP($D155, regions_lb[], COLUMN(AO$1)-COLUMN($A$1), FALSE), VLOOKUP($A155,raw_lb[],COLUMN(AO$1)-COLUMN($A$1),FALSE))</f>
        <v>5.7617333536563722E-3</v>
      </c>
      <c r="AO155" s="72">
        <f>IF(VLOOKUP($A155,raw_lb[],COLUMN(AP$1)-COLUMN($A$1),FALSE)=0, VLOOKUP($D155, regions_lb[], COLUMN(AP$1)-COLUMN($A$1), FALSE), VLOOKUP($A155,raw_lb[],COLUMN(AP$1)-COLUMN($A$1),FALSE))</f>
        <v>8.1437531301908287E-3</v>
      </c>
      <c r="AP155" s="72">
        <f>IF(VLOOKUP($A155,raw_lb[],COLUMN(AQ$1)-COLUMN($A$1),FALSE)=0, VLOOKUP($D155, regions_lb[], COLUMN(AQ$1)-COLUMN($A$1), FALSE), VLOOKUP($A155,raw_lb[],COLUMN(AQ$1)-COLUMN($A$1),FALSE))</f>
        <v>1.2121484616767986E-2</v>
      </c>
      <c r="AQ155" s="72">
        <f>IF(VLOOKUP($A155,raw_lb[],COLUMN(AR$1)-COLUMN($A$1),FALSE)=0, VLOOKUP($D155, regions_lb[], COLUMN(AR$1)-COLUMN($A$1), FALSE), VLOOKUP($A155,raw_lb[],COLUMN(AR$1)-COLUMN($A$1),FALSE))</f>
        <v>1.7951825475725752E-2</v>
      </c>
      <c r="AR155" s="72">
        <f>IF(VLOOKUP($A155,raw_lb[],COLUMN(AS$1)-COLUMN($A$1),FALSE)=0, VLOOKUP($D155, regions_lb[], COLUMN(AS$1)-COLUMN($A$1), FALSE), VLOOKUP($A155,raw_lb[],COLUMN(AS$1)-COLUMN($A$1),FALSE))</f>
        <v>2.5518553732218046E-2</v>
      </c>
      <c r="AS155" s="82">
        <f>IF(VLOOKUP($A155,raw_lb[],COLUMN(AS$1),FALSE)=0, VLOOKUP($D155, regions_lb[], COLUMN(AS$1), FALSE), VLOOKUP($A155,raw_lb[],COLUMN(AS$1),FALSE))</f>
        <v>3.8179729857199328E-2</v>
      </c>
      <c r="AT155" s="82">
        <f>IF(VLOOKUP($A155,raw_lb[],COLUMN(AT$1),FALSE)=0, VLOOKUP($D155, regions_lb[], COLUMN(AT$1), FALSE), VLOOKUP($A155,raw_lb[],COLUMN(AT$1),FALSE))</f>
        <v>5.536122338322489E-2</v>
      </c>
      <c r="AU155" s="82">
        <f>IF(VLOOKUP($A155,raw_lb[],COLUMN(AU$1),FALSE)=0, VLOOKUP($D155, regions_lb[], COLUMN(AU$1), FALSE), VLOOKUP($A155,raw_lb[],COLUMN(AU$1),FALSE))</f>
        <v>7.688682189626718E-2</v>
      </c>
      <c r="AV155" s="82">
        <f>IF(VLOOKUP($A155,raw_lb[],COLUMN(AV$1),FALSE)=0, VLOOKUP($D155, regions_lb[], COLUMN(AV$1), FALSE), VLOOKUP($A155,raw_lb[],COLUMN(AV$1),FALSE))</f>
        <v>0.1009762982765379</v>
      </c>
      <c r="AW155" s="82">
        <f>IF(VLOOKUP($A155,raw_lb[],COLUMN(AW$1),FALSE)=0, VLOOKUP($D155, regions_lb[], COLUMN(AW$1), FALSE), VLOOKUP($A155,raw_lb[],COLUMN(AW$1),FALSE))</f>
        <v>0.13073481204058479</v>
      </c>
      <c r="AX155" s="82">
        <f>IF(VLOOKUP($A155,raw_lb[],COLUMN(AX$1),FALSE)=0, VLOOKUP($D155, regions_lb[], COLUMN(AX$1), FALSE), VLOOKUP($A155,raw_lb[],COLUMN(AX$1),FALSE))</f>
        <v>71.78295</v>
      </c>
      <c r="AY155" t="str">
        <f t="shared" si="5"/>
        <v>No</v>
      </c>
    </row>
    <row r="156" spans="1:51" x14ac:dyDescent="0.25">
      <c r="A156" s="53" t="s">
        <v>249</v>
      </c>
      <c r="B156" s="54" t="s">
        <v>250</v>
      </c>
      <c r="C156" s="54">
        <v>100</v>
      </c>
      <c r="D156" s="54" t="s">
        <v>201</v>
      </c>
      <c r="E156" s="54" t="s">
        <v>202</v>
      </c>
      <c r="F156" s="54" t="s">
        <v>203</v>
      </c>
      <c r="G156" s="54" t="s">
        <v>204</v>
      </c>
      <c r="H156" s="73"/>
      <c r="I156" s="73"/>
      <c r="J156" s="67">
        <f>IF(VLOOKUP($A156,raw_lb[],COLUMN(J$1),FALSE)=0, VLOOKUP($D156, regions_lb[], COLUMN(J$1), FALSE), VLOOKUP($A156,raw_lb[],COLUMN(J$1),FALSE))</f>
        <v>0.94714999999999994</v>
      </c>
      <c r="K156" s="77">
        <f>VLOOKUP($A156, raw_lb[], 11, FALSE)</f>
        <v>0.93099999999999994</v>
      </c>
      <c r="L156" s="77">
        <f>VLOOKUP($A156, raw_lb[], 12, FALSE)</f>
        <v>0.86449999999999994</v>
      </c>
      <c r="M156" s="77">
        <f>IF(VLOOKUP($A156,raw_lb[],COLUMN(M$1),FALSE)=0, VLOOKUP($D156, regions_lb[], COLUMN(M$1), FALSE), VLOOKUP($A156,raw_lb[],COLUMN(M$1),FALSE))</f>
        <v>1.77E-2</v>
      </c>
      <c r="N156" s="68">
        <f>IF(VLOOKUP($A156,raw_lb[],COLUMN(N$1),FALSE)=0, VLOOKUP($D156, regions_lb[], COLUMN(N$1), FALSE), VLOOKUP($A156,raw_lb[],COLUMN(N$1),FALSE))</f>
        <v>0.16329999999999997</v>
      </c>
      <c r="O156" s="67">
        <f>IF(VLOOKUP($A156,raw_lb[],COLUMN(O$1),FALSE)=0, VLOOKUP($D156, regions_lb[], COLUMN(O$1), FALSE), VLOOKUP($A156,raw_lb[],COLUMN(O$1),FALSE))</f>
        <v>0.7</v>
      </c>
      <c r="P156" s="68">
        <f>IF(VLOOKUP($A156,raw_lb[],COLUMN(P$1),FALSE)=0, VLOOKUP($D156, regions_lb[], COLUMN(P$1), FALSE), VLOOKUP($A156,raw_lb[],COLUMN(P$1),FALSE))</f>
        <v>0.05</v>
      </c>
      <c r="Q156" s="70">
        <f>IF(VLOOKUP($A156,raw_lb[],COLUMN(Q$1),FALSE)=0, VLOOKUP($D156, regions_lb[], COLUMN(Q$1), FALSE), VLOOKUP($A156,raw_lb[],COLUMN(Q$1),FALSE))</f>
        <v>2.0303765744751798</v>
      </c>
      <c r="R156" s="70">
        <f>IF(VLOOKUP($A156,raw_lb[],COLUMN(R$1),FALSE)=0, VLOOKUP($D156, regions_lb[], COLUMN(R$1), FALSE), VLOOKUP($A156,raw_lb[],COLUMN(R$1),FALSE))</f>
        <v>9.0912765744751809</v>
      </c>
      <c r="S156" s="70">
        <f>IF(VLOOKUP($A156,raw_lb[],COLUMN(S$1),FALSE)=0, VLOOKUP($D156, regions_lb[], COLUMN(S$1), FALSE), VLOOKUP($A156,raw_lb[],COLUMN(S$1),FALSE))</f>
        <v>52.30086220531161</v>
      </c>
      <c r="T156" s="70">
        <f>IF(VLOOKUP($A156,raw_lb[],COLUMN(U$1)-COLUMN($A$1),FALSE)=0, VLOOKUP($D156, regions_lb[], COLUMN(U$1)-COLUMN($A$1), FALSE), VLOOKUP($A156,raw_lb[],COLUMN(U$1)-COLUMN($A$1),FALSE))</f>
        <v>59.581952574091552</v>
      </c>
      <c r="U156" s="70">
        <f>IF(VLOOKUP($A156,raw_lb[],COLUMN(V$1)-COLUMN($A$1),FALSE)=0, VLOOKUP($D156, regions_lb[], COLUMN(V$1)-COLUMN($A$1), FALSE), VLOOKUP($A156,raw_lb[],COLUMN(V$1)-COLUMN($A$1),FALSE))</f>
        <v>56.238629779391744</v>
      </c>
      <c r="V156" s="70">
        <f>IF(VLOOKUP($A156,raw_lb[],COLUMN(W$1)-COLUMN($A$1),FALSE)=0, VLOOKUP($D156, regions_lb[], COLUMN(W$1)-COLUMN($A$1), FALSE), VLOOKUP($A156,raw_lb[],COLUMN(W$1)-COLUMN($A$1),FALSE))</f>
        <v>2.6333858612060994</v>
      </c>
      <c r="W156" s="70">
        <f>IF(VLOOKUP($A156,raw_lb[],COLUMN(X$1)-COLUMN($A$1),FALSE)=0, VLOOKUP($D156, regions_lb[], COLUMN(X$1)-COLUMN($A$1), FALSE), VLOOKUP($A156,raw_lb[],COLUMN(X$1)-COLUMN($A$1),FALSE))</f>
        <v>6.4998858612060992</v>
      </c>
      <c r="X156" s="70">
        <f>IF(VLOOKUP($A156,raw_lb[],COLUMN(Y$1)-COLUMN($A$1),FALSE)=0, VLOOKUP($D156, regions_lb[], COLUMN(Y$1)-COLUMN($A$1), FALSE), VLOOKUP($A156,raw_lb[],COLUMN(Y$1)-COLUMN($A$1),FALSE))</f>
        <v>2.1522240098597969</v>
      </c>
      <c r="Y156" s="70">
        <f>IF(VLOOKUP($A156,raw_lb[],COLUMN(Z$1)-COLUMN($A$1),FALSE)=0, VLOOKUP($D156, regions_lb[], COLUMN(Z$1)-COLUMN($A$1), FALSE), VLOOKUP($A156,raw_lb[],COLUMN(Z$1)-COLUMN($A$1),FALSE))</f>
        <v>6.0187240098597972</v>
      </c>
      <c r="Z156" s="70">
        <f>IF(VLOOKUP($A156,raw_lb[],COLUMN(AA$1)-COLUMN($A$1),FALSE)=0, VLOOKUP($D156, regions_lb[], COLUMN(AA$1)-COLUMN($A$1), FALSE), VLOOKUP($A156,raw_lb[],COLUMN(AA$1)-COLUMN($A$1),FALSE))</f>
        <v>6.0099523120336311</v>
      </c>
      <c r="AA156" s="70">
        <f>IF(VLOOKUP($A156,raw_lb[],COLUMN(AB$1)-COLUMN($A$1),FALSE)=0, VLOOKUP($D156, regions_lb[], COLUMN(AB$1)-COLUMN($A$1), FALSE), VLOOKUP($A156,raw_lb[],COLUMN(AB$1)-COLUMN($A$1),FALSE))</f>
        <v>2.8089348913921501</v>
      </c>
      <c r="AB156" s="70">
        <f>IF(VLOOKUP($A156,raw_lb[],COLUMN(AC$1)-COLUMN($A$1),FALSE)=0, VLOOKUP($D156, regions_lb[], COLUMN(AC$1)-COLUMN($A$1), FALSE), VLOOKUP($A156,raw_lb[],COLUMN(AC$1)-COLUMN($A$1),FALSE))</f>
        <v>6.6754348913921504</v>
      </c>
      <c r="AC156" s="72">
        <f>IF(VLOOKUP($A156,raw_lb[],COLUMN(AD$1)-COLUMN($A$1),FALSE)=0, VLOOKUP($D156, regions_lb[], COLUMN(AD$1)-COLUMN($A$1), FALSE), VLOOKUP($A156,raw_lb[],COLUMN(AD$1)-COLUMN($A$1),FALSE))</f>
        <v>5.9728589999999459E-3</v>
      </c>
      <c r="AD156" s="72">
        <f>IF(VLOOKUP($A156,raw_lb[],COLUMN(AE$1)-COLUMN($A$1),FALSE)=0, VLOOKUP($D156, regions_lb[], COLUMN(AE$1)-COLUMN($A$1), FALSE), VLOOKUP($A156,raw_lb[],COLUMN(AE$1)-COLUMN($A$1),FALSE))</f>
        <v>2.7948493326212614E-4</v>
      </c>
      <c r="AE156" s="72">
        <f>IF(VLOOKUP($A156,raw_lb[],COLUMN(AF$1)-COLUMN($A$1),FALSE)=0, VLOOKUP($D156, regions_lb[], COLUMN(AF$1)-COLUMN($A$1), FALSE), VLOOKUP($A156,raw_lb[],COLUMN(AF$1)-COLUMN($A$1),FALSE))</f>
        <v>1.3489505849314764E-4</v>
      </c>
      <c r="AF156" s="72">
        <f>IF(VLOOKUP($A156,raw_lb[],COLUMN(AG$1)-COLUMN($A$1),FALSE)=0, VLOOKUP($D156, regions_lb[], COLUMN(AG$1)-COLUMN($A$1), FALSE), VLOOKUP($A156,raw_lb[],COLUMN(AG$1)-COLUMN($A$1),FALSE))</f>
        <v>1.5994969424061782E-4</v>
      </c>
      <c r="AG156" s="72">
        <f>IF(VLOOKUP($A156,raw_lb[],COLUMN(AH$1)-COLUMN($A$1),FALSE)=0, VLOOKUP($D156, regions_lb[], COLUMN(AH$1)-COLUMN($A$1), FALSE), VLOOKUP($A156,raw_lb[],COLUMN(AH$1)-COLUMN($A$1),FALSE))</f>
        <v>4.1915835333620078E-4</v>
      </c>
      <c r="AH156" s="72">
        <f>IF(VLOOKUP($A156,raw_lb[],COLUMN(AI$1)-COLUMN($A$1),FALSE)=0, VLOOKUP($D156, regions_lb[], COLUMN(AI$1)-COLUMN($A$1), FALSE), VLOOKUP($A156,raw_lb[],COLUMN(AI$1)-COLUMN($A$1),FALSE))</f>
        <v>5.5324799571204232E-4</v>
      </c>
      <c r="AI156" s="72">
        <f>IF(VLOOKUP($A156,raw_lb[],COLUMN(AJ$1)-COLUMN($A$1),FALSE)=0, VLOOKUP($D156, regions_lb[], COLUMN(AJ$1)-COLUMN($A$1), FALSE), VLOOKUP($A156,raw_lb[],COLUMN(AJ$1)-COLUMN($A$1),FALSE))</f>
        <v>6.4614646294828908E-4</v>
      </c>
      <c r="AJ156" s="72">
        <f>IF(VLOOKUP($A156,raw_lb[],COLUMN(AK$1)-COLUMN($A$1),FALSE)=0, VLOOKUP($D156, regions_lb[], COLUMN(AK$1)-COLUMN($A$1), FALSE), VLOOKUP($A156,raw_lb[],COLUMN(AK$1)-COLUMN($A$1),FALSE))</f>
        <v>9.2824299179407885E-4</v>
      </c>
      <c r="AK156" s="72">
        <f>IF(VLOOKUP($A156,raw_lb[],COLUMN(AL$1)-COLUMN($A$1),FALSE)=0, VLOOKUP($D156, regions_lb[], COLUMN(AL$1)-COLUMN($A$1), FALSE), VLOOKUP($A156,raw_lb[],COLUMN(AL$1)-COLUMN($A$1),FALSE))</f>
        <v>1.3792449048633517E-3</v>
      </c>
      <c r="AL156" s="72">
        <f>IF(VLOOKUP($A156,raw_lb[],COLUMN(AM$1)-COLUMN($A$1),FALSE)=0, VLOOKUP($D156, regions_lb[], COLUMN(AM$1)-COLUMN($A$1), FALSE), VLOOKUP($A156,raw_lb[],COLUMN(AM$1)-COLUMN($A$1),FALSE))</f>
        <v>2.3110863909317114E-3</v>
      </c>
      <c r="AM156" s="72">
        <f>IF(VLOOKUP($A156,raw_lb[],COLUMN(AN$1)-COLUMN($A$1),FALSE)=0, VLOOKUP($D156, regions_lb[], COLUMN(AN$1)-COLUMN($A$1), FALSE), VLOOKUP($A156,raw_lb[],COLUMN(AN$1)-COLUMN($A$1),FALSE))</f>
        <v>4.093713030106411E-3</v>
      </c>
      <c r="AN156" s="72">
        <f>IF(VLOOKUP($A156,raw_lb[],COLUMN(AO$1)-COLUMN($A$1),FALSE)=0, VLOOKUP($D156, regions_lb[], COLUMN(AO$1)-COLUMN($A$1), FALSE), VLOOKUP($A156,raw_lb[],COLUMN(AO$1)-COLUMN($A$1),FALSE))</f>
        <v>6.7257189145403067E-3</v>
      </c>
      <c r="AO156" s="72">
        <f>IF(VLOOKUP($A156,raw_lb[],COLUMN(AP$1)-COLUMN($A$1),FALSE)=0, VLOOKUP($D156, regions_lb[], COLUMN(AP$1)-COLUMN($A$1), FALSE), VLOOKUP($A156,raw_lb[],COLUMN(AP$1)-COLUMN($A$1),FALSE))</f>
        <v>1.0347251473024994E-2</v>
      </c>
      <c r="AP156" s="72">
        <f>IF(VLOOKUP($A156,raw_lb[],COLUMN(AQ$1)-COLUMN($A$1),FALSE)=0, VLOOKUP($D156, regions_lb[], COLUMN(AQ$1)-COLUMN($A$1), FALSE), VLOOKUP($A156,raw_lb[],COLUMN(AQ$1)-COLUMN($A$1),FALSE))</f>
        <v>1.4912665422376792E-2</v>
      </c>
      <c r="AQ156" s="72">
        <f>IF(VLOOKUP($A156,raw_lb[],COLUMN(AR$1)-COLUMN($A$1),FALSE)=0, VLOOKUP($D156, regions_lb[], COLUMN(AR$1)-COLUMN($A$1), FALSE), VLOOKUP($A156,raw_lb[],COLUMN(AR$1)-COLUMN($A$1),FALSE))</f>
        <v>2.0888633954004133E-2</v>
      </c>
      <c r="AR156" s="72">
        <f>IF(VLOOKUP($A156,raw_lb[],COLUMN(AS$1)-COLUMN($A$1),FALSE)=0, VLOOKUP($D156, regions_lb[], COLUMN(AS$1)-COLUMN($A$1), FALSE), VLOOKUP($A156,raw_lb[],COLUMN(AS$1)-COLUMN($A$1),FALSE))</f>
        <v>2.9750041738832788E-2</v>
      </c>
      <c r="AS156" s="82">
        <f>IF(VLOOKUP($A156,raw_lb[],COLUMN(AS$1),FALSE)=0, VLOOKUP($D156, regions_lb[], COLUMN(AS$1), FALSE), VLOOKUP($A156,raw_lb[],COLUMN(AS$1),FALSE))</f>
        <v>4.5542502670418934E-2</v>
      </c>
      <c r="AT156" s="82">
        <f>IF(VLOOKUP($A156,raw_lb[],COLUMN(AT$1),FALSE)=0, VLOOKUP($D156, regions_lb[], COLUMN(AT$1), FALSE), VLOOKUP($A156,raw_lb[],COLUMN(AT$1),FALSE))</f>
        <v>7.3353657172311348E-2</v>
      </c>
      <c r="AU156" s="82">
        <f>IF(VLOOKUP($A156,raw_lb[],COLUMN(AU$1),FALSE)=0, VLOOKUP($D156, regions_lb[], COLUMN(AU$1), FALSE), VLOOKUP($A156,raw_lb[],COLUMN(AU$1),FALSE))</f>
        <v>0.12259507227922638</v>
      </c>
      <c r="AV156" s="82">
        <f>IF(VLOOKUP($A156,raw_lb[],COLUMN(AV$1),FALSE)=0, VLOOKUP($D156, regions_lb[], COLUMN(AV$1), FALSE), VLOOKUP($A156,raw_lb[],COLUMN(AV$1),FALSE))</f>
        <v>0.14318944659129254</v>
      </c>
      <c r="AW156" s="82">
        <f>IF(VLOOKUP($A156,raw_lb[],COLUMN(AW$1),FALSE)=0, VLOOKUP($D156, regions_lb[], COLUMN(AW$1), FALSE), VLOOKUP($A156,raw_lb[],COLUMN(AW$1),FALSE))</f>
        <v>0.16853348461672046</v>
      </c>
      <c r="AX156" s="82">
        <f>IF(VLOOKUP($A156,raw_lb[],COLUMN(AX$1),FALSE)=0, VLOOKUP($D156, regions_lb[], COLUMN(AX$1), FALSE), VLOOKUP($A156,raw_lb[],COLUMN(AX$1),FALSE))</f>
        <v>71.104649999999992</v>
      </c>
      <c r="AY156" t="str">
        <f t="shared" si="5"/>
        <v>No</v>
      </c>
    </row>
    <row r="157" spans="1:51" x14ac:dyDescent="0.25">
      <c r="A157" s="55" t="s">
        <v>251</v>
      </c>
      <c r="B157" s="56" t="s">
        <v>252</v>
      </c>
      <c r="C157" s="56">
        <v>854</v>
      </c>
      <c r="D157" s="56" t="s">
        <v>207</v>
      </c>
      <c r="E157" s="56" t="s">
        <v>235</v>
      </c>
      <c r="F157" s="56" t="s">
        <v>211</v>
      </c>
      <c r="G157" s="56" t="s">
        <v>198</v>
      </c>
      <c r="H157" s="74"/>
      <c r="I157" s="74"/>
      <c r="J157" s="67">
        <f>IF(VLOOKUP($A157,raw_lb[],COLUMN(J$1),FALSE)=0, VLOOKUP($D157, regions_lb[], COLUMN(J$1), FALSE), VLOOKUP($A157,raw_lb[],COLUMN(J$1),FALSE))</f>
        <v>0.78090000000000004</v>
      </c>
      <c r="K157" s="77">
        <f>VLOOKUP($A157, raw_lb[], 11, FALSE)</f>
        <v>0</v>
      </c>
      <c r="L157" s="77">
        <f>VLOOKUP($A157, raw_lb[], 12, FALSE)</f>
        <v>0.86449999999999994</v>
      </c>
      <c r="M157" s="77">
        <f>IF(VLOOKUP($A157,raw_lb[],COLUMN(M$1),FALSE)=0, VLOOKUP($D157, regions_lb[], COLUMN(M$1), FALSE), VLOOKUP($A157,raw_lb[],COLUMN(M$1),FALSE))</f>
        <v>5.9800000000000006E-2</v>
      </c>
      <c r="N157" s="68">
        <f>IF(VLOOKUP($A157,raw_lb[],COLUMN(N$1),FALSE)=0, VLOOKUP($D157, regions_lb[], COLUMN(N$1), FALSE), VLOOKUP($A157,raw_lb[],COLUMN(N$1),FALSE))</f>
        <v>0.155</v>
      </c>
      <c r="O157" s="67">
        <f>IF(VLOOKUP($A157,raw_lb[],COLUMN(O$1),FALSE)=0, VLOOKUP($D157, regions_lb[], COLUMN(O$1), FALSE), VLOOKUP($A157,raw_lb[],COLUMN(O$1),FALSE))</f>
        <v>7.0000000000000007E-2</v>
      </c>
      <c r="P157" s="68">
        <f>IF(VLOOKUP($A157,raw_lb[],COLUMN(P$1),FALSE)=0, VLOOKUP($D157, regions_lb[], COLUMN(P$1), FALSE), VLOOKUP($A157,raw_lb[],COLUMN(P$1),FALSE))</f>
        <v>1E-3</v>
      </c>
      <c r="Q157" s="70">
        <f>IF(VLOOKUP($A157,raw_lb[],COLUMN(Q$1),FALSE)=0, VLOOKUP($D157, regions_lb[], COLUMN(Q$1), FALSE), VLOOKUP($A157,raw_lb[],COLUMN(Q$1),FALSE))</f>
        <v>0.9410219132628217</v>
      </c>
      <c r="R157" s="70">
        <f>IF(VLOOKUP($A157,raw_lb[],COLUMN(R$1),FALSE)=0, VLOOKUP($D157, regions_lb[], COLUMN(R$1), FALSE), VLOOKUP($A157,raw_lb[],COLUMN(R$1),FALSE))</f>
        <v>8.0019219132628212</v>
      </c>
      <c r="S157" s="70">
        <f>IF(VLOOKUP($A157,raw_lb[],COLUMN(S$1),FALSE)=0, VLOOKUP($D157, regions_lb[], COLUMN(S$1), FALSE), VLOOKUP($A157,raw_lb[],COLUMN(S$1),FALSE))</f>
        <v>39.586728264144917</v>
      </c>
      <c r="T157" s="70">
        <f>IF(VLOOKUP($A157,raw_lb[],COLUMN(U$1)-COLUMN($A$1),FALSE)=0, VLOOKUP($D157, regions_lb[], COLUMN(U$1)-COLUMN($A$1), FALSE), VLOOKUP($A157,raw_lb[],COLUMN(U$1)-COLUMN($A$1),FALSE))</f>
        <v>40.817527317083545</v>
      </c>
      <c r="U157" s="70">
        <f>IF(VLOOKUP($A157,raw_lb[],COLUMN(V$1)-COLUMN($A$1),FALSE)=0, VLOOKUP($D157, regions_lb[], COLUMN(V$1)-COLUMN($A$1), FALSE), VLOOKUP($A157,raw_lb[],COLUMN(V$1)-COLUMN($A$1),FALSE))</f>
        <v>40.252370407751819</v>
      </c>
      <c r="V157" s="70">
        <f>IF(VLOOKUP($A157,raw_lb[],COLUMN(W$1)-COLUMN($A$1),FALSE)=0, VLOOKUP($D157, regions_lb[], COLUMN(W$1)-COLUMN($A$1), FALSE), VLOOKUP($A157,raw_lb[],COLUMN(W$1)-COLUMN($A$1),FALSE))</f>
        <v>1.2379291893545998</v>
      </c>
      <c r="W157" s="70">
        <f>IF(VLOOKUP($A157,raw_lb[],COLUMN(X$1)-COLUMN($A$1),FALSE)=0, VLOOKUP($D157, regions_lb[], COLUMN(X$1)-COLUMN($A$1), FALSE), VLOOKUP($A157,raw_lb[],COLUMN(X$1)-COLUMN($A$1),FALSE))</f>
        <v>5.8264291893545996</v>
      </c>
      <c r="X157" s="70">
        <f>IF(VLOOKUP($A157,raw_lb[],COLUMN(Y$1)-COLUMN($A$1),FALSE)=0, VLOOKUP($D157, regions_lb[], COLUMN(Y$1)-COLUMN($A$1), FALSE), VLOOKUP($A157,raw_lb[],COLUMN(Y$1)-COLUMN($A$1),FALSE))</f>
        <v>0.76696208524126797</v>
      </c>
      <c r="Y157" s="70">
        <f>IF(VLOOKUP($A157,raw_lb[],COLUMN(Z$1)-COLUMN($A$1),FALSE)=0, VLOOKUP($D157, regions_lb[], COLUMN(Z$1)-COLUMN($A$1), FALSE), VLOOKUP($A157,raw_lb[],COLUMN(Z$1)-COLUMN($A$1),FALSE))</f>
        <v>5.3554620852412675</v>
      </c>
      <c r="Z157" s="70">
        <f>IF(VLOOKUP($A157,raw_lb[],COLUMN(AA$1)-COLUMN($A$1),FALSE)=0, VLOOKUP($D157, regions_lb[], COLUMN(AA$1)-COLUMN($A$1), FALSE), VLOOKUP($A157,raw_lb[],COLUMN(AA$1)-COLUMN($A$1),FALSE))</f>
        <v>5.3535933449843407</v>
      </c>
      <c r="AA157" s="70">
        <f>IF(VLOOKUP($A157,raw_lb[],COLUMN(AB$1)-COLUMN($A$1),FALSE)=0, VLOOKUP($D157, regions_lb[], COLUMN(AB$1)-COLUMN($A$1), FALSE), VLOOKUP($A157,raw_lb[],COLUMN(AB$1)-COLUMN($A$1),FALSE))</f>
        <v>1.3820201423646277</v>
      </c>
      <c r="AB157" s="70">
        <f>IF(VLOOKUP($A157,raw_lb[],COLUMN(AC$1)-COLUMN($A$1),FALSE)=0, VLOOKUP($D157, regions_lb[], COLUMN(AC$1)-COLUMN($A$1), FALSE), VLOOKUP($A157,raw_lb[],COLUMN(AC$1)-COLUMN($A$1),FALSE))</f>
        <v>5.9705201423646272</v>
      </c>
      <c r="AC157" s="72">
        <f>IF(VLOOKUP($A157,raw_lb[],COLUMN(AD$1)-COLUMN($A$1),FALSE)=0, VLOOKUP($D157, regions_lb[], COLUMN(AD$1)-COLUMN($A$1), FALSE), VLOOKUP($A157,raw_lb[],COLUMN(AD$1)-COLUMN($A$1),FALSE))</f>
        <v>5.1516466999999927E-2</v>
      </c>
      <c r="AD157" s="72">
        <f>IF(VLOOKUP($A157,raw_lb[],COLUMN(AE$1)-COLUMN($A$1),FALSE)=0, VLOOKUP($D157, regions_lb[], COLUMN(AE$1)-COLUMN($A$1), FALSE), VLOOKUP($A157,raw_lb[],COLUMN(AE$1)-COLUMN($A$1),FALSE))</f>
        <v>7.4086161493401598E-3</v>
      </c>
      <c r="AE157" s="72">
        <f>IF(VLOOKUP($A157,raw_lb[],COLUMN(AF$1)-COLUMN($A$1),FALSE)=0, VLOOKUP($D157, regions_lb[], COLUMN(AF$1)-COLUMN($A$1), FALSE), VLOOKUP($A157,raw_lb[],COLUMN(AF$1)-COLUMN($A$1),FALSE))</f>
        <v>2.5743584671742209E-3</v>
      </c>
      <c r="AF157" s="72">
        <f>IF(VLOOKUP($A157,raw_lb[],COLUMN(AG$1)-COLUMN($A$1),FALSE)=0, VLOOKUP($D157, regions_lb[], COLUMN(AG$1)-COLUMN($A$1), FALSE), VLOOKUP($A157,raw_lb[],COLUMN(AG$1)-COLUMN($A$1),FALSE))</f>
        <v>1.5304289088295081E-3</v>
      </c>
      <c r="AG157" s="72">
        <f>IF(VLOOKUP($A157,raw_lb[],COLUMN(AH$1)-COLUMN($A$1),FALSE)=0, VLOOKUP($D157, regions_lb[], COLUMN(AH$1)-COLUMN($A$1), FALSE), VLOOKUP($A157,raw_lb[],COLUMN(AH$1)-COLUMN($A$1),FALSE))</f>
        <v>2.3337249424291904E-3</v>
      </c>
      <c r="AH157" s="72">
        <f>IF(VLOOKUP($A157,raw_lb[],COLUMN(AI$1)-COLUMN($A$1),FALSE)=0, VLOOKUP($D157, regions_lb[], COLUMN(AI$1)-COLUMN($A$1), FALSE), VLOOKUP($A157,raw_lb[],COLUMN(AI$1)-COLUMN($A$1),FALSE))</f>
        <v>3.268610361332947E-3</v>
      </c>
      <c r="AI157" s="72">
        <f>IF(VLOOKUP($A157,raw_lb[],COLUMN(AJ$1)-COLUMN($A$1),FALSE)=0, VLOOKUP($D157, regions_lb[], COLUMN(AJ$1)-COLUMN($A$1), FALSE), VLOOKUP($A157,raw_lb[],COLUMN(AJ$1)-COLUMN($A$1),FALSE))</f>
        <v>3.499786666493864E-3</v>
      </c>
      <c r="AJ157" s="72">
        <f>IF(VLOOKUP($A157,raw_lb[],COLUMN(AK$1)-COLUMN($A$1),FALSE)=0, VLOOKUP($D157, regions_lb[], COLUMN(AK$1)-COLUMN($A$1), FALSE), VLOOKUP($A157,raw_lb[],COLUMN(AK$1)-COLUMN($A$1),FALSE))</f>
        <v>3.8652801918023687E-3</v>
      </c>
      <c r="AK157" s="72">
        <f>IF(VLOOKUP($A157,raw_lb[],COLUMN(AL$1)-COLUMN($A$1),FALSE)=0, VLOOKUP($D157, regions_lb[], COLUMN(AL$1)-COLUMN($A$1), FALSE), VLOOKUP($A157,raw_lb[],COLUMN(AL$1)-COLUMN($A$1),FALSE))</f>
        <v>4.4333936686953681E-3</v>
      </c>
      <c r="AL157" s="72">
        <f>IF(VLOOKUP($A157,raw_lb[],COLUMN(AM$1)-COLUMN($A$1),FALSE)=0, VLOOKUP($D157, regions_lb[], COLUMN(AM$1)-COLUMN($A$1), FALSE), VLOOKUP($A157,raw_lb[],COLUMN(AM$1)-COLUMN($A$1),FALSE))</f>
        <v>5.4491381323801494E-3</v>
      </c>
      <c r="AM157" s="72">
        <f>IF(VLOOKUP($A157,raw_lb[],COLUMN(AN$1)-COLUMN($A$1),FALSE)=0, VLOOKUP($D157, regions_lb[], COLUMN(AN$1)-COLUMN($A$1), FALSE), VLOOKUP($A157,raw_lb[],COLUMN(AN$1)-COLUMN($A$1),FALSE))</f>
        <v>6.8256458947968945E-3</v>
      </c>
      <c r="AN157" s="72">
        <f>IF(VLOOKUP($A157,raw_lb[],COLUMN(AO$1)-COLUMN($A$1),FALSE)=0, VLOOKUP($D157, regions_lb[], COLUMN(AO$1)-COLUMN($A$1), FALSE), VLOOKUP($A157,raw_lb[],COLUMN(AO$1)-COLUMN($A$1),FALSE))</f>
        <v>9.57524811189891E-3</v>
      </c>
      <c r="AO157" s="72">
        <f>IF(VLOOKUP($A157,raw_lb[],COLUMN(AP$1)-COLUMN($A$1),FALSE)=0, VLOOKUP($D157, regions_lb[], COLUMN(AP$1)-COLUMN($A$1), FALSE), VLOOKUP($A157,raw_lb[],COLUMN(AP$1)-COLUMN($A$1),FALSE))</f>
        <v>1.3608328470107142E-2</v>
      </c>
      <c r="AP157" s="72">
        <f>IF(VLOOKUP($A157,raw_lb[],COLUMN(AQ$1)-COLUMN($A$1),FALSE)=0, VLOOKUP($D157, regions_lb[], COLUMN(AQ$1)-COLUMN($A$1), FALSE), VLOOKUP($A157,raw_lb[],COLUMN(AQ$1)-COLUMN($A$1),FALSE))</f>
        <v>2.1153653353260096E-2</v>
      </c>
      <c r="AQ157" s="72">
        <f>IF(VLOOKUP($A157,raw_lb[],COLUMN(AR$1)-COLUMN($A$1),FALSE)=0, VLOOKUP($D157, regions_lb[], COLUMN(AR$1)-COLUMN($A$1), FALSE), VLOOKUP($A157,raw_lb[],COLUMN(AR$1)-COLUMN($A$1),FALSE))</f>
        <v>3.2615037551028472E-2</v>
      </c>
      <c r="AR157" s="72">
        <f>IF(VLOOKUP($A157,raw_lb[],COLUMN(AS$1)-COLUMN($A$1),FALSE)=0, VLOOKUP($D157, regions_lb[], COLUMN(AS$1)-COLUMN($A$1), FALSE), VLOOKUP($A157,raw_lb[],COLUMN(AS$1)-COLUMN($A$1),FALSE))</f>
        <v>5.2280094334555487E-2</v>
      </c>
      <c r="AS157" s="82">
        <f>IF(VLOOKUP($A157,raw_lb[],COLUMN(AS$1),FALSE)=0, VLOOKUP($D157, regions_lb[], COLUMN(AS$1), FALSE), VLOOKUP($A157,raw_lb[],COLUMN(AS$1),FALSE))</f>
        <v>8.0367467100935341E-2</v>
      </c>
      <c r="AT157" s="82">
        <f>IF(VLOOKUP($A157,raw_lb[],COLUMN(AT$1),FALSE)=0, VLOOKUP($D157, regions_lb[], COLUMN(AT$1), FALSE), VLOOKUP($A157,raw_lb[],COLUMN(AT$1),FALSE))</f>
        <v>0.11488917142100885</v>
      </c>
      <c r="AU157" s="82">
        <f>IF(VLOOKUP($A157,raw_lb[],COLUMN(AU$1),FALSE)=0, VLOOKUP($D157, regions_lb[], COLUMN(AU$1), FALSE), VLOOKUP($A157,raw_lb[],COLUMN(AU$1),FALSE))</f>
        <v>0.1462702796675269</v>
      </c>
      <c r="AV157" s="82">
        <f>IF(VLOOKUP($A157,raw_lb[],COLUMN(AV$1),FALSE)=0, VLOOKUP($D157, regions_lb[], COLUMN(AV$1), FALSE), VLOOKUP($A157,raw_lb[],COLUMN(AV$1),FALSE))</f>
        <v>0.16803256157898419</v>
      </c>
      <c r="AW157" s="82">
        <f>IF(VLOOKUP($A157,raw_lb[],COLUMN(AW$1),FALSE)=0, VLOOKUP($D157, regions_lb[], COLUMN(AW$1), FALSE), VLOOKUP($A157,raw_lb[],COLUMN(AW$1),FALSE))</f>
        <v>0.18431710550500716</v>
      </c>
      <c r="AX157" s="82">
        <f>IF(VLOOKUP($A157,raw_lb[],COLUMN(AX$1),FALSE)=0, VLOOKUP($D157, regions_lb[], COLUMN(AX$1), FALSE), VLOOKUP($A157,raw_lb[],COLUMN(AX$1),FALSE))</f>
        <v>57.87115</v>
      </c>
      <c r="AY157" t="str">
        <f t="shared" si="5"/>
        <v>Yes</v>
      </c>
    </row>
    <row r="158" spans="1:51" x14ac:dyDescent="0.25">
      <c r="A158" s="53" t="s">
        <v>253</v>
      </c>
      <c r="B158" s="54" t="s">
        <v>254</v>
      </c>
      <c r="C158" s="54">
        <v>108</v>
      </c>
      <c r="D158" s="54" t="s">
        <v>207</v>
      </c>
      <c r="E158" s="54" t="s">
        <v>255</v>
      </c>
      <c r="F158" s="54" t="s">
        <v>211</v>
      </c>
      <c r="G158" s="54" t="s">
        <v>198</v>
      </c>
      <c r="H158" s="73"/>
      <c r="I158" s="73"/>
      <c r="J158" s="67">
        <f>IF(VLOOKUP($A158,raw_lb[],COLUMN(J$1),FALSE)=0, VLOOKUP($D158, regions_lb[], COLUMN(J$1), FALSE), VLOOKUP($A158,raw_lb[],COLUMN(J$1),FALSE))</f>
        <v>0.79705000000000004</v>
      </c>
      <c r="K158" s="77">
        <f>VLOOKUP($A158, raw_lb[], 11, FALSE)</f>
        <v>0</v>
      </c>
      <c r="L158" s="77">
        <f>VLOOKUP($A158, raw_lb[], 12, FALSE)</f>
        <v>0.88349999999999995</v>
      </c>
      <c r="M158" s="77">
        <f>IF(VLOOKUP($A158,raw_lb[],COLUMN(M$1),FALSE)=0, VLOOKUP($D158, regions_lb[], COLUMN(M$1), FALSE), VLOOKUP($A158,raw_lb[],COLUMN(M$1),FALSE))</f>
        <v>3.4300000000000004E-2</v>
      </c>
      <c r="N158" s="68">
        <f>IF(VLOOKUP($A158,raw_lb[],COLUMN(N$1),FALSE)=0, VLOOKUP($D158, regions_lb[], COLUMN(N$1), FALSE), VLOOKUP($A158,raw_lb[],COLUMN(N$1),FALSE))</f>
        <v>0.15560000000000002</v>
      </c>
      <c r="O158" s="67">
        <f>IF(VLOOKUP($A158,raw_lb[],COLUMN(O$1),FALSE)=0, VLOOKUP($D158, regions_lb[], COLUMN(O$1), FALSE), VLOOKUP($A158,raw_lb[],COLUMN(O$1),FALSE))</f>
        <v>7.0000000000000007E-2</v>
      </c>
      <c r="P158" s="68">
        <f>IF(VLOOKUP($A158,raw_lb[],COLUMN(P$1),FALSE)=0, VLOOKUP($D158, regions_lb[], COLUMN(P$1), FALSE), VLOOKUP($A158,raw_lb[],COLUMN(P$1),FALSE))</f>
        <v>1E-3</v>
      </c>
      <c r="Q158" s="70">
        <f>IF(VLOOKUP($A158,raw_lb[],COLUMN(Q$1),FALSE)=0, VLOOKUP($D158, regions_lb[], COLUMN(Q$1), FALSE), VLOOKUP($A158,raw_lb[],COLUMN(Q$1),FALSE))</f>
        <v>0.55320958904109607</v>
      </c>
      <c r="R158" s="70">
        <f>IF(VLOOKUP($A158,raw_lb[],COLUMN(R$1),FALSE)=0, VLOOKUP($D158, regions_lb[], COLUMN(R$1), FALSE), VLOOKUP($A158,raw_lb[],COLUMN(R$1),FALSE))</f>
        <v>7.6141095890410959</v>
      </c>
      <c r="S158" s="70">
        <f>IF(VLOOKUP($A158,raw_lb[],COLUMN(S$1),FALSE)=0, VLOOKUP($D158, regions_lb[], COLUMN(S$1), FALSE), VLOOKUP($A158,raw_lb[],COLUMN(S$1),FALSE))</f>
        <v>37.00029337693573</v>
      </c>
      <c r="T158" s="70">
        <f>IF(VLOOKUP($A158,raw_lb[],COLUMN(U$1)-COLUMN($A$1),FALSE)=0, VLOOKUP($D158, regions_lb[], COLUMN(U$1)-COLUMN($A$1), FALSE), VLOOKUP($A158,raw_lb[],COLUMN(U$1)-COLUMN($A$1),FALSE))</f>
        <v>37.086786230220802</v>
      </c>
      <c r="U158" s="70">
        <f>IF(VLOOKUP($A158,raw_lb[],COLUMN(V$1)-COLUMN($A$1),FALSE)=0, VLOOKUP($D158, regions_lb[], COLUMN(V$1)-COLUMN($A$1), FALSE), VLOOKUP($A158,raw_lb[],COLUMN(V$1)-COLUMN($A$1),FALSE))</f>
        <v>37.047070540218307</v>
      </c>
      <c r="V158" s="70">
        <f>IF(VLOOKUP($A158,raw_lb[],COLUMN(W$1)-COLUMN($A$1),FALSE)=0, VLOOKUP($D158, regions_lb[], COLUMN(W$1)-COLUMN($A$1), FALSE), VLOOKUP($A158,raw_lb[],COLUMN(W$1)-COLUMN($A$1),FALSE))</f>
        <v>1.0368268395713491</v>
      </c>
      <c r="W158" s="70">
        <f>IF(VLOOKUP($A158,raw_lb[],COLUMN(X$1)-COLUMN($A$1),FALSE)=0, VLOOKUP($D158, regions_lb[], COLUMN(X$1)-COLUMN($A$1), FALSE), VLOOKUP($A158,raw_lb[],COLUMN(X$1)-COLUMN($A$1),FALSE))</f>
        <v>5.6253268395713487</v>
      </c>
      <c r="X158" s="70">
        <f>IF(VLOOKUP($A158,raw_lb[],COLUMN(Y$1)-COLUMN($A$1),FALSE)=0, VLOOKUP($D158, regions_lb[], COLUMN(Y$1)-COLUMN($A$1), FALSE), VLOOKUP($A158,raw_lb[],COLUMN(Y$1)-COLUMN($A$1),FALSE))</f>
        <v>0.56803729125112046</v>
      </c>
      <c r="Y158" s="70">
        <f>IF(VLOOKUP($A158,raw_lb[],COLUMN(Z$1)-COLUMN($A$1),FALSE)=0, VLOOKUP($D158, regions_lb[], COLUMN(Z$1)-COLUMN($A$1), FALSE), VLOOKUP($A158,raw_lb[],COLUMN(Z$1)-COLUMN($A$1),FALSE))</f>
        <v>5.1565372912511203</v>
      </c>
      <c r="Z158" s="70">
        <f>IF(VLOOKUP($A158,raw_lb[],COLUMN(AA$1)-COLUMN($A$1),FALSE)=0, VLOOKUP($D158, regions_lb[], COLUMN(AA$1)-COLUMN($A$1), FALSE), VLOOKUP($A158,raw_lb[],COLUMN(AA$1)-COLUMN($A$1),FALSE))</f>
        <v>5.1560123037698062</v>
      </c>
      <c r="AA158" s="70">
        <f>IF(VLOOKUP($A158,raw_lb[],COLUMN(AB$1)-COLUMN($A$1),FALSE)=0, VLOOKUP($D158, regions_lb[], COLUMN(AB$1)-COLUMN($A$1), FALSE), VLOOKUP($A158,raw_lb[],COLUMN(AB$1)-COLUMN($A$1),FALSE))</f>
        <v>1.1741984775626582</v>
      </c>
      <c r="AB158" s="70">
        <f>IF(VLOOKUP($A158,raw_lb[],COLUMN(AC$1)-COLUMN($A$1),FALSE)=0, VLOOKUP($D158, regions_lb[], COLUMN(AC$1)-COLUMN($A$1), FALSE), VLOOKUP($A158,raw_lb[],COLUMN(AC$1)-COLUMN($A$1),FALSE))</f>
        <v>5.7626984775626582</v>
      </c>
      <c r="AC158" s="72">
        <f>IF(VLOOKUP($A158,raw_lb[],COLUMN(AD$1)-COLUMN($A$1),FALSE)=0, VLOOKUP($D158, regions_lb[], COLUMN(AD$1)-COLUMN($A$1), FALSE), VLOOKUP($A158,raw_lb[],COLUMN(AD$1)-COLUMN($A$1),FALSE))</f>
        <v>4.0330558999999995E-2</v>
      </c>
      <c r="AD158" s="72">
        <f>IF(VLOOKUP($A158,raw_lb[],COLUMN(AE$1)-COLUMN($A$1),FALSE)=0, VLOOKUP($D158, regions_lb[], COLUMN(AE$1)-COLUMN($A$1), FALSE), VLOOKUP($A158,raw_lb[],COLUMN(AE$1)-COLUMN($A$1),FALSE))</f>
        <v>4.9769035827158256E-3</v>
      </c>
      <c r="AE158" s="72">
        <f>IF(VLOOKUP($A158,raw_lb[],COLUMN(AF$1)-COLUMN($A$1),FALSE)=0, VLOOKUP($D158, regions_lb[], COLUMN(AF$1)-COLUMN($A$1), FALSE), VLOOKUP($A158,raw_lb[],COLUMN(AF$1)-COLUMN($A$1),FALSE))</f>
        <v>3.8061509767952483E-3</v>
      </c>
      <c r="AF158" s="72">
        <f>IF(VLOOKUP($A158,raw_lb[],COLUMN(AG$1)-COLUMN($A$1),FALSE)=0, VLOOKUP($D158, regions_lb[], COLUMN(AG$1)-COLUMN($A$1), FALSE), VLOOKUP($A158,raw_lb[],COLUMN(AG$1)-COLUMN($A$1),FALSE))</f>
        <v>2.3742320747320157E-3</v>
      </c>
      <c r="AG158" s="72">
        <f>IF(VLOOKUP($A158,raw_lb[],COLUMN(AH$1)-COLUMN($A$1),FALSE)=0, VLOOKUP($D158, regions_lb[], COLUMN(AH$1)-COLUMN($A$1), FALSE), VLOOKUP($A158,raw_lb[],COLUMN(AH$1)-COLUMN($A$1),FALSE))</f>
        <v>2.7966066702600567E-3</v>
      </c>
      <c r="AH158" s="72">
        <f>IF(VLOOKUP($A158,raw_lb[],COLUMN(AI$1)-COLUMN($A$1),FALSE)=0, VLOOKUP($D158, regions_lb[], COLUMN(AI$1)-COLUMN($A$1), FALSE), VLOOKUP($A158,raw_lb[],COLUMN(AI$1)-COLUMN($A$1),FALSE))</f>
        <v>3.6529316986229866E-3</v>
      </c>
      <c r="AI158" s="72">
        <f>IF(VLOOKUP($A158,raw_lb[],COLUMN(AJ$1)-COLUMN($A$1),FALSE)=0, VLOOKUP($D158, regions_lb[], COLUMN(AJ$1)-COLUMN($A$1), FALSE), VLOOKUP($A158,raw_lb[],COLUMN(AJ$1)-COLUMN($A$1),FALSE))</f>
        <v>4.3734828096253153E-3</v>
      </c>
      <c r="AJ158" s="72">
        <f>IF(VLOOKUP($A158,raw_lb[],COLUMN(AK$1)-COLUMN($A$1),FALSE)=0, VLOOKUP($D158, regions_lb[], COLUMN(AK$1)-COLUMN($A$1), FALSE), VLOOKUP($A158,raw_lb[],COLUMN(AK$1)-COLUMN($A$1),FALSE))</f>
        <v>5.3849930206267393E-3</v>
      </c>
      <c r="AK158" s="72">
        <f>IF(VLOOKUP($A158,raw_lb[],COLUMN(AL$1)-COLUMN($A$1),FALSE)=0, VLOOKUP($D158, regions_lb[], COLUMN(AL$1)-COLUMN($A$1), FALSE), VLOOKUP($A158,raw_lb[],COLUMN(AL$1)-COLUMN($A$1),FALSE))</f>
        <v>6.7501342421619065E-3</v>
      </c>
      <c r="AL158" s="72">
        <f>IF(VLOOKUP($A158,raw_lb[],COLUMN(AM$1)-COLUMN($A$1),FALSE)=0, VLOOKUP($D158, regions_lb[], COLUMN(AM$1)-COLUMN($A$1), FALSE), VLOOKUP($A158,raw_lb[],COLUMN(AM$1)-COLUMN($A$1),FALSE))</f>
        <v>7.499486582626177E-3</v>
      </c>
      <c r="AM158" s="72">
        <f>IF(VLOOKUP($A158,raw_lb[],COLUMN(AN$1)-COLUMN($A$1),FALSE)=0, VLOOKUP($D158, regions_lb[], COLUMN(AN$1)-COLUMN($A$1), FALSE), VLOOKUP($A158,raw_lb[],COLUMN(AN$1)-COLUMN($A$1),FALSE))</f>
        <v>8.1638004169218743E-3</v>
      </c>
      <c r="AN158" s="72">
        <f>IF(VLOOKUP($A158,raw_lb[],COLUMN(AO$1)-COLUMN($A$1),FALSE)=0, VLOOKUP($D158, regions_lb[], COLUMN(AO$1)-COLUMN($A$1), FALSE), VLOOKUP($A158,raw_lb[],COLUMN(AO$1)-COLUMN($A$1),FALSE))</f>
        <v>1.029509249178069E-2</v>
      </c>
      <c r="AO158" s="72">
        <f>IF(VLOOKUP($A158,raw_lb[],COLUMN(AP$1)-COLUMN($A$1),FALSE)=0, VLOOKUP($D158, regions_lb[], COLUMN(AP$1)-COLUMN($A$1), FALSE), VLOOKUP($A158,raw_lb[],COLUMN(AP$1)-COLUMN($A$1),FALSE))</f>
        <v>1.3489753618917051E-2</v>
      </c>
      <c r="AP158" s="72">
        <f>IF(VLOOKUP($A158,raw_lb[],COLUMN(AQ$1)-COLUMN($A$1),FALSE)=0, VLOOKUP($D158, regions_lb[], COLUMN(AQ$1)-COLUMN($A$1), FALSE), VLOOKUP($A158,raw_lb[],COLUMN(AQ$1)-COLUMN($A$1),FALSE))</f>
        <v>1.9944978108700231E-2</v>
      </c>
      <c r="AQ158" s="72">
        <f>IF(VLOOKUP($A158,raw_lb[],COLUMN(AR$1)-COLUMN($A$1),FALSE)=0, VLOOKUP($D158, regions_lb[], COLUMN(AR$1)-COLUMN($A$1), FALSE), VLOOKUP($A158,raw_lb[],COLUMN(AR$1)-COLUMN($A$1),FALSE))</f>
        <v>3.0109631617629203E-2</v>
      </c>
      <c r="AR158" s="72">
        <f>IF(VLOOKUP($A158,raw_lb[],COLUMN(AS$1)-COLUMN($A$1),FALSE)=0, VLOOKUP($D158, regions_lb[], COLUMN(AS$1)-COLUMN($A$1), FALSE), VLOOKUP($A158,raw_lb[],COLUMN(AS$1)-COLUMN($A$1),FALSE))</f>
        <v>4.5767817231231724E-2</v>
      </c>
      <c r="AS158" s="82">
        <f>IF(VLOOKUP($A158,raw_lb[],COLUMN(AS$1),FALSE)=0, VLOOKUP($D158, regions_lb[], COLUMN(AS$1), FALSE), VLOOKUP($A158,raw_lb[],COLUMN(AS$1),FALSE))</f>
        <v>6.7515287236016477E-2</v>
      </c>
      <c r="AT158" s="82">
        <f>IF(VLOOKUP($A158,raw_lb[],COLUMN(AT$1),FALSE)=0, VLOOKUP($D158, regions_lb[], COLUMN(AT$1), FALSE), VLOOKUP($A158,raw_lb[],COLUMN(AT$1),FALSE))</f>
        <v>9.5990687151886037E-2</v>
      </c>
      <c r="AU158" s="82">
        <f>IF(VLOOKUP($A158,raw_lb[],COLUMN(AU$1),FALSE)=0, VLOOKUP($D158, regions_lb[], COLUMN(AU$1), FALSE), VLOOKUP($A158,raw_lb[],COLUMN(AU$1),FALSE))</f>
        <v>0.12608348175792108</v>
      </c>
      <c r="AV158" s="82">
        <f>IF(VLOOKUP($A158,raw_lb[],COLUMN(AV$1),FALSE)=0, VLOOKUP($D158, regions_lb[], COLUMN(AV$1), FALSE), VLOOKUP($A158,raw_lb[],COLUMN(AV$1),FALSE))</f>
        <v>0.15113367349845433</v>
      </c>
      <c r="AW158" s="82">
        <f>IF(VLOOKUP($A158,raw_lb[],COLUMN(AW$1),FALSE)=0, VLOOKUP($D158, regions_lb[], COLUMN(AW$1), FALSE), VLOOKUP($A158,raw_lb[],COLUMN(AW$1),FALSE))</f>
        <v>0.16822572624016791</v>
      </c>
      <c r="AX158" s="82">
        <f>IF(VLOOKUP($A158,raw_lb[],COLUMN(AX$1),FALSE)=0, VLOOKUP($D158, regions_lb[], COLUMN(AX$1), FALSE), VLOOKUP($A158,raw_lb[],COLUMN(AX$1),FALSE))</f>
        <v>57.973749999999995</v>
      </c>
      <c r="AY158" t="str">
        <f t="shared" si="5"/>
        <v>Yes</v>
      </c>
    </row>
    <row r="159" spans="1:51" x14ac:dyDescent="0.25">
      <c r="A159" s="55" t="s">
        <v>256</v>
      </c>
      <c r="B159" s="56" t="s">
        <v>257</v>
      </c>
      <c r="C159" s="56">
        <v>132</v>
      </c>
      <c r="D159" s="56" t="s">
        <v>207</v>
      </c>
      <c r="E159" s="56" t="s">
        <v>235</v>
      </c>
      <c r="F159" s="56" t="s">
        <v>211</v>
      </c>
      <c r="G159" s="56" t="s">
        <v>212</v>
      </c>
      <c r="H159" s="74"/>
      <c r="I159" s="74"/>
      <c r="J159" s="67">
        <f>IF(VLOOKUP($A159,raw_lb[],COLUMN(J$1),FALSE)=0, VLOOKUP($D159, regions_lb[], COLUMN(J$1), FALSE), VLOOKUP($A159,raw_lb[],COLUMN(J$1),FALSE))</f>
        <v>0.71819999999999984</v>
      </c>
      <c r="K159" s="77">
        <f>VLOOKUP($A159, raw_lb[], 11, FALSE)</f>
        <v>0.91199999999999992</v>
      </c>
      <c r="L159" s="77">
        <f>VLOOKUP($A159, raw_lb[], 12, FALSE)</f>
        <v>0.8929999999999999</v>
      </c>
      <c r="M159" s="77">
        <f>IF(VLOOKUP($A159,raw_lb[],COLUMN(M$1),FALSE)=0, VLOOKUP($D159, regions_lb[], COLUMN(M$1), FALSE), VLOOKUP($A159,raw_lb[],COLUMN(M$1),FALSE))</f>
        <v>4.9699999999999994E-2</v>
      </c>
      <c r="N159" s="68">
        <f>IF(VLOOKUP($A159,raw_lb[],COLUMN(N$1),FALSE)=0, VLOOKUP($D159, regions_lb[], COLUMN(N$1), FALSE), VLOOKUP($A159,raw_lb[],COLUMN(N$1),FALSE))</f>
        <v>0.155</v>
      </c>
      <c r="O159" s="67">
        <f>IF(VLOOKUP($A159,raw_lb[],COLUMN(O$1),FALSE)=0, VLOOKUP($D159, regions_lb[], COLUMN(O$1), FALSE), VLOOKUP($A159,raw_lb[],COLUMN(O$1),FALSE))</f>
        <v>7.0000000000000007E-2</v>
      </c>
      <c r="P159" s="68">
        <f>IF(VLOOKUP($A159,raw_lb[],COLUMN(P$1),FALSE)=0, VLOOKUP($D159, regions_lb[], COLUMN(P$1), FALSE), VLOOKUP($A159,raw_lb[],COLUMN(P$1),FALSE))</f>
        <v>1E-3</v>
      </c>
      <c r="Q159" s="70">
        <f>IF(VLOOKUP($A159,raw_lb[],COLUMN(Q$1),FALSE)=0, VLOOKUP($D159, regions_lb[], COLUMN(Q$1), FALSE), VLOOKUP($A159,raw_lb[],COLUMN(Q$1),FALSE))</f>
        <v>1.2154846153846151</v>
      </c>
      <c r="R159" s="70">
        <f>IF(VLOOKUP($A159,raw_lb[],COLUMN(R$1),FALSE)=0, VLOOKUP($D159, regions_lb[], COLUMN(R$1), FALSE), VLOOKUP($A159,raw_lb[],COLUMN(R$1),FALSE))</f>
        <v>8.2763846153846163</v>
      </c>
      <c r="S159" s="70">
        <f>IF(VLOOKUP($A159,raw_lb[],COLUMN(S$1),FALSE)=0, VLOOKUP($D159, regions_lb[], COLUMN(S$1), FALSE), VLOOKUP($A159,raw_lb[],COLUMN(S$1),FALSE))</f>
        <v>41.097311989537182</v>
      </c>
      <c r="T159" s="70">
        <f>IF(VLOOKUP($A159,raw_lb[],COLUMN(U$1)-COLUMN($A$1),FALSE)=0, VLOOKUP($D159, regions_lb[], COLUMN(U$1)-COLUMN($A$1), FALSE), VLOOKUP($A159,raw_lb[],COLUMN(U$1)-COLUMN($A$1),FALSE))</f>
        <v>42.97146883123991</v>
      </c>
      <c r="U159" s="70">
        <f>IF(VLOOKUP($A159,raw_lb[],COLUMN(V$1)-COLUMN($A$1),FALSE)=0, VLOOKUP($D159, regions_lb[], COLUMN(V$1)-COLUMN($A$1), FALSE), VLOOKUP($A159,raw_lb[],COLUMN(V$1)-COLUMN($A$1),FALSE))</f>
        <v>42.110895624158935</v>
      </c>
      <c r="V159" s="70">
        <f>IF(VLOOKUP($A159,raw_lb[],COLUMN(W$1)-COLUMN($A$1),FALSE)=0, VLOOKUP($D159, regions_lb[], COLUMN(W$1)-COLUMN($A$1), FALSE), VLOOKUP($A159,raw_lb[],COLUMN(W$1)-COLUMN($A$1),FALSE))</f>
        <v>4.2066512869506631</v>
      </c>
      <c r="W159" s="70">
        <f>IF(VLOOKUP($A159,raw_lb[],COLUMN(X$1)-COLUMN($A$1),FALSE)=0, VLOOKUP($D159, regions_lb[], COLUMN(X$1)-COLUMN($A$1), FALSE), VLOOKUP($A159,raw_lb[],COLUMN(X$1)-COLUMN($A$1),FALSE))</f>
        <v>8.7951512869506629</v>
      </c>
      <c r="X159" s="70">
        <f>IF(VLOOKUP($A159,raw_lb[],COLUMN(Y$1)-COLUMN($A$1),FALSE)=0, VLOOKUP($D159, regions_lb[], COLUMN(Y$1)-COLUMN($A$1), FALSE), VLOOKUP($A159,raw_lb[],COLUMN(Y$1)-COLUMN($A$1),FALSE))</f>
        <v>3.7311959073565988</v>
      </c>
      <c r="Y159" s="70">
        <f>IF(VLOOKUP($A159,raw_lb[],COLUMN(Z$1)-COLUMN($A$1),FALSE)=0, VLOOKUP($D159, regions_lb[], COLUMN(Z$1)-COLUMN($A$1), FALSE), VLOOKUP($A159,raw_lb[],COLUMN(Z$1)-COLUMN($A$1),FALSE))</f>
        <v>8.3196959073565981</v>
      </c>
      <c r="Z159" s="70">
        <f>IF(VLOOKUP($A159,raw_lb[],COLUMN(AA$1)-COLUMN($A$1),FALSE)=0, VLOOKUP($D159, regions_lb[], COLUMN(AA$1)-COLUMN($A$1), FALSE), VLOOKUP($A159,raw_lb[],COLUMN(AA$1)-COLUMN($A$1),FALSE))</f>
        <v>8.3146405784970892</v>
      </c>
      <c r="AA159" s="70">
        <f>IF(VLOOKUP($A159,raw_lb[],COLUMN(AB$1)-COLUMN($A$1),FALSE)=0, VLOOKUP($D159, regions_lb[], COLUMN(AB$1)-COLUMN($A$1), FALSE), VLOOKUP($A159,raw_lb[],COLUMN(AB$1)-COLUMN($A$1),FALSE))</f>
        <v>4.3645917757298065</v>
      </c>
      <c r="AB159" s="70">
        <f>IF(VLOOKUP($A159,raw_lb[],COLUMN(AC$1)-COLUMN($A$1),FALSE)=0, VLOOKUP($D159, regions_lb[], COLUMN(AC$1)-COLUMN($A$1), FALSE), VLOOKUP($A159,raw_lb[],COLUMN(AC$1)-COLUMN($A$1),FALSE))</f>
        <v>8.9530917757298063</v>
      </c>
      <c r="AC159" s="72">
        <f>IF(VLOOKUP($A159,raw_lb[],COLUMN(AD$1)-COLUMN($A$1),FALSE)=0, VLOOKUP($D159, regions_lb[], COLUMN(AD$1)-COLUMN($A$1), FALSE), VLOOKUP($A159,raw_lb[],COLUMN(AD$1)-COLUMN($A$1),FALSE))</f>
        <v>1.6046763500000016E-2</v>
      </c>
      <c r="AD159" s="72">
        <f>IF(VLOOKUP($A159,raw_lb[],COLUMN(AE$1)-COLUMN($A$1),FALSE)=0, VLOOKUP($D159, regions_lb[], COLUMN(AE$1)-COLUMN($A$1), FALSE), VLOOKUP($A159,raw_lb[],COLUMN(AE$1)-COLUMN($A$1),FALSE))</f>
        <v>8.3933078832476452E-4</v>
      </c>
      <c r="AE159" s="72">
        <f>IF(VLOOKUP($A159,raw_lb[],COLUMN(AF$1)-COLUMN($A$1),FALSE)=0, VLOOKUP($D159, regions_lb[], COLUMN(AF$1)-COLUMN($A$1), FALSE), VLOOKUP($A159,raw_lb[],COLUMN(AF$1)-COLUMN($A$1),FALSE))</f>
        <v>3.4218002198656337E-4</v>
      </c>
      <c r="AF159" s="72">
        <f>IF(VLOOKUP($A159,raw_lb[],COLUMN(AG$1)-COLUMN($A$1),FALSE)=0, VLOOKUP($D159, regions_lb[], COLUMN(AG$1)-COLUMN($A$1), FALSE), VLOOKUP($A159,raw_lb[],COLUMN(AG$1)-COLUMN($A$1),FALSE))</f>
        <v>3.0157861360866317E-4</v>
      </c>
      <c r="AG159" s="72">
        <f>IF(VLOOKUP($A159,raw_lb[],COLUMN(AH$1)-COLUMN($A$1),FALSE)=0, VLOOKUP($D159, regions_lb[], COLUMN(AH$1)-COLUMN($A$1), FALSE), VLOOKUP($A159,raw_lb[],COLUMN(AH$1)-COLUMN($A$1),FALSE))</f>
        <v>6.8281004853807704E-4</v>
      </c>
      <c r="AH159" s="72">
        <f>IF(VLOOKUP($A159,raw_lb[],COLUMN(AI$1)-COLUMN($A$1),FALSE)=0, VLOOKUP($D159, regions_lb[], COLUMN(AI$1)-COLUMN($A$1), FALSE), VLOOKUP($A159,raw_lb[],COLUMN(AI$1)-COLUMN($A$1),FALSE))</f>
        <v>9.3792852373092905E-4</v>
      </c>
      <c r="AI159" s="72">
        <f>IF(VLOOKUP($A159,raw_lb[],COLUMN(AJ$1)-COLUMN($A$1),FALSE)=0, VLOOKUP($D159, regions_lb[], COLUMN(AJ$1)-COLUMN($A$1), FALSE), VLOOKUP($A159,raw_lb[],COLUMN(AJ$1)-COLUMN($A$1),FALSE))</f>
        <v>1.0021680936689752E-3</v>
      </c>
      <c r="AJ159" s="72">
        <f>IF(VLOOKUP($A159,raw_lb[],COLUMN(AK$1)-COLUMN($A$1),FALSE)=0, VLOOKUP($D159, regions_lb[], COLUMN(AK$1)-COLUMN($A$1), FALSE), VLOOKUP($A159,raw_lb[],COLUMN(AK$1)-COLUMN($A$1),FALSE))</f>
        <v>1.2175671181234968E-3</v>
      </c>
      <c r="AK159" s="72">
        <f>IF(VLOOKUP($A159,raw_lb[],COLUMN(AL$1)-COLUMN($A$1),FALSE)=0, VLOOKUP($D159, regions_lb[], COLUMN(AL$1)-COLUMN($A$1), FALSE), VLOOKUP($A159,raw_lb[],COLUMN(AL$1)-COLUMN($A$1),FALSE))</f>
        <v>1.6784164372098992E-3</v>
      </c>
      <c r="AL159" s="72">
        <f>IF(VLOOKUP($A159,raw_lb[],COLUMN(AM$1)-COLUMN($A$1),FALSE)=0, VLOOKUP($D159, regions_lb[], COLUMN(AM$1)-COLUMN($A$1), FALSE), VLOOKUP($A159,raw_lb[],COLUMN(AM$1)-COLUMN($A$1),FALSE))</f>
        <v>2.5003971404202355E-3</v>
      </c>
      <c r="AM159" s="72">
        <f>IF(VLOOKUP($A159,raw_lb[],COLUMN(AN$1)-COLUMN($A$1),FALSE)=0, VLOOKUP($D159, regions_lb[], COLUMN(AN$1)-COLUMN($A$1), FALSE), VLOOKUP($A159,raw_lb[],COLUMN(AN$1)-COLUMN($A$1),FALSE))</f>
        <v>3.9216813945665736E-3</v>
      </c>
      <c r="AN159" s="72">
        <f>IF(VLOOKUP($A159,raw_lb[],COLUMN(AO$1)-COLUMN($A$1),FALSE)=0, VLOOKUP($D159, regions_lb[], COLUMN(AO$1)-COLUMN($A$1), FALSE), VLOOKUP($A159,raw_lb[],COLUMN(AO$1)-COLUMN($A$1),FALSE))</f>
        <v>6.0591907414042122E-3</v>
      </c>
      <c r="AO159" s="72">
        <f>IF(VLOOKUP($A159,raw_lb[],COLUMN(AP$1)-COLUMN($A$1),FALSE)=0, VLOOKUP($D159, regions_lb[], COLUMN(AP$1)-COLUMN($A$1), FALSE), VLOOKUP($A159,raw_lb[],COLUMN(AP$1)-COLUMN($A$1),FALSE))</f>
        <v>9.3399514201864785E-3</v>
      </c>
      <c r="AP159" s="72">
        <f>IF(VLOOKUP($A159,raw_lb[],COLUMN(AQ$1)-COLUMN($A$1),FALSE)=0, VLOOKUP($D159, regions_lb[], COLUMN(AQ$1)-COLUMN($A$1), FALSE), VLOOKUP($A159,raw_lb[],COLUMN(AQ$1)-COLUMN($A$1),FALSE))</f>
        <v>1.4609960595368227E-2</v>
      </c>
      <c r="AQ159" s="72">
        <f>IF(VLOOKUP($A159,raw_lb[],COLUMN(AR$1)-COLUMN($A$1),FALSE)=0, VLOOKUP($D159, regions_lb[], COLUMN(AR$1)-COLUMN($A$1), FALSE), VLOOKUP($A159,raw_lb[],COLUMN(AR$1)-COLUMN($A$1),FALSE))</f>
        <v>2.2651124723536985E-2</v>
      </c>
      <c r="AR159" s="72">
        <f>IF(VLOOKUP($A159,raw_lb[],COLUMN(AS$1)-COLUMN($A$1),FALSE)=0, VLOOKUP($D159, regions_lb[], COLUMN(AS$1)-COLUMN($A$1), FALSE), VLOOKUP($A159,raw_lb[],COLUMN(AS$1)-COLUMN($A$1),FALSE))</f>
        <v>3.5369441269833109E-2</v>
      </c>
      <c r="AS159" s="82">
        <f>IF(VLOOKUP($A159,raw_lb[],COLUMN(AS$1),FALSE)=0, VLOOKUP($D159, regions_lb[], COLUMN(AS$1), FALSE), VLOOKUP($A159,raw_lb[],COLUMN(AS$1),FALSE))</f>
        <v>5.6473990276213075E-2</v>
      </c>
      <c r="AT159" s="82">
        <f>IF(VLOOKUP($A159,raw_lb[],COLUMN(AT$1),FALSE)=0, VLOOKUP($D159, regions_lb[], COLUMN(AT$1), FALSE), VLOOKUP($A159,raw_lb[],COLUMN(AT$1),FALSE))</f>
        <v>8.4386901753798718E-2</v>
      </c>
      <c r="AU159" s="82">
        <f>IF(VLOOKUP($A159,raw_lb[],COLUMN(AU$1),FALSE)=0, VLOOKUP($D159, regions_lb[], COLUMN(AU$1), FALSE), VLOOKUP($A159,raw_lb[],COLUMN(AU$1),FALSE))</f>
        <v>0.11385368890157387</v>
      </c>
      <c r="AV159" s="82">
        <f>IF(VLOOKUP($A159,raw_lb[],COLUMN(AV$1),FALSE)=0, VLOOKUP($D159, regions_lb[], COLUMN(AV$1), FALSE), VLOOKUP($A159,raw_lb[],COLUMN(AV$1),FALSE))</f>
        <v>0.14248344437278479</v>
      </c>
      <c r="AW159" s="82">
        <f>IF(VLOOKUP($A159,raw_lb[],COLUMN(AW$1),FALSE)=0, VLOOKUP($D159, regions_lb[], COLUMN(AW$1), FALSE), VLOOKUP($A159,raw_lb[],COLUMN(AW$1),FALSE))</f>
        <v>0.16415774141720935</v>
      </c>
      <c r="AX159" s="82">
        <f>IF(VLOOKUP($A159,raw_lb[],COLUMN(AX$1),FALSE)=0, VLOOKUP($D159, regions_lb[], COLUMN(AX$1), FALSE), VLOOKUP($A159,raw_lb[],COLUMN(AX$1),FALSE))</f>
        <v>69.067849999999993</v>
      </c>
      <c r="AY159" t="str">
        <f t="shared" si="5"/>
        <v>No</v>
      </c>
    </row>
    <row r="160" spans="1:51" x14ac:dyDescent="0.25">
      <c r="A160" s="53" t="s">
        <v>258</v>
      </c>
      <c r="B160" s="54" t="s">
        <v>259</v>
      </c>
      <c r="C160" s="54">
        <v>116</v>
      </c>
      <c r="D160" s="54" t="s">
        <v>260</v>
      </c>
      <c r="E160" s="54" t="s">
        <v>261</v>
      </c>
      <c r="F160" s="54" t="s">
        <v>262</v>
      </c>
      <c r="G160" s="54" t="s">
        <v>212</v>
      </c>
      <c r="H160" s="73"/>
      <c r="I160" s="73"/>
      <c r="J160" s="67">
        <f>IF(VLOOKUP($A160,raw_lb[],COLUMN(J$1),FALSE)=0, VLOOKUP($D160, regions_lb[], COLUMN(J$1), FALSE), VLOOKUP($A160,raw_lb[],COLUMN(J$1),FALSE))</f>
        <v>0.79039999999999999</v>
      </c>
      <c r="K160" s="77">
        <f>VLOOKUP($A160, raw_lb[], 11, FALSE)</f>
        <v>0.8929999999999999</v>
      </c>
      <c r="L160" s="77">
        <f>VLOOKUP($A160, raw_lb[], 12, FALSE)</f>
        <v>0.874</v>
      </c>
      <c r="M160" s="77">
        <f>IF(VLOOKUP($A160,raw_lb[],COLUMN(M$1),FALSE)=0, VLOOKUP($D160, regions_lb[], COLUMN(M$1), FALSE), VLOOKUP($A160,raw_lb[],COLUMN(M$1),FALSE))</f>
        <v>3.56E-2</v>
      </c>
      <c r="N160" s="68">
        <f>IF(VLOOKUP($A160,raw_lb[],COLUMN(N$1),FALSE)=0, VLOOKUP($D160, regions_lb[], COLUMN(N$1), FALSE), VLOOKUP($A160,raw_lb[],COLUMN(N$1),FALSE))</f>
        <v>0.18100000000000002</v>
      </c>
      <c r="O160" s="67">
        <f>IF(VLOOKUP($A160,raw_lb[],COLUMN(O$1),FALSE)=0, VLOOKUP($D160, regions_lb[], COLUMN(O$1), FALSE), VLOOKUP($A160,raw_lb[],COLUMN(O$1),FALSE))</f>
        <v>0.7</v>
      </c>
      <c r="P160" s="68">
        <f>IF(VLOOKUP($A160,raw_lb[],COLUMN(P$1),FALSE)=0, VLOOKUP($D160, regions_lb[], COLUMN(P$1), FALSE), VLOOKUP($A160,raw_lb[],COLUMN(P$1),FALSE))</f>
        <v>0.05</v>
      </c>
      <c r="Q160" s="70">
        <f>IF(VLOOKUP($A160,raw_lb[],COLUMN(Q$1),FALSE)=0, VLOOKUP($D160, regions_lb[], COLUMN(Q$1), FALSE), VLOOKUP($A160,raw_lb[],COLUMN(Q$1),FALSE))</f>
        <v>0.71706611909650908</v>
      </c>
      <c r="R160" s="70">
        <f>IF(VLOOKUP($A160,raw_lb[],COLUMN(R$1),FALSE)=0, VLOOKUP($D160, regions_lb[], COLUMN(R$1), FALSE), VLOOKUP($A160,raw_lb[],COLUMN(R$1),FALSE))</f>
        <v>7.7779661190965097</v>
      </c>
      <c r="S160" s="70">
        <f>IF(VLOOKUP($A160,raw_lb[],COLUMN(S$1),FALSE)=0, VLOOKUP($D160, regions_lb[], COLUMN(S$1), FALSE), VLOOKUP($A160,raw_lb[],COLUMN(S$1),FALSE))</f>
        <v>37.985626266980347</v>
      </c>
      <c r="T160" s="70">
        <f>IF(VLOOKUP($A160,raw_lb[],COLUMN(U$1)-COLUMN($A$1),FALSE)=0, VLOOKUP($D160, regions_lb[], COLUMN(U$1)-COLUMN($A$1), FALSE), VLOOKUP($A160,raw_lb[],COLUMN(U$1)-COLUMN($A$1),FALSE))</f>
        <v>38.499668854098417</v>
      </c>
      <c r="U160" s="70">
        <f>IF(VLOOKUP($A160,raw_lb[],COLUMN(V$1)-COLUMN($A$1),FALSE)=0, VLOOKUP($D160, regions_lb[], COLUMN(V$1)-COLUMN($A$1), FALSE), VLOOKUP($A160,raw_lb[],COLUMN(V$1)-COLUMN($A$1),FALSE))</f>
        <v>38.263631363569878</v>
      </c>
      <c r="V160" s="70">
        <f>IF(VLOOKUP($A160,raw_lb[],COLUMN(W$1)-COLUMN($A$1),FALSE)=0, VLOOKUP($D160, regions_lb[], COLUMN(W$1)-COLUMN($A$1), FALSE), VLOOKUP($A160,raw_lb[],COLUMN(W$1)-COLUMN($A$1),FALSE))</f>
        <v>1.5692850559696687</v>
      </c>
      <c r="W160" s="70">
        <f>IF(VLOOKUP($A160,raw_lb[],COLUMN(X$1)-COLUMN($A$1),FALSE)=0, VLOOKUP($D160, regions_lb[], COLUMN(X$1)-COLUMN($A$1), FALSE), VLOOKUP($A160,raw_lb[],COLUMN(X$1)-COLUMN($A$1),FALSE))</f>
        <v>2.1677850559696688</v>
      </c>
      <c r="X160" s="70">
        <f>IF(VLOOKUP($A160,raw_lb[],COLUMN(Y$1)-COLUMN($A$1),FALSE)=0, VLOOKUP($D160, regions_lb[], COLUMN(Y$1)-COLUMN($A$1), FALSE), VLOOKUP($A160,raw_lb[],COLUMN(Y$1)-COLUMN($A$1),FALSE))</f>
        <v>1.0976740067795436</v>
      </c>
      <c r="Y160" s="70">
        <f>IF(VLOOKUP($A160,raw_lb[],COLUMN(Z$1)-COLUMN($A$1),FALSE)=0, VLOOKUP($D160, regions_lb[], COLUMN(Z$1)-COLUMN($A$1), FALSE), VLOOKUP($A160,raw_lb[],COLUMN(Z$1)-COLUMN($A$1),FALSE))</f>
        <v>1.6961740067795437</v>
      </c>
      <c r="Z160" s="70">
        <f>IF(VLOOKUP($A160,raw_lb[],COLUMN(AA$1)-COLUMN($A$1),FALSE)=0, VLOOKUP($D160, regions_lb[], COLUMN(AA$1)-COLUMN($A$1), FALSE), VLOOKUP($A160,raw_lb[],COLUMN(AA$1)-COLUMN($A$1),FALSE))</f>
        <v>1.693794646773283</v>
      </c>
      <c r="AA160" s="70">
        <f>IF(VLOOKUP($A160,raw_lb[],COLUMN(AB$1)-COLUMN($A$1),FALSE)=0, VLOOKUP($D160, regions_lb[], COLUMN(AB$1)-COLUMN($A$1), FALSE), VLOOKUP($A160,raw_lb[],COLUMN(AB$1)-COLUMN($A$1),FALSE))</f>
        <v>1.7153630395023722</v>
      </c>
      <c r="AB160" s="70">
        <f>IF(VLOOKUP($A160,raw_lb[],COLUMN(AC$1)-COLUMN($A$1),FALSE)=0, VLOOKUP($D160, regions_lb[], COLUMN(AC$1)-COLUMN($A$1), FALSE), VLOOKUP($A160,raw_lb[],COLUMN(AC$1)-COLUMN($A$1),FALSE))</f>
        <v>2.313863039502372</v>
      </c>
      <c r="AC160" s="72">
        <f>IF(VLOOKUP($A160,raw_lb[],COLUMN(AD$1)-COLUMN($A$1),FALSE)=0, VLOOKUP($D160, regions_lb[], COLUMN(AD$1)-COLUMN($A$1), FALSE), VLOOKUP($A160,raw_lb[],COLUMN(AD$1)-COLUMN($A$1),FALSE))</f>
        <v>2.2584264499999975E-2</v>
      </c>
      <c r="AD160" s="72">
        <f>IF(VLOOKUP($A160,raw_lb[],COLUMN(AE$1)-COLUMN($A$1),FALSE)=0, VLOOKUP($D160, regions_lb[], COLUMN(AE$1)-COLUMN($A$1), FALSE), VLOOKUP($A160,raw_lb[],COLUMN(AE$1)-COLUMN($A$1),FALSE))</f>
        <v>9.2552850587254406E-4</v>
      </c>
      <c r="AE160" s="72">
        <f>IF(VLOOKUP($A160,raw_lb[],COLUMN(AF$1)-COLUMN($A$1),FALSE)=0, VLOOKUP($D160, regions_lb[], COLUMN(AF$1)-COLUMN($A$1), FALSE), VLOOKUP($A160,raw_lb[],COLUMN(AF$1)-COLUMN($A$1),FALSE))</f>
        <v>1.5881588210856067E-3</v>
      </c>
      <c r="AF160" s="72">
        <f>IF(VLOOKUP($A160,raw_lb[],COLUMN(AG$1)-COLUMN($A$1),FALSE)=0, VLOOKUP($D160, regions_lb[], COLUMN(AG$1)-COLUMN($A$1), FALSE), VLOOKUP($A160,raw_lb[],COLUMN(AG$1)-COLUMN($A$1),FALSE))</f>
        <v>1.1347042249694262E-3</v>
      </c>
      <c r="AG160" s="72">
        <f>IF(VLOOKUP($A160,raw_lb[],COLUMN(AH$1)-COLUMN($A$1),FALSE)=0, VLOOKUP($D160, regions_lb[], COLUMN(AH$1)-COLUMN($A$1), FALSE), VLOOKUP($A160,raw_lb[],COLUMN(AH$1)-COLUMN($A$1),FALSE))</f>
        <v>1.0538591751505708E-3</v>
      </c>
      <c r="AH160" s="72">
        <f>IF(VLOOKUP($A160,raw_lb[],COLUMN(AI$1)-COLUMN($A$1),FALSE)=0, VLOOKUP($D160, regions_lb[], COLUMN(AI$1)-COLUMN($A$1), FALSE), VLOOKUP($A160,raw_lb[],COLUMN(AI$1)-COLUMN($A$1),FALSE))</f>
        <v>1.2701880413590555E-3</v>
      </c>
      <c r="AI160" s="72">
        <f>IF(VLOOKUP($A160,raw_lb[],COLUMN(AJ$1)-COLUMN($A$1),FALSE)=0, VLOOKUP($D160, regions_lb[], COLUMN(AJ$1)-COLUMN($A$1), FALSE), VLOOKUP($A160,raw_lb[],COLUMN(AJ$1)-COLUMN($A$1),FALSE))</f>
        <v>1.7362232376912179E-3</v>
      </c>
      <c r="AJ160" s="72">
        <f>IF(VLOOKUP($A160,raw_lb[],COLUMN(AK$1)-COLUMN($A$1),FALSE)=0, VLOOKUP($D160, regions_lb[], COLUMN(AK$1)-COLUMN($A$1), FALSE), VLOOKUP($A160,raw_lb[],COLUMN(AK$1)-COLUMN($A$1),FALSE))</f>
        <v>2.2818183730947145E-3</v>
      </c>
      <c r="AK160" s="72">
        <f>IF(VLOOKUP($A160,raw_lb[],COLUMN(AL$1)-COLUMN($A$1),FALSE)=0, VLOOKUP($D160, regions_lb[], COLUMN(AL$1)-COLUMN($A$1), FALSE), VLOOKUP($A160,raw_lb[],COLUMN(AL$1)-COLUMN($A$1),FALSE))</f>
        <v>3.0072237084055164E-3</v>
      </c>
      <c r="AL160" s="72">
        <f>IF(VLOOKUP($A160,raw_lb[],COLUMN(AM$1)-COLUMN($A$1),FALSE)=0, VLOOKUP($D160, regions_lb[], COLUMN(AM$1)-COLUMN($A$1), FALSE), VLOOKUP($A160,raw_lb[],COLUMN(AM$1)-COLUMN($A$1),FALSE))</f>
        <v>3.863665377620641E-3</v>
      </c>
      <c r="AM160" s="72">
        <f>IF(VLOOKUP($A160,raw_lb[],COLUMN(AN$1)-COLUMN($A$1),FALSE)=0, VLOOKUP($D160, regions_lb[], COLUMN(AN$1)-COLUMN($A$1), FALSE), VLOOKUP($A160,raw_lb[],COLUMN(AN$1)-COLUMN($A$1),FALSE))</f>
        <v>4.8589691576379065E-3</v>
      </c>
      <c r="AN160" s="72">
        <f>IF(VLOOKUP($A160,raw_lb[],COLUMN(AO$1)-COLUMN($A$1),FALSE)=0, VLOOKUP($D160, regions_lb[], COLUMN(AO$1)-COLUMN($A$1), FALSE), VLOOKUP($A160,raw_lb[],COLUMN(AO$1)-COLUMN($A$1),FALSE))</f>
        <v>6.3261434348231005E-3</v>
      </c>
      <c r="AO160" s="72">
        <f>IF(VLOOKUP($A160,raw_lb[],COLUMN(AP$1)-COLUMN($A$1),FALSE)=0, VLOOKUP($D160, regions_lb[], COLUMN(AP$1)-COLUMN($A$1), FALSE), VLOOKUP($A160,raw_lb[],COLUMN(AP$1)-COLUMN($A$1),FALSE))</f>
        <v>9.7492990030998671E-3</v>
      </c>
      <c r="AP160" s="72">
        <f>IF(VLOOKUP($A160,raw_lb[],COLUMN(AQ$1)-COLUMN($A$1),FALSE)=0, VLOOKUP($D160, regions_lb[], COLUMN(AQ$1)-COLUMN($A$1), FALSE), VLOOKUP($A160,raw_lb[],COLUMN(AQ$1)-COLUMN($A$1),FALSE))</f>
        <v>1.7010495440021773E-2</v>
      </c>
      <c r="AQ160" s="72">
        <f>IF(VLOOKUP($A160,raw_lb[],COLUMN(AR$1)-COLUMN($A$1),FALSE)=0, VLOOKUP($D160, regions_lb[], COLUMN(AR$1)-COLUMN($A$1), FALSE), VLOOKUP($A160,raw_lb[],COLUMN(AR$1)-COLUMN($A$1),FALSE))</f>
        <v>2.6535459546630794E-2</v>
      </c>
      <c r="AR160" s="72">
        <f>IF(VLOOKUP($A160,raw_lb[],COLUMN(AS$1)-COLUMN($A$1),FALSE)=0, VLOOKUP($D160, regions_lb[], COLUMN(AS$1)-COLUMN($A$1), FALSE), VLOOKUP($A160,raw_lb[],COLUMN(AS$1)-COLUMN($A$1),FALSE))</f>
        <v>4.2173260355046815E-2</v>
      </c>
      <c r="AS160" s="82">
        <f>IF(VLOOKUP($A160,raw_lb[],COLUMN(AS$1),FALSE)=0, VLOOKUP($D160, regions_lb[], COLUMN(AS$1), FALSE), VLOOKUP($A160,raw_lb[],COLUMN(AS$1),FALSE))</f>
        <v>6.4350845901298775E-2</v>
      </c>
      <c r="AT160" s="82">
        <f>IF(VLOOKUP($A160,raw_lb[],COLUMN(AT$1),FALSE)=0, VLOOKUP($D160, regions_lb[], COLUMN(AT$1), FALSE), VLOOKUP($A160,raw_lb[],COLUMN(AT$1),FALSE))</f>
        <v>9.1079441814630568E-2</v>
      </c>
      <c r="AU160" s="82">
        <f>IF(VLOOKUP($A160,raw_lb[],COLUMN(AU$1),FALSE)=0, VLOOKUP($D160, regions_lb[], COLUMN(AU$1), FALSE), VLOOKUP($A160,raw_lb[],COLUMN(AU$1),FALSE))</f>
        <v>0.11933552847926461</v>
      </c>
      <c r="AV160" s="82">
        <f>IF(VLOOKUP($A160,raw_lb[],COLUMN(AV$1),FALSE)=0, VLOOKUP($D160, regions_lb[], COLUMN(AV$1), FALSE), VLOOKUP($A160,raw_lb[],COLUMN(AV$1),FALSE))</f>
        <v>0.14527734807002129</v>
      </c>
      <c r="AW160" s="82">
        <f>IF(VLOOKUP($A160,raw_lb[],COLUMN(AW$1),FALSE)=0, VLOOKUP($D160, regions_lb[], COLUMN(AW$1), FALSE), VLOOKUP($A160,raw_lb[],COLUMN(AW$1),FALSE))</f>
        <v>0.16885194869267275</v>
      </c>
      <c r="AX160" s="82">
        <f>IF(VLOOKUP($A160,raw_lb[],COLUMN(AX$1),FALSE)=0, VLOOKUP($D160, regions_lb[], COLUMN(AX$1), FALSE), VLOOKUP($A160,raw_lb[],COLUMN(AX$1),FALSE))</f>
        <v>65.963250000000002</v>
      </c>
      <c r="AY160" t="str">
        <f t="shared" si="5"/>
        <v>No</v>
      </c>
    </row>
    <row r="161" spans="1:51" x14ac:dyDescent="0.25">
      <c r="A161" s="55" t="s">
        <v>263</v>
      </c>
      <c r="B161" s="56" t="s">
        <v>264</v>
      </c>
      <c r="C161" s="56">
        <v>120</v>
      </c>
      <c r="D161" s="56" t="s">
        <v>207</v>
      </c>
      <c r="E161" s="56" t="s">
        <v>235</v>
      </c>
      <c r="F161" s="56" t="s">
        <v>211</v>
      </c>
      <c r="G161" s="56" t="s">
        <v>212</v>
      </c>
      <c r="H161" s="74"/>
      <c r="I161" s="74"/>
      <c r="J161" s="67">
        <f>IF(VLOOKUP($A161,raw_lb[],COLUMN(J$1),FALSE)=0, VLOOKUP($D161, regions_lb[], COLUMN(J$1), FALSE), VLOOKUP($A161,raw_lb[],COLUMN(J$1),FALSE))</f>
        <v>0.63649999999999995</v>
      </c>
      <c r="K161" s="77">
        <f>VLOOKUP($A161, raw_lb[], 11, FALSE)</f>
        <v>0</v>
      </c>
      <c r="L161" s="77">
        <f>VLOOKUP($A161, raw_lb[], 12, FALSE)</f>
        <v>0.65549999999999997</v>
      </c>
      <c r="M161" s="77">
        <f>IF(VLOOKUP($A161,raw_lb[],COLUMN(M$1),FALSE)=0, VLOOKUP($D161, regions_lb[], COLUMN(M$1), FALSE), VLOOKUP($A161,raw_lb[],COLUMN(M$1),FALSE))</f>
        <v>6.0100000000000001E-2</v>
      </c>
      <c r="N161" s="68">
        <f>IF(VLOOKUP($A161,raw_lb[],COLUMN(N$1),FALSE)=0, VLOOKUP($D161, regions_lb[], COLUMN(N$1), FALSE), VLOOKUP($A161,raw_lb[],COLUMN(N$1),FALSE))</f>
        <v>0.155</v>
      </c>
      <c r="O161" s="67">
        <f>IF(VLOOKUP($A161,raw_lb[],COLUMN(O$1),FALSE)=0, VLOOKUP($D161, regions_lb[], COLUMN(O$1), FALSE), VLOOKUP($A161,raw_lb[],COLUMN(O$1),FALSE))</f>
        <v>7.0000000000000007E-2</v>
      </c>
      <c r="P161" s="68">
        <f>IF(VLOOKUP($A161,raw_lb[],COLUMN(P$1),FALSE)=0, VLOOKUP($D161, regions_lb[], COLUMN(P$1), FALSE), VLOOKUP($A161,raw_lb[],COLUMN(P$1),FALSE))</f>
        <v>1E-3</v>
      </c>
      <c r="Q161" s="70">
        <f>IF(VLOOKUP($A161,raw_lb[],COLUMN(Q$1),FALSE)=0, VLOOKUP($D161, regions_lb[], COLUMN(Q$1), FALSE), VLOOKUP($A161,raw_lb[],COLUMN(Q$1),FALSE))</f>
        <v>0.84144556574923501</v>
      </c>
      <c r="R161" s="70">
        <f>IF(VLOOKUP($A161,raw_lb[],COLUMN(R$1),FALSE)=0, VLOOKUP($D161, regions_lb[], COLUMN(R$1), FALSE), VLOOKUP($A161,raw_lb[],COLUMN(R$1),FALSE))</f>
        <v>7.9023455657492363</v>
      </c>
      <c r="S161" s="70">
        <f>IF(VLOOKUP($A161,raw_lb[],COLUMN(S$1),FALSE)=0, VLOOKUP($D161, regions_lb[], COLUMN(S$1), FALSE), VLOOKUP($A161,raw_lb[],COLUMN(S$1),FALSE))</f>
        <v>38.440388113928698</v>
      </c>
      <c r="T161" s="70">
        <f>IF(VLOOKUP($A161,raw_lb[],COLUMN(U$1)-COLUMN($A$1),FALSE)=0, VLOOKUP($D161, regions_lb[], COLUMN(U$1)-COLUMN($A$1), FALSE), VLOOKUP($A161,raw_lb[],COLUMN(U$1)-COLUMN($A$1),FALSE))</f>
        <v>39.126383193156634</v>
      </c>
      <c r="U161" s="70">
        <f>IF(VLOOKUP($A161,raw_lb[],COLUMN(V$1)-COLUMN($A$1),FALSE)=0, VLOOKUP($D161, regions_lb[], COLUMN(V$1)-COLUMN($A$1), FALSE), VLOOKUP($A161,raw_lb[],COLUMN(V$1)-COLUMN($A$1),FALSE))</f>
        <v>38.811388752863898</v>
      </c>
      <c r="V161" s="70">
        <f>IF(VLOOKUP($A161,raw_lb[],COLUMN(W$1)-COLUMN($A$1),FALSE)=0, VLOOKUP($D161, regions_lb[], COLUMN(W$1)-COLUMN($A$1), FALSE), VLOOKUP($A161,raw_lb[],COLUMN(W$1)-COLUMN($A$1),FALSE))</f>
        <v>1.0243333533586754</v>
      </c>
      <c r="W161" s="70">
        <f>IF(VLOOKUP($A161,raw_lb[],COLUMN(X$1)-COLUMN($A$1),FALSE)=0, VLOOKUP($D161, regions_lb[], COLUMN(X$1)-COLUMN($A$1), FALSE), VLOOKUP($A161,raw_lb[],COLUMN(X$1)-COLUMN($A$1),FALSE))</f>
        <v>5.6128333533586749</v>
      </c>
      <c r="X161" s="70">
        <f>IF(VLOOKUP($A161,raw_lb[],COLUMN(Y$1)-COLUMN($A$1),FALSE)=0, VLOOKUP($D161, regions_lb[], COLUMN(Y$1)-COLUMN($A$1), FALSE), VLOOKUP($A161,raw_lb[],COLUMN(Y$1)-COLUMN($A$1),FALSE))</f>
        <v>0.55220088759660646</v>
      </c>
      <c r="Y161" s="70">
        <f>IF(VLOOKUP($A161,raw_lb[],COLUMN(Z$1)-COLUMN($A$1),FALSE)=0, VLOOKUP($D161, regions_lb[], COLUMN(Z$1)-COLUMN($A$1), FALSE), VLOOKUP($A161,raw_lb[],COLUMN(Z$1)-COLUMN($A$1),FALSE))</f>
        <v>5.1407008875966067</v>
      </c>
      <c r="Z161" s="70">
        <f>IF(VLOOKUP($A161,raw_lb[],COLUMN(AA$1)-COLUMN($A$1),FALSE)=0, VLOOKUP($D161, regions_lb[], COLUMN(AA$1)-COLUMN($A$1), FALSE), VLOOKUP($A161,raw_lb[],COLUMN(AA$1)-COLUMN($A$1),FALSE))</f>
        <v>5.1375645374413477</v>
      </c>
      <c r="AA161" s="70">
        <f>IF(VLOOKUP($A161,raw_lb[],COLUMN(AB$1)-COLUMN($A$1),FALSE)=0, VLOOKUP($D161, regions_lb[], COLUMN(AB$1)-COLUMN($A$1), FALSE), VLOOKUP($A161,raw_lb[],COLUMN(AB$1)-COLUMN($A$1),FALSE))</f>
        <v>1.1720202794562342</v>
      </c>
      <c r="AB161" s="70">
        <f>IF(VLOOKUP($A161,raw_lb[],COLUMN(AC$1)-COLUMN($A$1),FALSE)=0, VLOOKUP($D161, regions_lb[], COLUMN(AC$1)-COLUMN($A$1), FALSE), VLOOKUP($A161,raw_lb[],COLUMN(AC$1)-COLUMN($A$1),FALSE))</f>
        <v>5.7605202794562338</v>
      </c>
      <c r="AC161" s="72">
        <f>IF(VLOOKUP($A161,raw_lb[],COLUMN(AD$1)-COLUMN($A$1),FALSE)=0, VLOOKUP($D161, regions_lb[], COLUMN(AD$1)-COLUMN($A$1), FALSE), VLOOKUP($A161,raw_lb[],COLUMN(AD$1)-COLUMN($A$1),FALSE))</f>
        <v>5.8134689500000052E-2</v>
      </c>
      <c r="AD161" s="72">
        <f>IF(VLOOKUP($A161,raw_lb[],COLUMN(AE$1)-COLUMN($A$1),FALSE)=0, VLOOKUP($D161, regions_lb[], COLUMN(AE$1)-COLUMN($A$1), FALSE), VLOOKUP($A161,raw_lb[],COLUMN(AE$1)-COLUMN($A$1),FALSE))</f>
        <v>6.8567445630569818E-3</v>
      </c>
      <c r="AE161" s="72">
        <f>IF(VLOOKUP($A161,raw_lb[],COLUMN(AF$1)-COLUMN($A$1),FALSE)=0, VLOOKUP($D161, regions_lb[], COLUMN(AF$1)-COLUMN($A$1), FALSE), VLOOKUP($A161,raw_lb[],COLUMN(AF$1)-COLUMN($A$1),FALSE))</f>
        <v>2.4961807687557368E-3</v>
      </c>
      <c r="AF161" s="72">
        <f>IF(VLOOKUP($A161,raw_lb[],COLUMN(AG$1)-COLUMN($A$1),FALSE)=0, VLOOKUP($D161, regions_lb[], COLUMN(AG$1)-COLUMN($A$1), FALSE), VLOOKUP($A161,raw_lb[],COLUMN(AG$1)-COLUMN($A$1),FALSE))</f>
        <v>1.7028439997797051E-3</v>
      </c>
      <c r="AG161" s="72">
        <f>IF(VLOOKUP($A161,raw_lb[],COLUMN(AH$1)-COLUMN($A$1),FALSE)=0, VLOOKUP($D161, regions_lb[], COLUMN(AH$1)-COLUMN($A$1), FALSE), VLOOKUP($A161,raw_lb[],COLUMN(AH$1)-COLUMN($A$1),FALSE))</f>
        <v>2.5411864754521811E-3</v>
      </c>
      <c r="AH161" s="72">
        <f>IF(VLOOKUP($A161,raw_lb[],COLUMN(AI$1)-COLUMN($A$1),FALSE)=0, VLOOKUP($D161, regions_lb[], COLUMN(AI$1)-COLUMN($A$1), FALSE), VLOOKUP($A161,raw_lb[],COLUMN(AI$1)-COLUMN($A$1),FALSE))</f>
        <v>3.6491301082612697E-3</v>
      </c>
      <c r="AI161" s="72">
        <f>IF(VLOOKUP($A161,raw_lb[],COLUMN(AJ$1)-COLUMN($A$1),FALSE)=0, VLOOKUP($D161, regions_lb[], COLUMN(AJ$1)-COLUMN($A$1), FALSE), VLOOKUP($A161,raw_lb[],COLUMN(AJ$1)-COLUMN($A$1),FALSE))</f>
        <v>4.3298506967617851E-3</v>
      </c>
      <c r="AJ161" s="72">
        <f>IF(VLOOKUP($A161,raw_lb[],COLUMN(AK$1)-COLUMN($A$1),FALSE)=0, VLOOKUP($D161, regions_lb[], COLUMN(AK$1)-COLUMN($A$1), FALSE), VLOOKUP($A161,raw_lb[],COLUMN(AK$1)-COLUMN($A$1),FALSE))</f>
        <v>5.0887038176600265E-3</v>
      </c>
      <c r="AK161" s="72">
        <f>IF(VLOOKUP($A161,raw_lb[],COLUMN(AL$1)-COLUMN($A$1),FALSE)=0, VLOOKUP($D161, regions_lb[], COLUMN(AL$1)-COLUMN($A$1), FALSE), VLOOKUP($A161,raw_lb[],COLUMN(AL$1)-COLUMN($A$1),FALSE))</f>
        <v>6.1610732616617665E-3</v>
      </c>
      <c r="AL161" s="72">
        <f>IF(VLOOKUP($A161,raw_lb[],COLUMN(AM$1)-COLUMN($A$1),FALSE)=0, VLOOKUP($D161, regions_lb[], COLUMN(AM$1)-COLUMN($A$1), FALSE), VLOOKUP($A161,raw_lb[],COLUMN(AM$1)-COLUMN($A$1),FALSE))</f>
        <v>7.5313444898546748E-3</v>
      </c>
      <c r="AM161" s="72">
        <f>IF(VLOOKUP($A161,raw_lb[],COLUMN(AN$1)-COLUMN($A$1),FALSE)=0, VLOOKUP($D161, regions_lb[], COLUMN(AN$1)-COLUMN($A$1), FALSE), VLOOKUP($A161,raw_lb[],COLUMN(AN$1)-COLUMN($A$1),FALSE))</f>
        <v>9.1412855770493882E-3</v>
      </c>
      <c r="AN161" s="72">
        <f>IF(VLOOKUP($A161,raw_lb[],COLUMN(AO$1)-COLUMN($A$1),FALSE)=0, VLOOKUP($D161, regions_lb[], COLUMN(AO$1)-COLUMN($A$1), FALSE), VLOOKUP($A161,raw_lb[],COLUMN(AO$1)-COLUMN($A$1),FALSE))</f>
        <v>1.2334585714053275E-2</v>
      </c>
      <c r="AO161" s="72">
        <f>IF(VLOOKUP($A161,raw_lb[],COLUMN(AP$1)-COLUMN($A$1),FALSE)=0, VLOOKUP($D161, regions_lb[], COLUMN(AP$1)-COLUMN($A$1), FALSE), VLOOKUP($A161,raw_lb[],COLUMN(AP$1)-COLUMN($A$1),FALSE))</f>
        <v>1.6082741767519521E-2</v>
      </c>
      <c r="AP161" s="72">
        <f>IF(VLOOKUP($A161,raw_lb[],COLUMN(AQ$1)-COLUMN($A$1),FALSE)=0, VLOOKUP($D161, regions_lb[], COLUMN(AQ$1)-COLUMN($A$1), FALSE), VLOOKUP($A161,raw_lb[],COLUMN(AQ$1)-COLUMN($A$1),FALSE))</f>
        <v>2.3405232132211351E-2</v>
      </c>
      <c r="AQ161" s="72">
        <f>IF(VLOOKUP($A161,raw_lb[],COLUMN(AR$1)-COLUMN($A$1),FALSE)=0, VLOOKUP($D161, regions_lb[], COLUMN(AR$1)-COLUMN($A$1), FALSE), VLOOKUP($A161,raw_lb[],COLUMN(AR$1)-COLUMN($A$1),FALSE))</f>
        <v>3.5029520600241171E-2</v>
      </c>
      <c r="AR161" s="72">
        <f>IF(VLOOKUP($A161,raw_lb[],COLUMN(AS$1)-COLUMN($A$1),FALSE)=0, VLOOKUP($D161, regions_lb[], COLUMN(AS$1)-COLUMN($A$1), FALSE), VLOOKUP($A161,raw_lb[],COLUMN(AS$1)-COLUMN($A$1),FALSE))</f>
        <v>5.2971208565649547E-2</v>
      </c>
      <c r="AS161" s="82">
        <f>IF(VLOOKUP($A161,raw_lb[],COLUMN(AS$1),FALSE)=0, VLOOKUP($D161, regions_lb[], COLUMN(AS$1), FALSE), VLOOKUP($A161,raw_lb[],COLUMN(AS$1),FALSE))</f>
        <v>7.8478972028606001E-2</v>
      </c>
      <c r="AT161" s="82">
        <f>IF(VLOOKUP($A161,raw_lb[],COLUMN(AT$1),FALSE)=0, VLOOKUP($D161, regions_lb[], COLUMN(AT$1), FALSE), VLOOKUP($A161,raw_lb[],COLUMN(AT$1),FALSE))</f>
        <v>0.1128472748735915</v>
      </c>
      <c r="AU161" s="82">
        <f>IF(VLOOKUP($A161,raw_lb[],COLUMN(AU$1),FALSE)=0, VLOOKUP($D161, regions_lb[], COLUMN(AU$1), FALSE), VLOOKUP($A161,raw_lb[],COLUMN(AU$1),FALSE))</f>
        <v>0.14891680406145888</v>
      </c>
      <c r="AV161" s="82">
        <f>IF(VLOOKUP($A161,raw_lb[],COLUMN(AV$1),FALSE)=0, VLOOKUP($D161, regions_lb[], COLUMN(AV$1), FALSE), VLOOKUP($A161,raw_lb[],COLUMN(AV$1),FALSE))</f>
        <v>0.17467684381389592</v>
      </c>
      <c r="AW161" s="82">
        <f>IF(VLOOKUP($A161,raw_lb[],COLUMN(AW$1),FALSE)=0, VLOOKUP($D161, regions_lb[], COLUMN(AW$1), FALSE), VLOOKUP($A161,raw_lb[],COLUMN(AW$1),FALSE))</f>
        <v>0.18045379942982312</v>
      </c>
      <c r="AX161" s="82">
        <f>IF(VLOOKUP($A161,raw_lb[],COLUMN(AX$1),FALSE)=0, VLOOKUP($D161, regions_lb[], COLUMN(AX$1), FALSE), VLOOKUP($A161,raw_lb[],COLUMN(AX$1),FALSE))</f>
        <v>55.833399999999997</v>
      </c>
      <c r="AY161" t="str">
        <f t="shared" si="5"/>
        <v>Yes</v>
      </c>
    </row>
    <row r="162" spans="1:51" x14ac:dyDescent="0.25">
      <c r="A162" s="53" t="s">
        <v>265</v>
      </c>
      <c r="B162" s="54" t="s">
        <v>266</v>
      </c>
      <c r="C162" s="54">
        <v>140</v>
      </c>
      <c r="D162" s="54" t="s">
        <v>207</v>
      </c>
      <c r="E162" s="54" t="s">
        <v>210</v>
      </c>
      <c r="F162" s="54" t="s">
        <v>211</v>
      </c>
      <c r="G162" s="54" t="s">
        <v>198</v>
      </c>
      <c r="H162" s="73"/>
      <c r="I162" s="73"/>
      <c r="J162" s="67">
        <f>IF(VLOOKUP($A162,raw_lb[],COLUMN(J$1),FALSE)=0, VLOOKUP($D162, regions_lb[], COLUMN(J$1), FALSE), VLOOKUP($A162,raw_lb[],COLUMN(J$1),FALSE))</f>
        <v>0.49874999999999997</v>
      </c>
      <c r="K162" s="77">
        <f>VLOOKUP($A162, raw_lb[], 11, FALSE)</f>
        <v>0</v>
      </c>
      <c r="L162" s="77">
        <f>VLOOKUP($A162, raw_lb[], 12, FALSE)</f>
        <v>0.39899999999999997</v>
      </c>
      <c r="M162" s="77">
        <f>IF(VLOOKUP($A162,raw_lb[],COLUMN(M$1),FALSE)=0, VLOOKUP($D162, regions_lb[], COLUMN(M$1), FALSE), VLOOKUP($A162,raw_lb[],COLUMN(M$1),FALSE))</f>
        <v>6.6699999999999995E-2</v>
      </c>
      <c r="N162" s="68">
        <f>IF(VLOOKUP($A162,raw_lb[],COLUMN(N$1),FALSE)=0, VLOOKUP($D162, regions_lb[], COLUMN(N$1), FALSE), VLOOKUP($A162,raw_lb[],COLUMN(N$1),FALSE))</f>
        <v>0.15279999999999999</v>
      </c>
      <c r="O162" s="67">
        <f>IF(VLOOKUP($A162,raw_lb[],COLUMN(O$1),FALSE)=0, VLOOKUP($D162, regions_lb[], COLUMN(O$1), FALSE), VLOOKUP($A162,raw_lb[],COLUMN(O$1),FALSE))</f>
        <v>7.0000000000000007E-2</v>
      </c>
      <c r="P162" s="68">
        <f>IF(VLOOKUP($A162,raw_lb[],COLUMN(P$1),FALSE)=0, VLOOKUP($D162, regions_lb[], COLUMN(P$1), FALSE), VLOOKUP($A162,raw_lb[],COLUMN(P$1),FALSE))</f>
        <v>1E-3</v>
      </c>
      <c r="Q162" s="70">
        <f>IF(VLOOKUP($A162,raw_lb[],COLUMN(Q$1),FALSE)=0, VLOOKUP($D162, regions_lb[], COLUMN(Q$1), FALSE), VLOOKUP($A162,raw_lb[],COLUMN(Q$1),FALSE))</f>
        <v>0.65536890756302502</v>
      </c>
      <c r="R162" s="70">
        <f>IF(VLOOKUP($A162,raw_lb[],COLUMN(R$1),FALSE)=0, VLOOKUP($D162, regions_lb[], COLUMN(R$1), FALSE), VLOOKUP($A162,raw_lb[],COLUMN(R$1),FALSE))</f>
        <v>7.7162689075630251</v>
      </c>
      <c r="S162" s="70">
        <f>IF(VLOOKUP($A162,raw_lb[],COLUMN(S$1),FALSE)=0, VLOOKUP($D162, regions_lb[], COLUMN(S$1), FALSE), VLOOKUP($A162,raw_lb[],COLUMN(S$1),FALSE))</f>
        <v>37.434358723808742</v>
      </c>
      <c r="T162" s="70">
        <f>IF(VLOOKUP($A162,raw_lb[],COLUMN(U$1)-COLUMN($A$1),FALSE)=0, VLOOKUP($D162, regions_lb[], COLUMN(U$1)-COLUMN($A$1), FALSE), VLOOKUP($A162,raw_lb[],COLUMN(U$1)-COLUMN($A$1),FALSE))</f>
        <v>37.693597064354023</v>
      </c>
      <c r="U162" s="70">
        <f>IF(VLOOKUP($A162,raw_lb[],COLUMN(V$1)-COLUMN($A$1),FALSE)=0, VLOOKUP($D162, regions_lb[], COLUMN(V$1)-COLUMN($A$1), FALSE), VLOOKUP($A162,raw_lb[],COLUMN(V$1)-COLUMN($A$1),FALSE))</f>
        <v>37.574560297976078</v>
      </c>
      <c r="V162" s="70">
        <f>IF(VLOOKUP($A162,raw_lb[],COLUMN(W$1)-COLUMN($A$1),FALSE)=0, VLOOKUP($D162, regions_lb[], COLUMN(W$1)-COLUMN($A$1), FALSE), VLOOKUP($A162,raw_lb[],COLUMN(W$1)-COLUMN($A$1),FALSE))</f>
        <v>0.59598787953064203</v>
      </c>
      <c r="W162" s="70">
        <f>IF(VLOOKUP($A162,raw_lb[],COLUMN(X$1)-COLUMN($A$1),FALSE)=0, VLOOKUP($D162, regions_lb[], COLUMN(X$1)-COLUMN($A$1), FALSE), VLOOKUP($A162,raw_lb[],COLUMN(X$1)-COLUMN($A$1),FALSE))</f>
        <v>5.1844878795306419</v>
      </c>
      <c r="X162" s="70">
        <f>IF(VLOOKUP($A162,raw_lb[],COLUMN(Y$1)-COLUMN($A$1),FALSE)=0, VLOOKUP($D162, regions_lb[], COLUMN(Y$1)-COLUMN($A$1), FALSE), VLOOKUP($A162,raw_lb[],COLUMN(Y$1)-COLUMN($A$1),FALSE))</f>
        <v>0.12624343240364569</v>
      </c>
      <c r="Y162" s="70">
        <f>IF(VLOOKUP($A162,raw_lb[],COLUMN(Z$1)-COLUMN($A$1),FALSE)=0, VLOOKUP($D162, regions_lb[], COLUMN(Z$1)-COLUMN($A$1), FALSE), VLOOKUP($A162,raw_lb[],COLUMN(Z$1)-COLUMN($A$1),FALSE))</f>
        <v>4.7147434324036457</v>
      </c>
      <c r="Z162" s="70">
        <f>IF(VLOOKUP($A162,raw_lb[],COLUMN(AA$1)-COLUMN($A$1),FALSE)=0, VLOOKUP($D162, regions_lb[], COLUMN(AA$1)-COLUMN($A$1), FALSE), VLOOKUP($A162,raw_lb[],COLUMN(AA$1)-COLUMN($A$1),FALSE))</f>
        <v>4.7135789017927605</v>
      </c>
      <c r="AA162" s="70">
        <f>IF(VLOOKUP($A162,raw_lb[],COLUMN(AB$1)-COLUMN($A$1),FALSE)=0, VLOOKUP($D162, regions_lb[], COLUMN(AB$1)-COLUMN($A$1), FALSE), VLOOKUP($A162,raw_lb[],COLUMN(AB$1)-COLUMN($A$1),FALSE))</f>
        <v>0.73630606241140573</v>
      </c>
      <c r="AB162" s="70">
        <f>IF(VLOOKUP($A162,raw_lb[],COLUMN(AC$1)-COLUMN($A$1),FALSE)=0, VLOOKUP($D162, regions_lb[], COLUMN(AC$1)-COLUMN($A$1), FALSE), VLOOKUP($A162,raw_lb[],COLUMN(AC$1)-COLUMN($A$1),FALSE))</f>
        <v>5.3248060624114055</v>
      </c>
      <c r="AC162" s="72">
        <f>IF(VLOOKUP($A162,raw_lb[],COLUMN(AD$1)-COLUMN($A$1),FALSE)=0, VLOOKUP($D162, regions_lb[], COLUMN(AD$1)-COLUMN($A$1), FALSE), VLOOKUP($A162,raw_lb[],COLUMN(AD$1)-COLUMN($A$1),FALSE))</f>
        <v>7.782679299999995E-2</v>
      </c>
      <c r="AD162" s="72">
        <f>IF(VLOOKUP($A162,raw_lb[],COLUMN(AE$1)-COLUMN($A$1),FALSE)=0, VLOOKUP($D162, regions_lb[], COLUMN(AE$1)-COLUMN($A$1), FALSE), VLOOKUP($A162,raw_lb[],COLUMN(AE$1)-COLUMN($A$1),FALSE))</f>
        <v>1.0334291682443304E-2</v>
      </c>
      <c r="AE162" s="72">
        <f>IF(VLOOKUP($A162,raw_lb[],COLUMN(AF$1)-COLUMN($A$1),FALSE)=0, VLOOKUP($D162, regions_lb[], COLUMN(AF$1)-COLUMN($A$1), FALSE), VLOOKUP($A162,raw_lb[],COLUMN(AF$1)-COLUMN($A$1),FALSE))</f>
        <v>3.0365936574577126E-3</v>
      </c>
      <c r="AF162" s="72">
        <f>IF(VLOOKUP($A162,raw_lb[],COLUMN(AG$1)-COLUMN($A$1),FALSE)=0, VLOOKUP($D162, regions_lb[], COLUMN(AG$1)-COLUMN($A$1), FALSE), VLOOKUP($A162,raw_lb[],COLUMN(AG$1)-COLUMN($A$1),FALSE))</f>
        <v>2.1735466635176286E-3</v>
      </c>
      <c r="AG162" s="72">
        <f>IF(VLOOKUP($A162,raw_lb[],COLUMN(AH$1)-COLUMN($A$1),FALSE)=0, VLOOKUP($D162, regions_lb[], COLUMN(AH$1)-COLUMN($A$1), FALSE), VLOOKUP($A162,raw_lb[],COLUMN(AH$1)-COLUMN($A$1),FALSE))</f>
        <v>3.1299333396651238E-3</v>
      </c>
      <c r="AH162" s="72">
        <f>IF(VLOOKUP($A162,raw_lb[],COLUMN(AI$1)-COLUMN($A$1),FALSE)=0, VLOOKUP($D162, regions_lb[], COLUMN(AI$1)-COLUMN($A$1), FALSE), VLOOKUP($A162,raw_lb[],COLUMN(AI$1)-COLUMN($A$1),FALSE))</f>
        <v>4.7682644260981233E-3</v>
      </c>
      <c r="AI162" s="72">
        <f>IF(VLOOKUP($A162,raw_lb[],COLUMN(AJ$1)-COLUMN($A$1),FALSE)=0, VLOOKUP($D162, regions_lb[], COLUMN(AJ$1)-COLUMN($A$1), FALSE), VLOOKUP($A162,raw_lb[],COLUMN(AJ$1)-COLUMN($A$1),FALSE))</f>
        <v>6.5010903924326109E-3</v>
      </c>
      <c r="AJ162" s="72">
        <f>IF(VLOOKUP($A162,raw_lb[],COLUMN(AK$1)-COLUMN($A$1),FALSE)=0, VLOOKUP($D162, regions_lb[], COLUMN(AK$1)-COLUMN($A$1), FALSE), VLOOKUP($A162,raw_lb[],COLUMN(AK$1)-COLUMN($A$1),FALSE))</f>
        <v>8.2401130841282446E-3</v>
      </c>
      <c r="AK162" s="72">
        <f>IF(VLOOKUP($A162,raw_lb[],COLUMN(AL$1)-COLUMN($A$1),FALSE)=0, VLOOKUP($D162, regions_lb[], COLUMN(AL$1)-COLUMN($A$1), FALSE), VLOOKUP($A162,raw_lb[],COLUMN(AL$1)-COLUMN($A$1),FALSE))</f>
        <v>1.0509819159104317E-2</v>
      </c>
      <c r="AL162" s="72">
        <f>IF(VLOOKUP($A162,raw_lb[],COLUMN(AM$1)-COLUMN($A$1),FALSE)=0, VLOOKUP($D162, regions_lb[], COLUMN(AM$1)-COLUMN($A$1), FALSE), VLOOKUP($A162,raw_lb[],COLUMN(AM$1)-COLUMN($A$1),FALSE))</f>
        <v>1.2290208503106139E-2</v>
      </c>
      <c r="AM162" s="72">
        <f>IF(VLOOKUP($A162,raw_lb[],COLUMN(AN$1)-COLUMN($A$1),FALSE)=0, VLOOKUP($D162, regions_lb[], COLUMN(AN$1)-COLUMN($A$1), FALSE), VLOOKUP($A162,raw_lb[],COLUMN(AN$1)-COLUMN($A$1),FALSE))</f>
        <v>1.4234394814264731E-2</v>
      </c>
      <c r="AN162" s="72">
        <f>IF(VLOOKUP($A162,raw_lb[],COLUMN(AO$1)-COLUMN($A$1),FALSE)=0, VLOOKUP($D162, regions_lb[], COLUMN(AO$1)-COLUMN($A$1), FALSE), VLOOKUP($A162,raw_lb[],COLUMN(AO$1)-COLUMN($A$1),FALSE))</f>
        <v>1.7379047281289126E-2</v>
      </c>
      <c r="AO162" s="72">
        <f>IF(VLOOKUP($A162,raw_lb[],COLUMN(AP$1)-COLUMN($A$1),FALSE)=0, VLOOKUP($D162, regions_lb[], COLUMN(AP$1)-COLUMN($A$1), FALSE), VLOOKUP($A162,raw_lb[],COLUMN(AP$1)-COLUMN($A$1),FALSE))</f>
        <v>2.1183760146336206E-2</v>
      </c>
      <c r="AP162" s="72">
        <f>IF(VLOOKUP($A162,raw_lb[],COLUMN(AQ$1)-COLUMN($A$1),FALSE)=0, VLOOKUP($D162, regions_lb[], COLUMN(AQ$1)-COLUMN($A$1), FALSE), VLOOKUP($A162,raw_lb[],COLUMN(AQ$1)-COLUMN($A$1),FALSE))</f>
        <v>2.8297186330264606E-2</v>
      </c>
      <c r="AQ162" s="72">
        <f>IF(VLOOKUP($A162,raw_lb[],COLUMN(AR$1)-COLUMN($A$1),FALSE)=0, VLOOKUP($D162, regions_lb[], COLUMN(AR$1)-COLUMN($A$1), FALSE), VLOOKUP($A162,raw_lb[],COLUMN(AR$1)-COLUMN($A$1),FALSE))</f>
        <v>3.9442769157412044E-2</v>
      </c>
      <c r="AR162" s="72">
        <f>IF(VLOOKUP($A162,raw_lb[],COLUMN(AS$1)-COLUMN($A$1),FALSE)=0, VLOOKUP($D162, regions_lb[], COLUMN(AS$1)-COLUMN($A$1), FALSE), VLOOKUP($A162,raw_lb[],COLUMN(AS$1)-COLUMN($A$1),FALSE))</f>
        <v>5.6465411683298744E-2</v>
      </c>
      <c r="AS162" s="82">
        <f>IF(VLOOKUP($A162,raw_lb[],COLUMN(AS$1),FALSE)=0, VLOOKUP($D162, regions_lb[], COLUMN(AS$1), FALSE), VLOOKUP($A162,raw_lb[],COLUMN(AS$1),FALSE))</f>
        <v>7.9879078516143301E-2</v>
      </c>
      <c r="AT162" s="82">
        <f>IF(VLOOKUP($A162,raw_lb[],COLUMN(AT$1),FALSE)=0, VLOOKUP($D162, regions_lb[], COLUMN(AT$1), FALSE), VLOOKUP($A162,raw_lb[],COLUMN(AT$1),FALSE))</f>
        <v>0.11211322135547955</v>
      </c>
      <c r="AU162" s="82">
        <f>IF(VLOOKUP($A162,raw_lb[],COLUMN(AU$1),FALSE)=0, VLOOKUP($D162, regions_lb[], COLUMN(AU$1), FALSE), VLOOKUP($A162,raw_lb[],COLUMN(AU$1),FALSE))</f>
        <v>0.14618258590800071</v>
      </c>
      <c r="AV162" s="82">
        <f>IF(VLOOKUP($A162,raw_lb[],COLUMN(AV$1),FALSE)=0, VLOOKUP($D162, regions_lb[], COLUMN(AV$1), FALSE), VLOOKUP($A162,raw_lb[],COLUMN(AV$1),FALSE))</f>
        <v>0.17050667664699753</v>
      </c>
      <c r="AW162" s="82">
        <f>IF(VLOOKUP($A162,raw_lb[],COLUMN(AW$1),FALSE)=0, VLOOKUP($D162, regions_lb[], COLUMN(AW$1), FALSE), VLOOKUP($A162,raw_lb[],COLUMN(AW$1),FALSE))</f>
        <v>0.17834655196363908</v>
      </c>
      <c r="AX162" s="82">
        <f>IF(VLOOKUP($A162,raw_lb[],COLUMN(AX$1),FALSE)=0, VLOOKUP($D162, regions_lb[], COLUMN(AX$1), FALSE), VLOOKUP($A162,raw_lb[],COLUMN(AX$1),FALSE))</f>
        <v>50.034599999999998</v>
      </c>
      <c r="AY162" t="str">
        <f t="shared" si="5"/>
        <v>Yes</v>
      </c>
    </row>
    <row r="163" spans="1:51" x14ac:dyDescent="0.25">
      <c r="A163" s="55" t="s">
        <v>267</v>
      </c>
      <c r="B163" s="56" t="s">
        <v>268</v>
      </c>
      <c r="C163" s="56">
        <v>148</v>
      </c>
      <c r="D163" s="56" t="s">
        <v>207</v>
      </c>
      <c r="E163" s="56" t="s">
        <v>235</v>
      </c>
      <c r="F163" s="56" t="s">
        <v>211</v>
      </c>
      <c r="G163" s="56" t="s">
        <v>198</v>
      </c>
      <c r="H163" s="74"/>
      <c r="I163" s="74"/>
      <c r="J163" s="67">
        <f>IF(VLOOKUP($A163,raw_lb[],COLUMN(J$1),FALSE)=0, VLOOKUP($D163, regions_lb[], COLUMN(J$1), FALSE), VLOOKUP($A163,raw_lb[],COLUMN(J$1),FALSE))</f>
        <v>0.20615</v>
      </c>
      <c r="K163" s="77">
        <f>VLOOKUP($A163, raw_lb[], 11, FALSE)</f>
        <v>0</v>
      </c>
      <c r="L163" s="77">
        <f>VLOOKUP($A163, raw_lb[], 12, FALSE)</f>
        <v>0.49399999999999999</v>
      </c>
      <c r="M163" s="77">
        <f>IF(VLOOKUP($A163,raw_lb[],COLUMN(M$1),FALSE)=0, VLOOKUP($D163, regions_lb[], COLUMN(M$1), FALSE), VLOOKUP($A163,raw_lb[],COLUMN(M$1),FALSE))</f>
        <v>0.16839999999999999</v>
      </c>
      <c r="N163" s="68">
        <f>IF(VLOOKUP($A163,raw_lb[],COLUMN(N$1),FALSE)=0, VLOOKUP($D163, regions_lb[], COLUMN(N$1), FALSE), VLOOKUP($A163,raw_lb[],COLUMN(N$1),FALSE))</f>
        <v>0.155</v>
      </c>
      <c r="O163" s="67">
        <f>IF(VLOOKUP($A163,raw_lb[],COLUMN(O$1),FALSE)=0, VLOOKUP($D163, regions_lb[], COLUMN(O$1), FALSE), VLOOKUP($A163,raw_lb[],COLUMN(O$1),FALSE))</f>
        <v>7.0000000000000007E-2</v>
      </c>
      <c r="P163" s="68">
        <f>IF(VLOOKUP($A163,raw_lb[],COLUMN(P$1),FALSE)=0, VLOOKUP($D163, regions_lb[], COLUMN(P$1), FALSE), VLOOKUP($A163,raw_lb[],COLUMN(P$1),FALSE))</f>
        <v>1E-3</v>
      </c>
      <c r="Q163" s="70">
        <f>IF(VLOOKUP($A163,raw_lb[],COLUMN(Q$1),FALSE)=0, VLOOKUP($D163, regions_lb[], COLUMN(Q$1), FALSE), VLOOKUP($A163,raw_lb[],COLUMN(Q$1),FALSE))</f>
        <v>0.73673865546218509</v>
      </c>
      <c r="R163" s="70">
        <f>IF(VLOOKUP($A163,raw_lb[],COLUMN(R$1),FALSE)=0, VLOOKUP($D163, regions_lb[], COLUMN(R$1), FALSE), VLOOKUP($A163,raw_lb[],COLUMN(R$1),FALSE))</f>
        <v>7.797638655462185</v>
      </c>
      <c r="S163" s="70">
        <f>IF(VLOOKUP($A163,raw_lb[],COLUMN(S$1),FALSE)=0, VLOOKUP($D163, regions_lb[], COLUMN(S$1), FALSE), VLOOKUP($A163,raw_lb[],COLUMN(S$1),FALSE))</f>
        <v>37.919931256888596</v>
      </c>
      <c r="T163" s="70">
        <f>IF(VLOOKUP($A163,raw_lb[],COLUMN(U$1)-COLUMN($A$1),FALSE)=0, VLOOKUP($D163, regions_lb[], COLUMN(U$1)-COLUMN($A$1), FALSE), VLOOKUP($A163,raw_lb[],COLUMN(U$1)-COLUMN($A$1),FALSE))</f>
        <v>38.38954301976927</v>
      </c>
      <c r="U163" s="70">
        <f>IF(VLOOKUP($A163,raw_lb[],COLUMN(V$1)-COLUMN($A$1),FALSE)=0, VLOOKUP($D163, regions_lb[], COLUMN(V$1)-COLUMN($A$1), FALSE), VLOOKUP($A163,raw_lb[],COLUMN(V$1)-COLUMN($A$1),FALSE))</f>
        <v>38.173907224582564</v>
      </c>
      <c r="V163" s="70">
        <f>IF(VLOOKUP($A163,raw_lb[],COLUMN(W$1)-COLUMN($A$1),FALSE)=0, VLOOKUP($D163, regions_lb[], COLUMN(W$1)-COLUMN($A$1), FALSE), VLOOKUP($A163,raw_lb[],COLUMN(W$1)-COLUMN($A$1),FALSE))</f>
        <v>0.55611636608018133</v>
      </c>
      <c r="W163" s="70">
        <f>IF(VLOOKUP($A163,raw_lb[],COLUMN(X$1)-COLUMN($A$1),FALSE)=0, VLOOKUP($D163, regions_lb[], COLUMN(X$1)-COLUMN($A$1), FALSE), VLOOKUP($A163,raw_lb[],COLUMN(X$1)-COLUMN($A$1),FALSE))</f>
        <v>5.1446163660801814</v>
      </c>
      <c r="X163" s="70">
        <f>IF(VLOOKUP($A163,raw_lb[],COLUMN(Y$1)-COLUMN($A$1),FALSE)=0, VLOOKUP($D163, regions_lb[], COLUMN(Y$1)-COLUMN($A$1), FALSE), VLOOKUP($A163,raw_lb[],COLUMN(Y$1)-COLUMN($A$1),FALSE))</f>
        <v>8.5815012726904019E-2</v>
      </c>
      <c r="Y163" s="70">
        <f>IF(VLOOKUP($A163,raw_lb[],COLUMN(Z$1)-COLUMN($A$1),FALSE)=0, VLOOKUP($D163, regions_lb[], COLUMN(Z$1)-COLUMN($A$1), FALSE), VLOOKUP($A163,raw_lb[],COLUMN(Z$1)-COLUMN($A$1),FALSE))</f>
        <v>4.674315012726904</v>
      </c>
      <c r="Z163" s="70">
        <f>IF(VLOOKUP($A163,raw_lb[],COLUMN(AA$1)-COLUMN($A$1),FALSE)=0, VLOOKUP($D163, regions_lb[], COLUMN(AA$1)-COLUMN($A$1), FALSE), VLOOKUP($A163,raw_lb[],COLUMN(AA$1)-COLUMN($A$1),FALSE))</f>
        <v>4.6728301752827299</v>
      </c>
      <c r="AA163" s="70">
        <f>IF(VLOOKUP($A163,raw_lb[],COLUMN(AB$1)-COLUMN($A$1),FALSE)=0, VLOOKUP($D163, regions_lb[], COLUMN(AB$1)-COLUMN($A$1), FALSE), VLOOKUP($A163,raw_lb[],COLUMN(AB$1)-COLUMN($A$1),FALSE))</f>
        <v>0.69815300245918277</v>
      </c>
      <c r="AB163" s="70">
        <f>IF(VLOOKUP($A163,raw_lb[],COLUMN(AC$1)-COLUMN($A$1),FALSE)=0, VLOOKUP($D163, regions_lb[], COLUMN(AC$1)-COLUMN($A$1), FALSE), VLOOKUP($A163,raw_lb[],COLUMN(AC$1)-COLUMN($A$1),FALSE))</f>
        <v>5.2866530024591825</v>
      </c>
      <c r="AC163" s="72">
        <f>IF(VLOOKUP($A163,raw_lb[],COLUMN(AD$1)-COLUMN($A$1),FALSE)=0, VLOOKUP($D163, regions_lb[], COLUMN(AD$1)-COLUMN($A$1), FALSE), VLOOKUP($A163,raw_lb[],COLUMN(AD$1)-COLUMN($A$1),FALSE))</f>
        <v>7.0798389000000003E-2</v>
      </c>
      <c r="AD163" s="72">
        <f>IF(VLOOKUP($A163,raw_lb[],COLUMN(AE$1)-COLUMN($A$1),FALSE)=0, VLOOKUP($D163, regions_lb[], COLUMN(AE$1)-COLUMN($A$1), FALSE), VLOOKUP($A163,raw_lb[],COLUMN(AE$1)-COLUMN($A$1),FALSE))</f>
        <v>1.2428973799389452E-2</v>
      </c>
      <c r="AE163" s="72">
        <f>IF(VLOOKUP($A163,raw_lb[],COLUMN(AF$1)-COLUMN($A$1),FALSE)=0, VLOOKUP($D163, regions_lb[], COLUMN(AF$1)-COLUMN($A$1), FALSE), VLOOKUP($A163,raw_lb[],COLUMN(AF$1)-COLUMN($A$1),FALSE))</f>
        <v>4.9140477640478419E-3</v>
      </c>
      <c r="AF163" s="72">
        <f>IF(VLOOKUP($A163,raw_lb[],COLUMN(AG$1)-COLUMN($A$1),FALSE)=0, VLOOKUP($D163, regions_lb[], COLUMN(AG$1)-COLUMN($A$1), FALSE), VLOOKUP($A163,raw_lb[],COLUMN(AG$1)-COLUMN($A$1),FALSE))</f>
        <v>3.187978925969821E-3</v>
      </c>
      <c r="AG163" s="72">
        <f>IF(VLOOKUP($A163,raw_lb[],COLUMN(AH$1)-COLUMN($A$1),FALSE)=0, VLOOKUP($D163, regions_lb[], COLUMN(AH$1)-COLUMN($A$1), FALSE), VLOOKUP($A163,raw_lb[],COLUMN(AH$1)-COLUMN($A$1),FALSE))</f>
        <v>3.6663730879068252E-3</v>
      </c>
      <c r="AH163" s="72">
        <f>IF(VLOOKUP($A163,raw_lb[],COLUMN(AI$1)-COLUMN($A$1),FALSE)=0, VLOOKUP($D163, regions_lb[], COLUMN(AI$1)-COLUMN($A$1), FALSE), VLOOKUP($A163,raw_lb[],COLUMN(AI$1)-COLUMN($A$1),FALSE))</f>
        <v>4.8437924283801911E-3</v>
      </c>
      <c r="AI163" s="72">
        <f>IF(VLOOKUP($A163,raw_lb[],COLUMN(AJ$1)-COLUMN($A$1),FALSE)=0, VLOOKUP($D163, regions_lb[], COLUMN(AJ$1)-COLUMN($A$1), FALSE), VLOOKUP($A163,raw_lb[],COLUMN(AJ$1)-COLUMN($A$1),FALSE))</f>
        <v>6.360729221149595E-3</v>
      </c>
      <c r="AJ163" s="72">
        <f>IF(VLOOKUP($A163,raw_lb[],COLUMN(AK$1)-COLUMN($A$1),FALSE)=0, VLOOKUP($D163, regions_lb[], COLUMN(AK$1)-COLUMN($A$1), FALSE), VLOOKUP($A163,raw_lb[],COLUMN(AK$1)-COLUMN($A$1),FALSE))</f>
        <v>8.0484805638482079E-3</v>
      </c>
      <c r="AK163" s="72">
        <f>IF(VLOOKUP($A163,raw_lb[],COLUMN(AL$1)-COLUMN($A$1),FALSE)=0, VLOOKUP($D163, regions_lb[], COLUMN(AL$1)-COLUMN($A$1), FALSE), VLOOKUP($A163,raw_lb[],COLUMN(AL$1)-COLUMN($A$1),FALSE))</f>
        <v>9.8913296600556515E-3</v>
      </c>
      <c r="AL163" s="72">
        <f>IF(VLOOKUP($A163,raw_lb[],COLUMN(AM$1)-COLUMN($A$1),FALSE)=0, VLOOKUP($D163, regions_lb[], COLUMN(AM$1)-COLUMN($A$1), FALSE), VLOOKUP($A163,raw_lb[],COLUMN(AM$1)-COLUMN($A$1),FALSE))</f>
        <v>1.0526143776467265E-2</v>
      </c>
      <c r="AM163" s="72">
        <f>IF(VLOOKUP($A163,raw_lb[],COLUMN(AN$1)-COLUMN($A$1),FALSE)=0, VLOOKUP($D163, regions_lb[], COLUMN(AN$1)-COLUMN($A$1), FALSE), VLOOKUP($A163,raw_lb[],COLUMN(AN$1)-COLUMN($A$1),FALSE))</f>
        <v>1.0981358656635241E-2</v>
      </c>
      <c r="AN163" s="72">
        <f>IF(VLOOKUP($A163,raw_lb[],COLUMN(AO$1)-COLUMN($A$1),FALSE)=0, VLOOKUP($D163, regions_lb[], COLUMN(AO$1)-COLUMN($A$1), FALSE), VLOOKUP($A163,raw_lb[],COLUMN(AO$1)-COLUMN($A$1),FALSE))</f>
        <v>1.2278298968967736E-2</v>
      </c>
      <c r="AO163" s="72">
        <f>IF(VLOOKUP($A163,raw_lb[],COLUMN(AP$1)-COLUMN($A$1),FALSE)=0, VLOOKUP($D163, regions_lb[], COLUMN(AP$1)-COLUMN($A$1), FALSE), VLOOKUP($A163,raw_lb[],COLUMN(AP$1)-COLUMN($A$1),FALSE))</f>
        <v>1.5531681254449883E-2</v>
      </c>
      <c r="AP163" s="72">
        <f>IF(VLOOKUP($A163,raw_lb[],COLUMN(AQ$1)-COLUMN($A$1),FALSE)=0, VLOOKUP($D163, regions_lb[], COLUMN(AQ$1)-COLUMN($A$1), FALSE), VLOOKUP($A163,raw_lb[],COLUMN(AQ$1)-COLUMN($A$1),FALSE))</f>
        <v>2.2235440929184669E-2</v>
      </c>
      <c r="AQ163" s="72">
        <f>IF(VLOOKUP($A163,raw_lb[],COLUMN(AR$1)-COLUMN($A$1),FALSE)=0, VLOOKUP($D163, regions_lb[], COLUMN(AR$1)-COLUMN($A$1), FALSE), VLOOKUP($A163,raw_lb[],COLUMN(AR$1)-COLUMN($A$1),FALSE))</f>
        <v>3.2947151127633738E-2</v>
      </c>
      <c r="AR163" s="72">
        <f>IF(VLOOKUP($A163,raw_lb[],COLUMN(AS$1)-COLUMN($A$1),FALSE)=0, VLOOKUP($D163, regions_lb[], COLUMN(AS$1)-COLUMN($A$1), FALSE), VLOOKUP($A163,raw_lb[],COLUMN(AS$1)-COLUMN($A$1),FALSE))</f>
        <v>4.9511916209015773E-2</v>
      </c>
      <c r="AS163" s="82">
        <f>IF(VLOOKUP($A163,raw_lb[],COLUMN(AS$1),FALSE)=0, VLOOKUP($D163, regions_lb[], COLUMN(AS$1), FALSE), VLOOKUP($A163,raw_lb[],COLUMN(AS$1),FALSE))</f>
        <v>7.1939499347785582E-2</v>
      </c>
      <c r="AT163" s="82">
        <f>IF(VLOOKUP($A163,raw_lb[],COLUMN(AT$1),FALSE)=0, VLOOKUP($D163, regions_lb[], COLUMN(AT$1), FALSE), VLOOKUP($A163,raw_lb[],COLUMN(AT$1),FALSE))</f>
        <v>0.10060626541573015</v>
      </c>
      <c r="AU163" s="82">
        <f>IF(VLOOKUP($A163,raw_lb[],COLUMN(AU$1),FALSE)=0, VLOOKUP($D163, regions_lb[], COLUMN(AU$1), FALSE), VLOOKUP($A163,raw_lb[],COLUMN(AU$1),FALSE))</f>
        <v>0.13011385387199886</v>
      </c>
      <c r="AV163" s="82">
        <f>IF(VLOOKUP($A163,raw_lb[],COLUMN(AV$1),FALSE)=0, VLOOKUP($D163, regions_lb[], COLUMN(AV$1), FALSE), VLOOKUP($A163,raw_lb[],COLUMN(AV$1),FALSE))</f>
        <v>0.15408274809008637</v>
      </c>
      <c r="AW163" s="82">
        <f>IF(VLOOKUP($A163,raw_lb[],COLUMN(AW$1),FALSE)=0, VLOOKUP($D163, regions_lb[], COLUMN(AW$1), FALSE), VLOOKUP($A163,raw_lb[],COLUMN(AW$1),FALSE))</f>
        <v>0.16978698347619295</v>
      </c>
      <c r="AX163" s="82">
        <f>IF(VLOOKUP($A163,raw_lb[],COLUMN(AX$1),FALSE)=0, VLOOKUP($D163, regions_lb[], COLUMN(AX$1), FALSE), VLOOKUP($A163,raw_lb[],COLUMN(AX$1),FALSE))</f>
        <v>51.109049999999996</v>
      </c>
      <c r="AY163" t="str">
        <f t="shared" si="5"/>
        <v>Yes</v>
      </c>
    </row>
    <row r="164" spans="1:51" x14ac:dyDescent="0.25">
      <c r="A164" s="53" t="s">
        <v>269</v>
      </c>
      <c r="B164" s="54" t="s">
        <v>270</v>
      </c>
      <c r="C164" s="54">
        <v>156</v>
      </c>
      <c r="D164" s="54" t="s">
        <v>260</v>
      </c>
      <c r="E164" s="54" t="s">
        <v>271</v>
      </c>
      <c r="F164" s="54" t="s">
        <v>262</v>
      </c>
      <c r="G164" s="54" t="s">
        <v>204</v>
      </c>
      <c r="H164" s="73"/>
      <c r="I164" s="73"/>
      <c r="J164" s="67">
        <f>IF(VLOOKUP($A164,raw_lb[],COLUMN(J$1),FALSE)=0, VLOOKUP($D164, regions_lb[], COLUMN(J$1), FALSE), VLOOKUP($A164,raw_lb[],COLUMN(J$1),FALSE))</f>
        <v>0.94904999999999995</v>
      </c>
      <c r="K164" s="77">
        <f>VLOOKUP($A164, raw_lb[], 11, FALSE)</f>
        <v>0.90249999999999997</v>
      </c>
      <c r="L164" s="77">
        <f>VLOOKUP($A164, raw_lb[], 12, FALSE)</f>
        <v>0.9405</v>
      </c>
      <c r="M164" s="77">
        <f>IF(VLOOKUP($A164,raw_lb[],COLUMN(M$1),FALSE)=0, VLOOKUP($D164, regions_lb[], COLUMN(M$1), FALSE), VLOOKUP($A164,raw_lb[],COLUMN(M$1),FALSE))</f>
        <v>5.5099999999999996E-2</v>
      </c>
      <c r="N164" s="68">
        <f>IF(VLOOKUP($A164,raw_lb[],COLUMN(N$1),FALSE)=0, VLOOKUP($D164, regions_lb[], COLUMN(N$1), FALSE), VLOOKUP($A164,raw_lb[],COLUMN(N$1),FALSE))</f>
        <v>0.18350000000000002</v>
      </c>
      <c r="O164" s="67">
        <f>IF(VLOOKUP($A164,raw_lb[],COLUMN(O$1),FALSE)=0, VLOOKUP($D164, regions_lb[], COLUMN(O$1), FALSE), VLOOKUP($A164,raw_lb[],COLUMN(O$1),FALSE))</f>
        <v>0.7</v>
      </c>
      <c r="P164" s="68">
        <f>IF(VLOOKUP($A164,raw_lb[],COLUMN(P$1),FALSE)=0, VLOOKUP($D164, regions_lb[], COLUMN(P$1), FALSE), VLOOKUP($A164,raw_lb[],COLUMN(P$1),FALSE))</f>
        <v>0.05</v>
      </c>
      <c r="Q164" s="70">
        <f>IF(VLOOKUP($A164,raw_lb[],COLUMN(Q$1),FALSE)=0, VLOOKUP($D164, regions_lb[], COLUMN(Q$1), FALSE), VLOOKUP($A164,raw_lb[],COLUMN(Q$1),FALSE))</f>
        <v>1.59176115897557</v>
      </c>
      <c r="R164" s="70">
        <f>IF(VLOOKUP($A164,raw_lb[],COLUMN(R$1),FALSE)=0, VLOOKUP($D164, regions_lb[], COLUMN(R$1), FALSE), VLOOKUP($A164,raw_lb[],COLUMN(R$1),FALSE))</f>
        <v>8.6526611589755706</v>
      </c>
      <c r="S164" s="70">
        <f>IF(VLOOKUP($A164,raw_lb[],COLUMN(S$1),FALSE)=0, VLOOKUP($D164, regions_lb[], COLUMN(S$1), FALSE), VLOOKUP($A164,raw_lb[],COLUMN(S$1),FALSE))</f>
        <v>44.850925946671587</v>
      </c>
      <c r="T164" s="70">
        <f>IF(VLOOKUP($A164,raw_lb[],COLUMN(U$1)-COLUMN($A$1),FALSE)=0, VLOOKUP($D164, regions_lb[], COLUMN(U$1)-COLUMN($A$1), FALSE), VLOOKUP($A164,raw_lb[],COLUMN(U$1)-COLUMN($A$1),FALSE))</f>
        <v>48.482868870305694</v>
      </c>
      <c r="U164" s="70">
        <f>IF(VLOOKUP($A164,raw_lb[],COLUMN(V$1)-COLUMN($A$1),FALSE)=0, VLOOKUP($D164, regions_lb[], COLUMN(V$1)-COLUMN($A$1), FALSE), VLOOKUP($A164,raw_lb[],COLUMN(V$1)-COLUMN($A$1),FALSE))</f>
        <v>46.815157449266252</v>
      </c>
      <c r="V164" s="70">
        <f>IF(VLOOKUP($A164,raw_lb[],COLUMN(W$1)-COLUMN($A$1),FALSE)=0, VLOOKUP($D164, regions_lb[], COLUMN(W$1)-COLUMN($A$1), FALSE), VLOOKUP($A164,raw_lb[],COLUMN(W$1)-COLUMN($A$1),FALSE))</f>
        <v>1.0678062989047363</v>
      </c>
      <c r="W164" s="70">
        <f>IF(VLOOKUP($A164,raw_lb[],COLUMN(X$1)-COLUMN($A$1),FALSE)=0, VLOOKUP($D164, regions_lb[], COLUMN(X$1)-COLUMN($A$1), FALSE), VLOOKUP($A164,raw_lb[],COLUMN(X$1)-COLUMN($A$1),FALSE))</f>
        <v>1.6663062989047361</v>
      </c>
      <c r="X164" s="70">
        <f>IF(VLOOKUP($A164,raw_lb[],COLUMN(Y$1)-COLUMN($A$1),FALSE)=0, VLOOKUP($D164, regions_lb[], COLUMN(Y$1)-COLUMN($A$1), FALSE), VLOOKUP($A164,raw_lb[],COLUMN(Y$1)-COLUMN($A$1),FALSE))</f>
        <v>0.58626050262370111</v>
      </c>
      <c r="Y164" s="70">
        <f>IF(VLOOKUP($A164,raw_lb[],COLUMN(Z$1)-COLUMN($A$1),FALSE)=0, VLOOKUP($D164, regions_lb[], COLUMN(Z$1)-COLUMN($A$1), FALSE), VLOOKUP($A164,raw_lb[],COLUMN(Z$1)-COLUMN($A$1),FALSE))</f>
        <v>1.1847605026237011</v>
      </c>
      <c r="Z164" s="70">
        <f>IF(VLOOKUP($A164,raw_lb[],COLUMN(AA$1)-COLUMN($A$1),FALSE)=0, VLOOKUP($D164, regions_lb[], COLUMN(AA$1)-COLUMN($A$1), FALSE), VLOOKUP($A164,raw_lb[],COLUMN(AA$1)-COLUMN($A$1),FALSE))</f>
        <v>1.1757969812837414</v>
      </c>
      <c r="AA164" s="70">
        <f>IF(VLOOKUP($A164,raw_lb[],COLUMN(AB$1)-COLUMN($A$1),FALSE)=0, VLOOKUP($D164, regions_lb[], COLUMN(AB$1)-COLUMN($A$1), FALSE), VLOOKUP($A164,raw_lb[],COLUMN(AB$1)-COLUMN($A$1),FALSE))</f>
        <v>1.2445400734608194</v>
      </c>
      <c r="AB164" s="70">
        <f>IF(VLOOKUP($A164,raw_lb[],COLUMN(AC$1)-COLUMN($A$1),FALSE)=0, VLOOKUP($D164, regions_lb[], COLUMN(AC$1)-COLUMN($A$1), FALSE), VLOOKUP($A164,raw_lb[],COLUMN(AC$1)-COLUMN($A$1),FALSE))</f>
        <v>1.8430400734608194</v>
      </c>
      <c r="AC164" s="72">
        <f>IF(VLOOKUP($A164,raw_lb[],COLUMN(AD$1)-COLUMN($A$1),FALSE)=0, VLOOKUP($D164, regions_lb[], COLUMN(AD$1)-COLUMN($A$1), FALSE), VLOOKUP($A164,raw_lb[],COLUMN(AD$1)-COLUMN($A$1),FALSE))</f>
        <v>9.3994615000000115E-3</v>
      </c>
      <c r="AD164" s="72">
        <f>IF(VLOOKUP($A164,raw_lb[],COLUMN(AE$1)-COLUMN($A$1),FALSE)=0, VLOOKUP($D164, regions_lb[], COLUMN(AE$1)-COLUMN($A$1), FALSE), VLOOKUP($A164,raw_lb[],COLUMN(AE$1)-COLUMN($A$1),FALSE))</f>
        <v>3.9281659416144188E-4</v>
      </c>
      <c r="AE164" s="72">
        <f>IF(VLOOKUP($A164,raw_lb[],COLUMN(AF$1)-COLUMN($A$1),FALSE)=0, VLOOKUP($D164, regions_lb[], COLUMN(AF$1)-COLUMN($A$1), FALSE), VLOOKUP($A164,raw_lb[],COLUMN(AF$1)-COLUMN($A$1),FALSE))</f>
        <v>2.963287955142556E-4</v>
      </c>
      <c r="AF164" s="72">
        <f>IF(VLOOKUP($A164,raw_lb[],COLUMN(AG$1)-COLUMN($A$1),FALSE)=0, VLOOKUP($D164, regions_lb[], COLUMN(AG$1)-COLUMN($A$1), FALSE), VLOOKUP($A164,raw_lb[],COLUMN(AG$1)-COLUMN($A$1),FALSE))</f>
        <v>2.2117876062090083E-4</v>
      </c>
      <c r="AG164" s="72">
        <f>IF(VLOOKUP($A164,raw_lb[],COLUMN(AH$1)-COLUMN($A$1),FALSE)=0, VLOOKUP($D164, regions_lb[], COLUMN(AH$1)-COLUMN($A$1), FALSE), VLOOKUP($A164,raw_lb[],COLUMN(AH$1)-COLUMN($A$1),FALSE))</f>
        <v>3.214653737707117E-4</v>
      </c>
      <c r="AH164" s="72">
        <f>IF(VLOOKUP($A164,raw_lb[],COLUMN(AI$1)-COLUMN($A$1),FALSE)=0, VLOOKUP($D164, regions_lb[], COLUMN(AI$1)-COLUMN($A$1), FALSE), VLOOKUP($A164,raw_lb[],COLUMN(AI$1)-COLUMN($A$1),FALSE))</f>
        <v>4.5137532156597671E-4</v>
      </c>
      <c r="AI164" s="72">
        <f>IF(VLOOKUP($A164,raw_lb[],COLUMN(AJ$1)-COLUMN($A$1),FALSE)=0, VLOOKUP($D164, regions_lb[], COLUMN(AJ$1)-COLUMN($A$1), FALSE), VLOOKUP($A164,raw_lb[],COLUMN(AJ$1)-COLUMN($A$1),FALSE))</f>
        <v>6.0381589231406298E-4</v>
      </c>
      <c r="AJ164" s="72">
        <f>IF(VLOOKUP($A164,raw_lb[],COLUMN(AK$1)-COLUMN($A$1),FALSE)=0, VLOOKUP($D164, regions_lb[], COLUMN(AK$1)-COLUMN($A$1), FALSE), VLOOKUP($A164,raw_lb[],COLUMN(AK$1)-COLUMN($A$1),FALSE))</f>
        <v>7.6363291956651742E-4</v>
      </c>
      <c r="AK164" s="72">
        <f>IF(VLOOKUP($A164,raw_lb[],COLUMN(AL$1)-COLUMN($A$1),FALSE)=0, VLOOKUP($D164, regions_lb[], COLUMN(AL$1)-COLUMN($A$1), FALSE), VLOOKUP($A164,raw_lb[],COLUMN(AL$1)-COLUMN($A$1),FALSE))</f>
        <v>9.6736558532992058E-4</v>
      </c>
      <c r="AL164" s="72">
        <f>IF(VLOOKUP($A164,raw_lb[],COLUMN(AM$1)-COLUMN($A$1),FALSE)=0, VLOOKUP($D164, regions_lb[], COLUMN(AM$1)-COLUMN($A$1), FALSE), VLOOKUP($A164,raw_lb[],COLUMN(AM$1)-COLUMN($A$1),FALSE))</f>
        <v>1.3695297071101148E-3</v>
      </c>
      <c r="AM164" s="72">
        <f>IF(VLOOKUP($A164,raw_lb[],COLUMN(AN$1)-COLUMN($A$1),FALSE)=0, VLOOKUP($D164, regions_lb[], COLUMN(AN$1)-COLUMN($A$1), FALSE), VLOOKUP($A164,raw_lb[],COLUMN(AN$1)-COLUMN($A$1),FALSE))</f>
        <v>2.0115177746647191E-3</v>
      </c>
      <c r="AN164" s="72">
        <f>IF(VLOOKUP($A164,raw_lb[],COLUMN(AO$1)-COLUMN($A$1),FALSE)=0, VLOOKUP($D164, regions_lb[], COLUMN(AO$1)-COLUMN($A$1), FALSE), VLOOKUP($A164,raw_lb[],COLUMN(AO$1)-COLUMN($A$1),FALSE))</f>
        <v>3.3369398107084931E-3</v>
      </c>
      <c r="AO164" s="72">
        <f>IF(VLOOKUP($A164,raw_lb[],COLUMN(AP$1)-COLUMN($A$1),FALSE)=0, VLOOKUP($D164, regions_lb[], COLUMN(AP$1)-COLUMN($A$1), FALSE), VLOOKUP($A164,raw_lb[],COLUMN(AP$1)-COLUMN($A$1),FALSE))</f>
        <v>5.5889783075949032E-3</v>
      </c>
      <c r="AP164" s="72">
        <f>IF(VLOOKUP($A164,raw_lb[],COLUMN(AQ$1)-COLUMN($A$1),FALSE)=0, VLOOKUP($D164, regions_lb[], COLUMN(AQ$1)-COLUMN($A$1), FALSE), VLOOKUP($A164,raw_lb[],COLUMN(AQ$1)-COLUMN($A$1),FALSE))</f>
        <v>1.0407860711278792E-2</v>
      </c>
      <c r="AQ164" s="72">
        <f>IF(VLOOKUP($A164,raw_lb[],COLUMN(AR$1)-COLUMN($A$1),FALSE)=0, VLOOKUP($D164, regions_lb[], COLUMN(AR$1)-COLUMN($A$1), FALSE), VLOOKUP($A164,raw_lb[],COLUMN(AR$1)-COLUMN($A$1),FALSE))</f>
        <v>1.8467018727160337E-2</v>
      </c>
      <c r="AR164" s="72">
        <f>IF(VLOOKUP($A164,raw_lb[],COLUMN(AS$1)-COLUMN($A$1),FALSE)=0, VLOOKUP($D164, regions_lb[], COLUMN(AS$1)-COLUMN($A$1), FALSE), VLOOKUP($A164,raw_lb[],COLUMN(AS$1)-COLUMN($A$1),FALSE))</f>
        <v>3.2544025929692168E-2</v>
      </c>
      <c r="AS164" s="82">
        <f>IF(VLOOKUP($A164,raw_lb[],COLUMN(AS$1),FALSE)=0, VLOOKUP($D164, regions_lb[], COLUMN(AS$1), FALSE), VLOOKUP($A164,raw_lb[],COLUMN(AS$1),FALSE))</f>
        <v>5.1710371630160318E-2</v>
      </c>
      <c r="AT164" s="82">
        <f>IF(VLOOKUP($A164,raw_lb[],COLUMN(AT$1),FALSE)=0, VLOOKUP($D164, regions_lb[], COLUMN(AT$1), FALSE), VLOOKUP($A164,raw_lb[],COLUMN(AT$1),FALSE))</f>
        <v>7.3546197547558312E-2</v>
      </c>
      <c r="AU164" s="82">
        <f>IF(VLOOKUP($A164,raw_lb[],COLUMN(AU$1),FALSE)=0, VLOOKUP($D164, regions_lb[], COLUMN(AU$1), FALSE), VLOOKUP($A164,raw_lb[],COLUMN(AU$1),FALSE))</f>
        <v>0.1018240690255698</v>
      </c>
      <c r="AV164" s="82">
        <f>IF(VLOOKUP($A164,raw_lb[],COLUMN(AV$1),FALSE)=0, VLOOKUP($D164, regions_lb[], COLUMN(AV$1), FALSE), VLOOKUP($A164,raw_lb[],COLUMN(AV$1),FALSE))</f>
        <v>0.12660324325641278</v>
      </c>
      <c r="AW164" s="82">
        <f>IF(VLOOKUP($A164,raw_lb[],COLUMN(AW$1),FALSE)=0, VLOOKUP($D164, regions_lb[], COLUMN(AW$1), FALSE), VLOOKUP($A164,raw_lb[],COLUMN(AW$1),FALSE))</f>
        <v>0.14692695333826819</v>
      </c>
      <c r="AX164" s="82">
        <f>IF(VLOOKUP($A164,raw_lb[],COLUMN(AX$1),FALSE)=0, VLOOKUP($D164, regions_lb[], COLUMN(AX$1), FALSE), VLOOKUP($A164,raw_lb[],COLUMN(AX$1),FALSE))</f>
        <v>72.791849999999997</v>
      </c>
      <c r="AY164" t="str">
        <f t="shared" si="5"/>
        <v>No</v>
      </c>
    </row>
    <row r="165" spans="1:51" x14ac:dyDescent="0.25">
      <c r="A165" s="55" t="s">
        <v>272</v>
      </c>
      <c r="B165" s="56" t="s">
        <v>273</v>
      </c>
      <c r="C165" s="56">
        <v>170</v>
      </c>
      <c r="D165" s="56" t="s">
        <v>215</v>
      </c>
      <c r="E165" s="56" t="s">
        <v>274</v>
      </c>
      <c r="F165" s="56" t="s">
        <v>217</v>
      </c>
      <c r="G165" s="56" t="s">
        <v>204</v>
      </c>
      <c r="H165" s="74"/>
      <c r="I165" s="74"/>
      <c r="J165" s="67">
        <f>IF(VLOOKUP($A165,raw_lb[],COLUMN(J$1),FALSE)=0, VLOOKUP($D165, regions_lb[], COLUMN(J$1), FALSE), VLOOKUP($A165,raw_lb[],COLUMN(J$1),FALSE))</f>
        <v>0.9423999999999999</v>
      </c>
      <c r="K165" s="77">
        <f>VLOOKUP($A165, raw_lb[], 11, FALSE)</f>
        <v>0.83599999999999997</v>
      </c>
      <c r="L165" s="77">
        <f>VLOOKUP($A165, raw_lb[], 12, FALSE)</f>
        <v>0.83599999999999997</v>
      </c>
      <c r="M165" s="77">
        <f>IF(VLOOKUP($A165,raw_lb[],COLUMN(M$1),FALSE)=0, VLOOKUP($D165, regions_lb[], COLUMN(M$1), FALSE), VLOOKUP($A165,raw_lb[],COLUMN(M$1),FALSE))</f>
        <v>1.01E-2</v>
      </c>
      <c r="N165" s="68">
        <f>IF(VLOOKUP($A165,raw_lb[],COLUMN(N$1),FALSE)=0, VLOOKUP($D165, regions_lb[], COLUMN(N$1), FALSE), VLOOKUP($A165,raw_lb[],COLUMN(N$1),FALSE))</f>
        <v>0.16440000000000002</v>
      </c>
      <c r="O165" s="67">
        <f>IF(VLOOKUP($A165,raw_lb[],COLUMN(O$1),FALSE)=0, VLOOKUP($D165, regions_lb[], COLUMN(O$1), FALSE), VLOOKUP($A165,raw_lb[],COLUMN(O$1),FALSE))</f>
        <v>0.7</v>
      </c>
      <c r="P165" s="68">
        <f>IF(VLOOKUP($A165,raw_lb[],COLUMN(P$1),FALSE)=0, VLOOKUP($D165, regions_lb[], COLUMN(P$1), FALSE), VLOOKUP($A165,raw_lb[],COLUMN(P$1),FALSE))</f>
        <v>0.05</v>
      </c>
      <c r="Q165" s="70">
        <f>IF(VLOOKUP($A165,raw_lb[],COLUMN(Q$1),FALSE)=0, VLOOKUP($D165, regions_lb[], COLUMN(Q$1), FALSE), VLOOKUP($A165,raw_lb[],COLUMN(Q$1),FALSE))</f>
        <v>3.52539096070256</v>
      </c>
      <c r="R165" s="70">
        <f>IF(VLOOKUP($A165,raw_lb[],COLUMN(R$1),FALSE)=0, VLOOKUP($D165, regions_lb[], COLUMN(R$1), FALSE), VLOOKUP($A165,raw_lb[],COLUMN(R$1),FALSE))</f>
        <v>10.586290960702561</v>
      </c>
      <c r="S165" s="70">
        <f>IF(VLOOKUP($A165,raw_lb[],COLUMN(S$1),FALSE)=0, VLOOKUP($D165, regions_lb[], COLUMN(S$1), FALSE), VLOOKUP($A165,raw_lb[],COLUMN(S$1),FALSE))</f>
        <v>50.828822586845789</v>
      </c>
      <c r="T165" s="70">
        <f>IF(VLOOKUP($A165,raw_lb[],COLUMN(U$1)-COLUMN($A$1),FALSE)=0, VLOOKUP($D165, regions_lb[], COLUMN(U$1)-COLUMN($A$1), FALSE), VLOOKUP($A165,raw_lb[],COLUMN(U$1)-COLUMN($A$1),FALSE))</f>
        <v>56.565665048124991</v>
      </c>
      <c r="U165" s="70">
        <f>IF(VLOOKUP($A165,raw_lb[],COLUMN(V$1)-COLUMN($A$1),FALSE)=0, VLOOKUP($D165, regions_lb[], COLUMN(V$1)-COLUMN($A$1), FALSE), VLOOKUP($A165,raw_lb[],COLUMN(V$1)-COLUMN($A$1),FALSE))</f>
        <v>53.931428251307096</v>
      </c>
      <c r="V165" s="70">
        <f>IF(VLOOKUP($A165,raw_lb[],COLUMN(W$1)-COLUMN($A$1),FALSE)=0, VLOOKUP($D165, regions_lb[], COLUMN(W$1)-COLUMN($A$1), FALSE), VLOOKUP($A165,raw_lb[],COLUMN(W$1)-COLUMN($A$1),FALSE))</f>
        <v>1.6294791959888455</v>
      </c>
      <c r="W165" s="70">
        <f>IF(VLOOKUP($A165,raw_lb[],COLUMN(X$1)-COLUMN($A$1),FALSE)=0, VLOOKUP($D165, regions_lb[], COLUMN(X$1)-COLUMN($A$1), FALSE), VLOOKUP($A165,raw_lb[],COLUMN(X$1)-COLUMN($A$1),FALSE))</f>
        <v>1.6484791959888454</v>
      </c>
      <c r="X165" s="70">
        <f>IF(VLOOKUP($A165,raw_lb[],COLUMN(Y$1)-COLUMN($A$1),FALSE)=0, VLOOKUP($D165, regions_lb[], COLUMN(Y$1)-COLUMN($A$1), FALSE), VLOOKUP($A165,raw_lb[],COLUMN(Y$1)-COLUMN($A$1),FALSE))</f>
        <v>1.1543005597320006</v>
      </c>
      <c r="Y165" s="70">
        <f>IF(VLOOKUP($A165,raw_lb[],COLUMN(Z$1)-COLUMN($A$1),FALSE)=0, VLOOKUP($D165, regions_lb[], COLUMN(Z$1)-COLUMN($A$1), FALSE), VLOOKUP($A165,raw_lb[],COLUMN(Z$1)-COLUMN($A$1),FALSE))</f>
        <v>1.1733005597320005</v>
      </c>
      <c r="Z165" s="70">
        <f>IF(VLOOKUP($A165,raw_lb[],COLUMN(AA$1)-COLUMN($A$1),FALSE)=0, VLOOKUP($D165, regions_lb[], COLUMN(AA$1)-COLUMN($A$1), FALSE), VLOOKUP($A165,raw_lb[],COLUMN(AA$1)-COLUMN($A$1),FALSE))</f>
        <v>1.1683170207214821</v>
      </c>
      <c r="AA165" s="70">
        <f>IF(VLOOKUP($A165,raw_lb[],COLUMN(AB$1)-COLUMN($A$1),FALSE)=0, VLOOKUP($D165, regions_lb[], COLUMN(AB$1)-COLUMN($A$1), FALSE), VLOOKUP($A165,raw_lb[],COLUMN(AB$1)-COLUMN($A$1),FALSE))</f>
        <v>1.7865657338988559</v>
      </c>
      <c r="AB165" s="70">
        <f>IF(VLOOKUP($A165,raw_lb[],COLUMN(AC$1)-COLUMN($A$1),FALSE)=0, VLOOKUP($D165, regions_lb[], COLUMN(AC$1)-COLUMN($A$1), FALSE), VLOOKUP($A165,raw_lb[],COLUMN(AC$1)-COLUMN($A$1),FALSE))</f>
        <v>1.8055657338988558</v>
      </c>
      <c r="AC165" s="72">
        <f>IF(VLOOKUP($A165,raw_lb[],COLUMN(AD$1)-COLUMN($A$1),FALSE)=0, VLOOKUP($D165, regions_lb[], COLUMN(AD$1)-COLUMN($A$1), FALSE), VLOOKUP($A165,raw_lb[],COLUMN(AD$1)-COLUMN($A$1),FALSE))</f>
        <v>1.2005482500000005E-2</v>
      </c>
      <c r="AD165" s="72">
        <f>IF(VLOOKUP($A165,raw_lb[],COLUMN(AE$1)-COLUMN($A$1),FALSE)=0, VLOOKUP($D165, regions_lb[], COLUMN(AE$1)-COLUMN($A$1), FALSE), VLOOKUP($A165,raw_lb[],COLUMN(AE$1)-COLUMN($A$1),FALSE))</f>
        <v>5.1171952878711208E-4</v>
      </c>
      <c r="AE165" s="72">
        <f>IF(VLOOKUP($A165,raw_lb[],COLUMN(AF$1)-COLUMN($A$1),FALSE)=0, VLOOKUP($D165, regions_lb[], COLUMN(AF$1)-COLUMN($A$1), FALSE), VLOOKUP($A165,raw_lb[],COLUMN(AF$1)-COLUMN($A$1),FALSE))</f>
        <v>3.8046658642255888E-4</v>
      </c>
      <c r="AF165" s="72">
        <f>IF(VLOOKUP($A165,raw_lb[],COLUMN(AG$1)-COLUMN($A$1),FALSE)=0, VLOOKUP($D165, regions_lb[], COLUMN(AG$1)-COLUMN($A$1), FALSE), VLOOKUP($A165,raw_lb[],COLUMN(AG$1)-COLUMN($A$1),FALSE))</f>
        <v>3.5007868398258263E-4</v>
      </c>
      <c r="AG165" s="72">
        <f>IF(VLOOKUP($A165,raw_lb[],COLUMN(AH$1)-COLUMN($A$1),FALSE)=0, VLOOKUP($D165, regions_lb[], COLUMN(AH$1)-COLUMN($A$1), FALSE), VLOOKUP($A165,raw_lb[],COLUMN(AH$1)-COLUMN($A$1),FALSE))</f>
        <v>8.8872003453665117E-4</v>
      </c>
      <c r="AH165" s="72">
        <f>IF(VLOOKUP($A165,raw_lb[],COLUMN(AI$1)-COLUMN($A$1),FALSE)=0, VLOOKUP($D165, regions_lb[], COLUMN(AI$1)-COLUMN($A$1), FALSE), VLOOKUP($A165,raw_lb[],COLUMN(AI$1)-COLUMN($A$1),FALSE))</f>
        <v>1.7094534703995738E-3</v>
      </c>
      <c r="AI165" s="72">
        <f>IF(VLOOKUP($A165,raw_lb[],COLUMN(AJ$1)-COLUMN($A$1),FALSE)=0, VLOOKUP($D165, regions_lb[], COLUMN(AJ$1)-COLUMN($A$1), FALSE), VLOOKUP($A165,raw_lb[],COLUMN(AJ$1)-COLUMN($A$1),FALSE))</f>
        <v>1.7710213339090957E-3</v>
      </c>
      <c r="AJ165" s="72">
        <f>IF(VLOOKUP($A165,raw_lb[],COLUMN(AK$1)-COLUMN($A$1),FALSE)=0, VLOOKUP($D165, regions_lb[], COLUMN(AK$1)-COLUMN($A$1), FALSE), VLOOKUP($A165,raw_lb[],COLUMN(AK$1)-COLUMN($A$1),FALSE))</f>
        <v>1.7342951028567969E-3</v>
      </c>
      <c r="AK165" s="72">
        <f>IF(VLOOKUP($A165,raw_lb[],COLUMN(AL$1)-COLUMN($A$1),FALSE)=0, VLOOKUP($D165, regions_lb[], COLUMN(AL$1)-COLUMN($A$1), FALSE), VLOOKUP($A165,raw_lb[],COLUMN(AL$1)-COLUMN($A$1),FALSE))</f>
        <v>1.889108464338052E-3</v>
      </c>
      <c r="AL165" s="72">
        <f>IF(VLOOKUP($A165,raw_lb[],COLUMN(AM$1)-COLUMN($A$1),FALSE)=0, VLOOKUP($D165, regions_lb[], COLUMN(AM$1)-COLUMN($A$1), FALSE), VLOOKUP($A165,raw_lb[],COLUMN(AM$1)-COLUMN($A$1),FALSE))</f>
        <v>2.1401725272512549E-3</v>
      </c>
      <c r="AM165" s="72">
        <f>IF(VLOOKUP($A165,raw_lb[],COLUMN(AN$1)-COLUMN($A$1),FALSE)=0, VLOOKUP($D165, regions_lb[], COLUMN(AN$1)-COLUMN($A$1), FALSE), VLOOKUP($A165,raw_lb[],COLUMN(AN$1)-COLUMN($A$1),FALSE))</f>
        <v>2.7039515569651077E-3</v>
      </c>
      <c r="AN165" s="72">
        <f>IF(VLOOKUP($A165,raw_lb[],COLUMN(AO$1)-COLUMN($A$1),FALSE)=0, VLOOKUP($D165, regions_lb[], COLUMN(AO$1)-COLUMN($A$1), FALSE), VLOOKUP($A165,raw_lb[],COLUMN(AO$1)-COLUMN($A$1),FALSE))</f>
        <v>4.1573164090282352E-3</v>
      </c>
      <c r="AO165" s="72">
        <f>IF(VLOOKUP($A165,raw_lb[],COLUMN(AP$1)-COLUMN($A$1),FALSE)=0, VLOOKUP($D165, regions_lb[], COLUMN(AP$1)-COLUMN($A$1), FALSE), VLOOKUP($A165,raw_lb[],COLUMN(AP$1)-COLUMN($A$1),FALSE))</f>
        <v>6.2057267595634997E-3</v>
      </c>
      <c r="AP165" s="72">
        <f>IF(VLOOKUP($A165,raw_lb[],COLUMN(AQ$1)-COLUMN($A$1),FALSE)=0, VLOOKUP($D165, regions_lb[], COLUMN(AQ$1)-COLUMN($A$1), FALSE), VLOOKUP($A165,raw_lb[],COLUMN(AQ$1)-COLUMN($A$1),FALSE))</f>
        <v>9.5876526724842249E-3</v>
      </c>
      <c r="AQ165" s="72">
        <f>IF(VLOOKUP($A165,raw_lb[],COLUMN(AR$1)-COLUMN($A$1),FALSE)=0, VLOOKUP($D165, regions_lb[], COLUMN(AR$1)-COLUMN($A$1), FALSE), VLOOKUP($A165,raw_lb[],COLUMN(AR$1)-COLUMN($A$1),FALSE))</f>
        <v>1.4817057876972827E-2</v>
      </c>
      <c r="AR165" s="72">
        <f>IF(VLOOKUP($A165,raw_lb[],COLUMN(AS$1)-COLUMN($A$1),FALSE)=0, VLOOKUP($D165, regions_lb[], COLUMN(AS$1)-COLUMN($A$1), FALSE), VLOOKUP($A165,raw_lb[],COLUMN(AS$1)-COLUMN($A$1),FALSE))</f>
        <v>2.2646613246656615E-2</v>
      </c>
      <c r="AS165" s="82">
        <f>IF(VLOOKUP($A165,raw_lb[],COLUMN(AS$1),FALSE)=0, VLOOKUP($D165, regions_lb[], COLUMN(AS$1), FALSE), VLOOKUP($A165,raw_lb[],COLUMN(AS$1),FALSE))</f>
        <v>3.4028266088053753E-2</v>
      </c>
      <c r="AT165" s="82">
        <f>IF(VLOOKUP($A165,raw_lb[],COLUMN(AT$1),FALSE)=0, VLOOKUP($D165, regions_lb[], COLUMN(AT$1), FALSE), VLOOKUP($A165,raw_lb[],COLUMN(AT$1),FALSE))</f>
        <v>5.3238560193241996E-2</v>
      </c>
      <c r="AU165" s="82">
        <f>IF(VLOOKUP($A165,raw_lb[],COLUMN(AU$1),FALSE)=0, VLOOKUP($D165, regions_lb[], COLUMN(AU$1), FALSE), VLOOKUP($A165,raw_lb[],COLUMN(AU$1),FALSE))</f>
        <v>8.3218965191032446E-2</v>
      </c>
      <c r="AV165" s="82">
        <f>IF(VLOOKUP($A165,raw_lb[],COLUMN(AV$1),FALSE)=0, VLOOKUP($D165, regions_lb[], COLUMN(AV$1), FALSE), VLOOKUP($A165,raw_lb[],COLUMN(AV$1),FALSE))</f>
        <v>9.8766006968099784E-2</v>
      </c>
      <c r="AW165" s="82">
        <f>IF(VLOOKUP($A165,raw_lb[],COLUMN(AW$1),FALSE)=0, VLOOKUP($D165, regions_lb[], COLUMN(AW$1), FALSE), VLOOKUP($A165,raw_lb[],COLUMN(AW$1),FALSE))</f>
        <v>0.1449092027204569</v>
      </c>
      <c r="AX165" s="82">
        <f>IF(VLOOKUP($A165,raw_lb[],COLUMN(AX$1),FALSE)=0, VLOOKUP($D165, regions_lb[], COLUMN(AX$1), FALSE), VLOOKUP($A165,raw_lb[],COLUMN(AX$1),FALSE))</f>
        <v>73.16995</v>
      </c>
      <c r="AY165" t="str">
        <f t="shared" si="5"/>
        <v>No</v>
      </c>
    </row>
    <row r="166" spans="1:51" x14ac:dyDescent="0.25">
      <c r="A166" s="53" t="s">
        <v>275</v>
      </c>
      <c r="B166" s="54" t="s">
        <v>276</v>
      </c>
      <c r="C166" s="54">
        <v>174</v>
      </c>
      <c r="D166" s="54" t="s">
        <v>207</v>
      </c>
      <c r="E166" s="54" t="s">
        <v>255</v>
      </c>
      <c r="F166" s="54" t="s">
        <v>211</v>
      </c>
      <c r="G166" s="54" t="s">
        <v>212</v>
      </c>
      <c r="H166" s="73"/>
      <c r="I166" s="73"/>
      <c r="J166" s="67">
        <f>IF(VLOOKUP($A166,raw_lb[],COLUMN(J$1),FALSE)=0, VLOOKUP($D166, regions_lb[], COLUMN(J$1), FALSE), VLOOKUP($A166,raw_lb[],COLUMN(J$1),FALSE))</f>
        <v>0.72294999999999987</v>
      </c>
      <c r="K166" s="77">
        <f>VLOOKUP($A166, raw_lb[], 11, FALSE)</f>
        <v>0</v>
      </c>
      <c r="L166" s="77">
        <f>VLOOKUP($A166, raw_lb[], 12, FALSE)</f>
        <v>0.82650000000000001</v>
      </c>
      <c r="M166" s="77">
        <f>IF(VLOOKUP($A166,raw_lb[],COLUMN(M$1),FALSE)=0, VLOOKUP($D166, regions_lb[], COLUMN(M$1), FALSE), VLOOKUP($A166,raw_lb[],COLUMN(M$1),FALSE))</f>
        <v>6.7000000000000002E-3</v>
      </c>
      <c r="N166" s="68">
        <f>IF(VLOOKUP($A166,raw_lb[],COLUMN(N$1),FALSE)=0, VLOOKUP($D166, regions_lb[], COLUMN(N$1), FALSE), VLOOKUP($A166,raw_lb[],COLUMN(N$1),FALSE))</f>
        <v>0.15560000000000002</v>
      </c>
      <c r="O166" s="67">
        <f>IF(VLOOKUP($A166,raw_lb[],COLUMN(O$1),FALSE)=0, VLOOKUP($D166, regions_lb[], COLUMN(O$1), FALSE), VLOOKUP($A166,raw_lb[],COLUMN(O$1),FALSE))</f>
        <v>7.0000000000000007E-2</v>
      </c>
      <c r="P166" s="68">
        <f>IF(VLOOKUP($A166,raw_lb[],COLUMN(P$1),FALSE)=0, VLOOKUP($D166, regions_lb[], COLUMN(P$1), FALSE), VLOOKUP($A166,raw_lb[],COLUMN(P$1),FALSE))</f>
        <v>1E-3</v>
      </c>
      <c r="Q166" s="70">
        <f>IF(VLOOKUP($A166,raw_lb[],COLUMN(Q$1),FALSE)=0, VLOOKUP($D166, regions_lb[], COLUMN(Q$1), FALSE), VLOOKUP($A166,raw_lb[],COLUMN(Q$1),FALSE))</f>
        <v>0.73525839493136202</v>
      </c>
      <c r="R166" s="70">
        <f>IF(VLOOKUP($A166,raw_lb[],COLUMN(R$1),FALSE)=0, VLOOKUP($D166, regions_lb[], COLUMN(R$1), FALSE), VLOOKUP($A166,raw_lb[],COLUMN(R$1),FALSE))</f>
        <v>7.7961583949313624</v>
      </c>
      <c r="S166" s="70">
        <f>IF(VLOOKUP($A166,raw_lb[],COLUMN(S$1),FALSE)=0, VLOOKUP($D166, regions_lb[], COLUMN(S$1), FALSE), VLOOKUP($A166,raw_lb[],COLUMN(S$1),FALSE))</f>
        <v>37.783619261527143</v>
      </c>
      <c r="T166" s="70">
        <f>IF(VLOOKUP($A166,raw_lb[],COLUMN(U$1)-COLUMN($A$1),FALSE)=0, VLOOKUP($D166, regions_lb[], COLUMN(U$1)-COLUMN($A$1), FALSE), VLOOKUP($A166,raw_lb[],COLUMN(U$1)-COLUMN($A$1),FALSE))</f>
        <v>38.183055818952319</v>
      </c>
      <c r="U166" s="70">
        <f>IF(VLOOKUP($A166,raw_lb[],COLUMN(V$1)-COLUMN($A$1),FALSE)=0, VLOOKUP($D166, regions_lb[], COLUMN(V$1)-COLUMN($A$1), FALSE), VLOOKUP($A166,raw_lb[],COLUMN(V$1)-COLUMN($A$1),FALSE))</f>
        <v>37.999642994795906</v>
      </c>
      <c r="V166" s="70">
        <f>IF(VLOOKUP($A166,raw_lb[],COLUMN(W$1)-COLUMN($A$1),FALSE)=0, VLOOKUP($D166, regions_lb[], COLUMN(W$1)-COLUMN($A$1), FALSE), VLOOKUP($A166,raw_lb[],COLUMN(W$1)-COLUMN($A$1),FALSE))</f>
        <v>2.5271715538384663</v>
      </c>
      <c r="W166" s="70">
        <f>IF(VLOOKUP($A166,raw_lb[],COLUMN(X$1)-COLUMN($A$1),FALSE)=0, VLOOKUP($D166, regions_lb[], COLUMN(X$1)-COLUMN($A$1), FALSE), VLOOKUP($A166,raw_lb[],COLUMN(X$1)-COLUMN($A$1),FALSE))</f>
        <v>7.1156715538384656</v>
      </c>
      <c r="X166" s="70">
        <f>IF(VLOOKUP($A166,raw_lb[],COLUMN(Y$1)-COLUMN($A$1),FALSE)=0, VLOOKUP($D166, regions_lb[], COLUMN(Y$1)-COLUMN($A$1), FALSE), VLOOKUP($A166,raw_lb[],COLUMN(Y$1)-COLUMN($A$1),FALSE))</f>
        <v>2.0557958290553069</v>
      </c>
      <c r="Y166" s="70">
        <f>IF(VLOOKUP($A166,raw_lb[],COLUMN(Z$1)-COLUMN($A$1),FALSE)=0, VLOOKUP($D166, regions_lb[], COLUMN(Z$1)-COLUMN($A$1), FALSE), VLOOKUP($A166,raw_lb[],COLUMN(Z$1)-COLUMN($A$1),FALSE))</f>
        <v>6.6442958290553067</v>
      </c>
      <c r="Z166" s="70">
        <f>IF(VLOOKUP($A166,raw_lb[],COLUMN(AA$1)-COLUMN($A$1),FALSE)=0, VLOOKUP($D166, regions_lb[], COLUMN(AA$1)-COLUMN($A$1), FALSE), VLOOKUP($A166,raw_lb[],COLUMN(AA$1)-COLUMN($A$1),FALSE))</f>
        <v>6.6420248550879109</v>
      </c>
      <c r="AA166" s="70">
        <f>IF(VLOOKUP($A166,raw_lb[],COLUMN(AB$1)-COLUMN($A$1),FALSE)=0, VLOOKUP($D166, regions_lb[], COLUMN(AB$1)-COLUMN($A$1), FALSE), VLOOKUP($A166,raw_lb[],COLUMN(AB$1)-COLUMN($A$1),FALSE))</f>
        <v>2.6725233934868173</v>
      </c>
      <c r="AB166" s="70">
        <f>IF(VLOOKUP($A166,raw_lb[],COLUMN(AC$1)-COLUMN($A$1),FALSE)=0, VLOOKUP($D166, regions_lb[], COLUMN(AC$1)-COLUMN($A$1), FALSE), VLOOKUP($A166,raw_lb[],COLUMN(AC$1)-COLUMN($A$1),FALSE))</f>
        <v>7.2610233934868171</v>
      </c>
      <c r="AC166" s="72">
        <f>IF(VLOOKUP($A166,raw_lb[],COLUMN(AD$1)-COLUMN($A$1),FALSE)=0, VLOOKUP($D166, regions_lb[], COLUMN(AD$1)-COLUMN($A$1), FALSE), VLOOKUP($A166,raw_lb[],COLUMN(AD$1)-COLUMN($A$1),FALSE))</f>
        <v>5.0461701000000019E-2</v>
      </c>
      <c r="AD166" s="72">
        <f>IF(VLOOKUP($A166,raw_lb[],COLUMN(AE$1)-COLUMN($A$1),FALSE)=0, VLOOKUP($D166, regions_lb[], COLUMN(AE$1)-COLUMN($A$1), FALSE), VLOOKUP($A166,raw_lb[],COLUMN(AE$1)-COLUMN($A$1),FALSE))</f>
        <v>4.2496584475610064E-3</v>
      </c>
      <c r="AE166" s="72">
        <f>IF(VLOOKUP($A166,raw_lb[],COLUMN(AF$1)-COLUMN($A$1),FALSE)=0, VLOOKUP($D166, regions_lb[], COLUMN(AF$1)-COLUMN($A$1), FALSE), VLOOKUP($A166,raw_lb[],COLUMN(AF$1)-COLUMN($A$1),FALSE))</f>
        <v>1.2995700355024114E-3</v>
      </c>
      <c r="AF166" s="72">
        <f>IF(VLOOKUP($A166,raw_lb[],COLUMN(AG$1)-COLUMN($A$1),FALSE)=0, VLOOKUP($D166, regions_lb[], COLUMN(AG$1)-COLUMN($A$1), FALSE), VLOOKUP($A166,raw_lb[],COLUMN(AG$1)-COLUMN($A$1),FALSE))</f>
        <v>1.0195082081398083E-3</v>
      </c>
      <c r="AG166" s="72">
        <f>IF(VLOOKUP($A166,raw_lb[],COLUMN(AH$1)-COLUMN($A$1),FALSE)=0, VLOOKUP($D166, regions_lb[], COLUMN(AH$1)-COLUMN($A$1), FALSE), VLOOKUP($A166,raw_lb[],COLUMN(AH$1)-COLUMN($A$1),FALSE))</f>
        <v>1.6355224486175751E-3</v>
      </c>
      <c r="AH166" s="72">
        <f>IF(VLOOKUP($A166,raw_lb[],COLUMN(AI$1)-COLUMN($A$1),FALSE)=0, VLOOKUP($D166, regions_lb[], COLUMN(AI$1)-COLUMN($A$1), FALSE), VLOOKUP($A166,raw_lb[],COLUMN(AI$1)-COLUMN($A$1),FALSE))</f>
        <v>2.2775282523972008E-3</v>
      </c>
      <c r="AI166" s="72">
        <f>IF(VLOOKUP($A166,raw_lb[],COLUMN(AJ$1)-COLUMN($A$1),FALSE)=0, VLOOKUP($D166, regions_lb[], COLUMN(AJ$1)-COLUMN($A$1), FALSE), VLOOKUP($A166,raw_lb[],COLUMN(AJ$1)-COLUMN($A$1),FALSE))</f>
        <v>2.483280653043709E-3</v>
      </c>
      <c r="AJ166" s="72">
        <f>IF(VLOOKUP($A166,raw_lb[],COLUMN(AK$1)-COLUMN($A$1),FALSE)=0, VLOOKUP($D166, regions_lb[], COLUMN(AK$1)-COLUMN($A$1), FALSE), VLOOKUP($A166,raw_lb[],COLUMN(AK$1)-COLUMN($A$1),FALSE))</f>
        <v>2.844189141233498E-3</v>
      </c>
      <c r="AK166" s="72">
        <f>IF(VLOOKUP($A166,raw_lb[],COLUMN(AL$1)-COLUMN($A$1),FALSE)=0, VLOOKUP($D166, regions_lb[], COLUMN(AL$1)-COLUMN($A$1), FALSE), VLOOKUP($A166,raw_lb[],COLUMN(AL$1)-COLUMN($A$1),FALSE))</f>
        <v>3.513126336674948E-3</v>
      </c>
      <c r="AL166" s="72">
        <f>IF(VLOOKUP($A166,raw_lb[],COLUMN(AM$1)-COLUMN($A$1),FALSE)=0, VLOOKUP($D166, regions_lb[], COLUMN(AM$1)-COLUMN($A$1), FALSE), VLOOKUP($A166,raw_lb[],COLUMN(AM$1)-COLUMN($A$1),FALSE))</f>
        <v>4.6166201925469143E-3</v>
      </c>
      <c r="AM166" s="72">
        <f>IF(VLOOKUP($A166,raw_lb[],COLUMN(AN$1)-COLUMN($A$1),FALSE)=0, VLOOKUP($D166, regions_lb[], COLUMN(AN$1)-COLUMN($A$1), FALSE), VLOOKUP($A166,raw_lb[],COLUMN(AN$1)-COLUMN($A$1),FALSE))</f>
        <v>6.4263002013538306E-3</v>
      </c>
      <c r="AN166" s="72">
        <f>IF(VLOOKUP($A166,raw_lb[],COLUMN(AO$1)-COLUMN($A$1),FALSE)=0, VLOOKUP($D166, regions_lb[], COLUMN(AO$1)-COLUMN($A$1), FALSE), VLOOKUP($A166,raw_lb[],COLUMN(AO$1)-COLUMN($A$1),FALSE))</f>
        <v>9.3201854999544528E-3</v>
      </c>
      <c r="AO166" s="72">
        <f>IF(VLOOKUP($A166,raw_lb[],COLUMN(AP$1)-COLUMN($A$1),FALSE)=0, VLOOKUP($D166, regions_lb[], COLUMN(AP$1)-COLUMN($A$1), FALSE), VLOOKUP($A166,raw_lb[],COLUMN(AP$1)-COLUMN($A$1),FALSE))</f>
        <v>1.3684400155686843E-2</v>
      </c>
      <c r="AP166" s="72">
        <f>IF(VLOOKUP($A166,raw_lb[],COLUMN(AQ$1)-COLUMN($A$1),FALSE)=0, VLOOKUP($D166, regions_lb[], COLUMN(AQ$1)-COLUMN($A$1), FALSE), VLOOKUP($A166,raw_lb[],COLUMN(AQ$1)-COLUMN($A$1),FALSE))</f>
        <v>2.0598433991632272E-2</v>
      </c>
      <c r="AQ166" s="72">
        <f>IF(VLOOKUP($A166,raw_lb[],COLUMN(AR$1)-COLUMN($A$1),FALSE)=0, VLOOKUP($D166, regions_lb[], COLUMN(AR$1)-COLUMN($A$1), FALSE), VLOOKUP($A166,raw_lb[],COLUMN(AR$1)-COLUMN($A$1),FALSE))</f>
        <v>3.1082688893418427E-2</v>
      </c>
      <c r="AR166" s="72">
        <f>IF(VLOOKUP($A166,raw_lb[],COLUMN(AS$1)-COLUMN($A$1),FALSE)=0, VLOOKUP($D166, regions_lb[], COLUMN(AS$1)-COLUMN($A$1), FALSE), VLOOKUP($A166,raw_lb[],COLUMN(AS$1)-COLUMN($A$1),FALSE))</f>
        <v>4.7292943063005764E-2</v>
      </c>
      <c r="AS166" s="82">
        <f>IF(VLOOKUP($A166,raw_lb[],COLUMN(AS$1),FALSE)=0, VLOOKUP($D166, regions_lb[], COLUMN(AS$1), FALSE), VLOOKUP($A166,raw_lb[],COLUMN(AS$1),FALSE))</f>
        <v>7.0166438000714246E-2</v>
      </c>
      <c r="AT166" s="82">
        <f>IF(VLOOKUP($A166,raw_lb[],COLUMN(AT$1),FALSE)=0, VLOOKUP($D166, regions_lb[], COLUMN(AT$1), FALSE), VLOOKUP($A166,raw_lb[],COLUMN(AT$1),FALSE))</f>
        <v>9.9604681307013498E-2</v>
      </c>
      <c r="AU166" s="82">
        <f>IF(VLOOKUP($A166,raw_lb[],COLUMN(AU$1),FALSE)=0, VLOOKUP($D166, regions_lb[], COLUMN(AU$1), FALSE), VLOOKUP($A166,raw_lb[],COLUMN(AU$1),FALSE))</f>
        <v>0.1302687430753518</v>
      </c>
      <c r="AV166" s="82">
        <f>IF(VLOOKUP($A166,raw_lb[],COLUMN(AV$1),FALSE)=0, VLOOKUP($D166, regions_lb[], COLUMN(AV$1), FALSE), VLOOKUP($A166,raw_lb[],COLUMN(AV$1),FALSE))</f>
        <v>0.15495278763566037</v>
      </c>
      <c r="AW166" s="82">
        <f>IF(VLOOKUP($A166,raw_lb[],COLUMN(AW$1),FALSE)=0, VLOOKUP($D166, regions_lb[], COLUMN(AW$1), FALSE), VLOOKUP($A166,raw_lb[],COLUMN(AW$1),FALSE))</f>
        <v>0.17070931668297665</v>
      </c>
      <c r="AX166" s="82">
        <f>IF(VLOOKUP($A166,raw_lb[],COLUMN(AX$1),FALSE)=0, VLOOKUP($D166, regions_lb[], COLUMN(AX$1), FALSE), VLOOKUP($A166,raw_lb[],COLUMN(AX$1),FALSE))</f>
        <v>60.783849999999994</v>
      </c>
      <c r="AY166" t="str">
        <f t="shared" si="5"/>
        <v>Yes</v>
      </c>
    </row>
    <row r="167" spans="1:51" x14ac:dyDescent="0.25">
      <c r="A167" s="55" t="s">
        <v>277</v>
      </c>
      <c r="B167" s="56" t="s">
        <v>278</v>
      </c>
      <c r="C167" s="56">
        <v>180</v>
      </c>
      <c r="D167" s="56" t="s">
        <v>207</v>
      </c>
      <c r="E167" s="56" t="s">
        <v>210</v>
      </c>
      <c r="F167" s="56" t="s">
        <v>211</v>
      </c>
      <c r="G167" s="56" t="s">
        <v>198</v>
      </c>
      <c r="H167" s="74"/>
      <c r="I167" s="74"/>
      <c r="J167" s="67">
        <f>IF(VLOOKUP($A167,raw_lb[],COLUMN(J$1),FALSE)=0, VLOOKUP($D167, regions_lb[], COLUMN(J$1), FALSE), VLOOKUP($A167,raw_lb[],COLUMN(J$1),FALSE))</f>
        <v>0.77424999999999988</v>
      </c>
      <c r="K167" s="77">
        <f>VLOOKUP($A167, raw_lb[], 11, FALSE)</f>
        <v>0</v>
      </c>
      <c r="L167" s="77">
        <f>VLOOKUP($A167, raw_lb[], 12, FALSE)</f>
        <v>0.54149999999999998</v>
      </c>
      <c r="M167" s="77">
        <f>IF(VLOOKUP($A167,raw_lb[],COLUMN(M$1),FALSE)=0, VLOOKUP($D167, regions_lb[], COLUMN(M$1), FALSE), VLOOKUP($A167,raw_lb[],COLUMN(M$1),FALSE))</f>
        <v>8.5699999999999998E-2</v>
      </c>
      <c r="N167" s="68">
        <f>IF(VLOOKUP($A167,raw_lb[],COLUMN(N$1),FALSE)=0, VLOOKUP($D167, regions_lb[], COLUMN(N$1), FALSE), VLOOKUP($A167,raw_lb[],COLUMN(N$1),FALSE))</f>
        <v>0.15279999999999999</v>
      </c>
      <c r="O167" s="67">
        <f>IF(VLOOKUP($A167,raw_lb[],COLUMN(O$1),FALSE)=0, VLOOKUP($D167, regions_lb[], COLUMN(O$1), FALSE), VLOOKUP($A167,raw_lb[],COLUMN(O$1),FALSE))</f>
        <v>7.0000000000000007E-2</v>
      </c>
      <c r="P167" s="68">
        <f>IF(VLOOKUP($A167,raw_lb[],COLUMN(P$1),FALSE)=0, VLOOKUP($D167, regions_lb[], COLUMN(P$1), FALSE), VLOOKUP($A167,raw_lb[],COLUMN(P$1),FALSE))</f>
        <v>1E-3</v>
      </c>
      <c r="Q167" s="70">
        <f>IF(VLOOKUP($A167,raw_lb[],COLUMN(Q$1),FALSE)=0, VLOOKUP($D167, regions_lb[], COLUMN(Q$1), FALSE), VLOOKUP($A167,raw_lb[],COLUMN(Q$1),FALSE))</f>
        <v>0.9410219132628217</v>
      </c>
      <c r="R167" s="70">
        <f>IF(VLOOKUP($A167,raw_lb[],COLUMN(R$1),FALSE)=0, VLOOKUP($D167, regions_lb[], COLUMN(R$1), FALSE), VLOOKUP($A167,raw_lb[],COLUMN(R$1),FALSE))</f>
        <v>8.0019219132628212</v>
      </c>
      <c r="S167" s="70">
        <f>IF(VLOOKUP($A167,raw_lb[],COLUMN(S$1),FALSE)=0, VLOOKUP($D167, regions_lb[], COLUMN(S$1), FALSE), VLOOKUP($A167,raw_lb[],COLUMN(S$1),FALSE))</f>
        <v>39.586728264144917</v>
      </c>
      <c r="T167" s="70">
        <f>IF(VLOOKUP($A167,raw_lb[],COLUMN(U$1)-COLUMN($A$1),FALSE)=0, VLOOKUP($D167, regions_lb[], COLUMN(U$1)-COLUMN($A$1), FALSE), VLOOKUP($A167,raw_lb[],COLUMN(U$1)-COLUMN($A$1),FALSE))</f>
        <v>40.817527317083545</v>
      </c>
      <c r="U167" s="70">
        <f>IF(VLOOKUP($A167,raw_lb[],COLUMN(V$1)-COLUMN($A$1),FALSE)=0, VLOOKUP($D167, regions_lb[], COLUMN(V$1)-COLUMN($A$1), FALSE), VLOOKUP($A167,raw_lb[],COLUMN(V$1)-COLUMN($A$1),FALSE))</f>
        <v>40.252370407751819</v>
      </c>
      <c r="V167" s="70">
        <f>IF(VLOOKUP($A167,raw_lb[],COLUMN(W$1)-COLUMN($A$1),FALSE)=0, VLOOKUP($D167, regions_lb[], COLUMN(W$1)-COLUMN($A$1), FALSE), VLOOKUP($A167,raw_lb[],COLUMN(W$1)-COLUMN($A$1),FALSE))</f>
        <v>0.80236537414464393</v>
      </c>
      <c r="W167" s="70">
        <f>IF(VLOOKUP($A167,raw_lb[],COLUMN(X$1)-COLUMN($A$1),FALSE)=0, VLOOKUP($D167, regions_lb[], COLUMN(X$1)-COLUMN($A$1), FALSE), VLOOKUP($A167,raw_lb[],COLUMN(X$1)-COLUMN($A$1),FALSE))</f>
        <v>5.390865374144644</v>
      </c>
      <c r="X167" s="70">
        <f>IF(VLOOKUP($A167,raw_lb[],COLUMN(Y$1)-COLUMN($A$1),FALSE)=0, VLOOKUP($D167, regions_lb[], COLUMN(Y$1)-COLUMN($A$1), FALSE), VLOOKUP($A167,raw_lb[],COLUMN(Y$1)-COLUMN($A$1),FALSE))</f>
        <v>0.33251489982364679</v>
      </c>
      <c r="Y167" s="70">
        <f>IF(VLOOKUP($A167,raw_lb[],COLUMN(Z$1)-COLUMN($A$1),FALSE)=0, VLOOKUP($D167, regions_lb[], COLUMN(Z$1)-COLUMN($A$1), FALSE), VLOOKUP($A167,raw_lb[],COLUMN(Z$1)-COLUMN($A$1),FALSE))</f>
        <v>4.9210148998236463</v>
      </c>
      <c r="Z167" s="70">
        <f>IF(VLOOKUP($A167,raw_lb[],COLUMN(AA$1)-COLUMN($A$1),FALSE)=0, VLOOKUP($D167, regions_lb[], COLUMN(AA$1)-COLUMN($A$1), FALSE), VLOOKUP($A167,raw_lb[],COLUMN(AA$1)-COLUMN($A$1),FALSE))</f>
        <v>4.9198449447934474</v>
      </c>
      <c r="AA167" s="70">
        <f>IF(VLOOKUP($A167,raw_lb[],COLUMN(AB$1)-COLUMN($A$1),FALSE)=0, VLOOKUP($D167, regions_lb[], COLUMN(AB$1)-COLUMN($A$1), FALSE), VLOOKUP($A167,raw_lb[],COLUMN(AB$1)-COLUMN($A$1),FALSE))</f>
        <v>0.94301072665260999</v>
      </c>
      <c r="AB167" s="70">
        <f>IF(VLOOKUP($A167,raw_lb[],COLUMN(AC$1)-COLUMN($A$1),FALSE)=0, VLOOKUP($D167, regions_lb[], COLUMN(AC$1)-COLUMN($A$1), FALSE), VLOOKUP($A167,raw_lb[],COLUMN(AC$1)-COLUMN($A$1),FALSE))</f>
        <v>5.53151072665261</v>
      </c>
      <c r="AC167" s="72">
        <f>IF(VLOOKUP($A167,raw_lb[],COLUMN(AD$1)-COLUMN($A$1),FALSE)=0, VLOOKUP($D167, regions_lb[], COLUMN(AD$1)-COLUMN($A$1), FALSE), VLOOKUP($A167,raw_lb[],COLUMN(AD$1)-COLUMN($A$1),FALSE))</f>
        <v>6.1685893999999936E-2</v>
      </c>
      <c r="AD167" s="72">
        <f>IF(VLOOKUP($A167,raw_lb[],COLUMN(AE$1)-COLUMN($A$1),FALSE)=0, VLOOKUP($D167, regions_lb[], COLUMN(AE$1)-COLUMN($A$1), FALSE), VLOOKUP($A167,raw_lb[],COLUMN(AE$1)-COLUMN($A$1),FALSE))</f>
        <v>9.0303861011186235E-3</v>
      </c>
      <c r="AE167" s="72">
        <f>IF(VLOOKUP($A167,raw_lb[],COLUMN(AF$1)-COLUMN($A$1),FALSE)=0, VLOOKUP($D167, regions_lb[], COLUMN(AF$1)-COLUMN($A$1), FALSE), VLOOKUP($A167,raw_lb[],COLUMN(AF$1)-COLUMN($A$1),FALSE))</f>
        <v>3.2690211025243792E-3</v>
      </c>
      <c r="AF167" s="72">
        <f>IF(VLOOKUP($A167,raw_lb[],COLUMN(AG$1)-COLUMN($A$1),FALSE)=0, VLOOKUP($D167, regions_lb[], COLUMN(AG$1)-COLUMN($A$1), FALSE), VLOOKUP($A167,raw_lb[],COLUMN(AG$1)-COLUMN($A$1),FALSE))</f>
        <v>1.9314018943364898E-3</v>
      </c>
      <c r="AG167" s="72">
        <f>IF(VLOOKUP($A167,raw_lb[],COLUMN(AH$1)-COLUMN($A$1),FALSE)=0, VLOOKUP($D167, regions_lb[], COLUMN(AH$1)-COLUMN($A$1), FALSE), VLOOKUP($A167,raw_lb[],COLUMN(AH$1)-COLUMN($A$1),FALSE))</f>
        <v>2.5837849680857396E-3</v>
      </c>
      <c r="AH167" s="72">
        <f>IF(VLOOKUP($A167,raw_lb[],COLUMN(AI$1)-COLUMN($A$1),FALSE)=0, VLOOKUP($D167, regions_lb[], COLUMN(AI$1)-COLUMN($A$1), FALSE), VLOOKUP($A167,raw_lb[],COLUMN(AI$1)-COLUMN($A$1),FALSE))</f>
        <v>3.4803801318392608E-3</v>
      </c>
      <c r="AI167" s="72">
        <f>IF(VLOOKUP($A167,raw_lb[],COLUMN(AJ$1)-COLUMN($A$1),FALSE)=0, VLOOKUP($D167, regions_lb[], COLUMN(AJ$1)-COLUMN($A$1), FALSE), VLOOKUP($A167,raw_lb[],COLUMN(AJ$1)-COLUMN($A$1),FALSE))</f>
        <v>3.8125365821258896E-3</v>
      </c>
      <c r="AJ167" s="72">
        <f>IF(VLOOKUP($A167,raw_lb[],COLUMN(AK$1)-COLUMN($A$1),FALSE)=0, VLOOKUP($D167, regions_lb[], COLUMN(AK$1)-COLUMN($A$1), FALSE), VLOOKUP($A167,raw_lb[],COLUMN(AK$1)-COLUMN($A$1),FALSE))</f>
        <v>4.1861390237627619E-3</v>
      </c>
      <c r="AK167" s="72">
        <f>IF(VLOOKUP($A167,raw_lb[],COLUMN(AL$1)-COLUMN($A$1),FALSE)=0, VLOOKUP($D167, regions_lb[], COLUMN(AL$1)-COLUMN($A$1), FALSE), VLOOKUP($A167,raw_lb[],COLUMN(AL$1)-COLUMN($A$1),FALSE))</f>
        <v>4.7393921514607504E-3</v>
      </c>
      <c r="AL167" s="72">
        <f>IF(VLOOKUP($A167,raw_lb[],COLUMN(AM$1)-COLUMN($A$1),FALSE)=0, VLOOKUP($D167, regions_lb[], COLUMN(AM$1)-COLUMN($A$1), FALSE), VLOOKUP($A167,raw_lb[],COLUMN(AM$1)-COLUMN($A$1),FALSE))</f>
        <v>5.8093776796178612E-3</v>
      </c>
      <c r="AM167" s="72">
        <f>IF(VLOOKUP($A167,raw_lb[],COLUMN(AN$1)-COLUMN($A$1),FALSE)=0, VLOOKUP($D167, regions_lb[], COLUMN(AN$1)-COLUMN($A$1), FALSE), VLOOKUP($A167,raw_lb[],COLUMN(AN$1)-COLUMN($A$1),FALSE))</f>
        <v>6.9922878577889248E-3</v>
      </c>
      <c r="AN167" s="72">
        <f>IF(VLOOKUP($A167,raw_lb[],COLUMN(AO$1)-COLUMN($A$1),FALSE)=0, VLOOKUP($D167, regions_lb[], COLUMN(AO$1)-COLUMN($A$1), FALSE), VLOOKUP($A167,raw_lb[],COLUMN(AO$1)-COLUMN($A$1),FALSE))</f>
        <v>9.6319553593586654E-3</v>
      </c>
      <c r="AO167" s="72">
        <f>IF(VLOOKUP($A167,raw_lb[],COLUMN(AP$1)-COLUMN($A$1),FALSE)=0, VLOOKUP($D167, regions_lb[], COLUMN(AP$1)-COLUMN($A$1), FALSE), VLOOKUP($A167,raw_lb[],COLUMN(AP$1)-COLUMN($A$1),FALSE))</f>
        <v>1.2769024751046486E-2</v>
      </c>
      <c r="AP167" s="72">
        <f>IF(VLOOKUP($A167,raw_lb[],COLUMN(AQ$1)-COLUMN($A$1),FALSE)=0, VLOOKUP($D167, regions_lb[], COLUMN(AQ$1)-COLUMN($A$1), FALSE), VLOOKUP($A167,raw_lb[],COLUMN(AQ$1)-COLUMN($A$1),FALSE))</f>
        <v>1.9033623997684865E-2</v>
      </c>
      <c r="AQ167" s="72">
        <f>IF(VLOOKUP($A167,raw_lb[],COLUMN(AR$1)-COLUMN($A$1),FALSE)=0, VLOOKUP($D167, regions_lb[], COLUMN(AR$1)-COLUMN($A$1), FALSE), VLOOKUP($A167,raw_lb[],COLUMN(AR$1)-COLUMN($A$1),FALSE))</f>
        <v>2.8856519201277589E-2</v>
      </c>
      <c r="AR167" s="72">
        <f>IF(VLOOKUP($A167,raw_lb[],COLUMN(AS$1)-COLUMN($A$1),FALSE)=0, VLOOKUP($D167, regions_lb[], COLUMN(AS$1)-COLUMN($A$1), FALSE), VLOOKUP($A167,raw_lb[],COLUMN(AS$1)-COLUMN($A$1),FALSE))</f>
        <v>4.4035019714278451E-2</v>
      </c>
      <c r="AS167" s="82">
        <f>IF(VLOOKUP($A167,raw_lb[],COLUMN(AS$1),FALSE)=0, VLOOKUP($D167, regions_lb[], COLUMN(AS$1), FALSE), VLOOKUP($A167,raw_lb[],COLUMN(AS$1),FALSE))</f>
        <v>6.5471344430903522E-2</v>
      </c>
      <c r="AT167" s="82">
        <f>IF(VLOOKUP($A167,raw_lb[],COLUMN(AT$1),FALSE)=0, VLOOKUP($D167, regions_lb[], COLUMN(AT$1), FALSE), VLOOKUP($A167,raw_lb[],COLUMN(AT$1),FALSE))</f>
        <v>9.3734955127636896E-2</v>
      </c>
      <c r="AU167" s="82">
        <f>IF(VLOOKUP($A167,raw_lb[],COLUMN(AU$1),FALSE)=0, VLOOKUP($D167, regions_lb[], COLUMN(AU$1), FALSE), VLOOKUP($A167,raw_lb[],COLUMN(AU$1),FALSE))</f>
        <v>0.1241443797886278</v>
      </c>
      <c r="AV167" s="82">
        <f>IF(VLOOKUP($A167,raw_lb[],COLUMN(AV$1),FALSE)=0, VLOOKUP($D167, regions_lb[], COLUMN(AV$1), FALSE), VLOOKUP($A167,raw_lb[],COLUMN(AV$1),FALSE))</f>
        <v>0.1499546530036289</v>
      </c>
      <c r="AW167" s="82">
        <f>IF(VLOOKUP($A167,raw_lb[],COLUMN(AW$1),FALSE)=0, VLOOKUP($D167, regions_lb[], COLUMN(AW$1), FALSE), VLOOKUP($A167,raw_lb[],COLUMN(AW$1),FALSE))</f>
        <v>0.16783387968599636</v>
      </c>
      <c r="AX167" s="82">
        <f>IF(VLOOKUP($A167,raw_lb[],COLUMN(AX$1),FALSE)=0, VLOOKUP($D167, regions_lb[], COLUMN(AX$1), FALSE), VLOOKUP($A167,raw_lb[],COLUMN(AX$1),FALSE))</f>
        <v>57.200449999999996</v>
      </c>
      <c r="AY167" t="str">
        <f t="shared" si="5"/>
        <v>Yes</v>
      </c>
    </row>
    <row r="168" spans="1:51" x14ac:dyDescent="0.25">
      <c r="A168" s="53" t="s">
        <v>279</v>
      </c>
      <c r="B168" s="54" t="s">
        <v>280</v>
      </c>
      <c r="C168" s="54">
        <v>178</v>
      </c>
      <c r="D168" s="54" t="s">
        <v>207</v>
      </c>
      <c r="E168" s="54" t="s">
        <v>210</v>
      </c>
      <c r="F168" s="54" t="s">
        <v>211</v>
      </c>
      <c r="G168" s="54" t="s">
        <v>212</v>
      </c>
      <c r="H168" s="73"/>
      <c r="I168" s="73"/>
      <c r="J168" s="67">
        <f>IF(VLOOKUP($A168,raw_lb[],COLUMN(J$1),FALSE)=0, VLOOKUP($D168, regions_lb[], COLUMN(J$1), FALSE), VLOOKUP($A168,raw_lb[],COLUMN(J$1),FALSE))</f>
        <v>0.86924999999999997</v>
      </c>
      <c r="K168" s="77">
        <f>VLOOKUP($A168, raw_lb[], 11, FALSE)</f>
        <v>0</v>
      </c>
      <c r="L168" s="77">
        <f>VLOOKUP($A168, raw_lb[], 12, FALSE)</f>
        <v>0.69350000000000001</v>
      </c>
      <c r="M168" s="77">
        <f>IF(VLOOKUP($A168,raw_lb[],COLUMN(M$1),FALSE)=0, VLOOKUP($D168, regions_lb[], COLUMN(M$1), FALSE), VLOOKUP($A168,raw_lb[],COLUMN(M$1),FALSE))</f>
        <v>7.2700000000000001E-2</v>
      </c>
      <c r="N168" s="68">
        <f>IF(VLOOKUP($A168,raw_lb[],COLUMN(N$1),FALSE)=0, VLOOKUP($D168, regions_lb[], COLUMN(N$1), FALSE), VLOOKUP($A168,raw_lb[],COLUMN(N$1),FALSE))</f>
        <v>0.15279999999999999</v>
      </c>
      <c r="O168" s="67">
        <f>IF(VLOOKUP($A168,raw_lb[],COLUMN(O$1),FALSE)=0, VLOOKUP($D168, regions_lb[], COLUMN(O$1), FALSE), VLOOKUP($A168,raw_lb[],COLUMN(O$1),FALSE))</f>
        <v>7.0000000000000007E-2</v>
      </c>
      <c r="P168" s="68">
        <f>IF(VLOOKUP($A168,raw_lb[],COLUMN(P$1),FALSE)=0, VLOOKUP($D168, regions_lb[], COLUMN(P$1), FALSE), VLOOKUP($A168,raw_lb[],COLUMN(P$1),FALSE))</f>
        <v>1E-3</v>
      </c>
      <c r="Q168" s="70">
        <f>IF(VLOOKUP($A168,raw_lb[],COLUMN(Q$1),FALSE)=0, VLOOKUP($D168, regions_lb[], COLUMN(Q$1), FALSE), VLOOKUP($A168,raw_lb[],COLUMN(Q$1),FALSE))</f>
        <v>1.2493580042065899</v>
      </c>
      <c r="R168" s="70">
        <f>IF(VLOOKUP($A168,raw_lb[],COLUMN(R$1),FALSE)=0, VLOOKUP($D168, regions_lb[], COLUMN(R$1), FALSE), VLOOKUP($A168,raw_lb[],COLUMN(R$1),FALSE))</f>
        <v>8.3102580042065899</v>
      </c>
      <c r="S168" s="70">
        <f>IF(VLOOKUP($A168,raw_lb[],COLUMN(S$1),FALSE)=0, VLOOKUP($D168, regions_lb[], COLUMN(S$1), FALSE), VLOOKUP($A168,raw_lb[],COLUMN(S$1),FALSE))</f>
        <v>41.178845780573234</v>
      </c>
      <c r="T168" s="70">
        <f>IF(VLOOKUP($A168,raw_lb[],COLUMN(U$1)-COLUMN($A$1),FALSE)=0, VLOOKUP($D168, regions_lb[], COLUMN(U$1)-COLUMN($A$1), FALSE), VLOOKUP($A168,raw_lb[],COLUMN(U$1)-COLUMN($A$1),FALSE))</f>
        <v>43.07780819584265</v>
      </c>
      <c r="U168" s="70">
        <f>IF(VLOOKUP($A168,raw_lb[],COLUMN(V$1)-COLUMN($A$1),FALSE)=0, VLOOKUP($D168, regions_lb[], COLUMN(V$1)-COLUMN($A$1), FALSE), VLOOKUP($A168,raw_lb[],COLUMN(V$1)-COLUMN($A$1),FALSE))</f>
        <v>42.20584479370288</v>
      </c>
      <c r="V168" s="70">
        <f>IF(VLOOKUP($A168,raw_lb[],COLUMN(W$1)-COLUMN($A$1),FALSE)=0, VLOOKUP($D168, regions_lb[], COLUMN(W$1)-COLUMN($A$1), FALSE), VLOOKUP($A168,raw_lb[],COLUMN(W$1)-COLUMN($A$1),FALSE))</f>
        <v>1.2721313146698667</v>
      </c>
      <c r="W168" s="70">
        <f>IF(VLOOKUP($A168,raw_lb[],COLUMN(X$1)-COLUMN($A$1),FALSE)=0, VLOOKUP($D168, regions_lb[], COLUMN(X$1)-COLUMN($A$1), FALSE), VLOOKUP($A168,raw_lb[],COLUMN(X$1)-COLUMN($A$1),FALSE))</f>
        <v>5.8606313146698668</v>
      </c>
      <c r="X168" s="70">
        <f>IF(VLOOKUP($A168,raw_lb[],COLUMN(Y$1)-COLUMN($A$1),FALSE)=0, VLOOKUP($D168, regions_lb[], COLUMN(Y$1)-COLUMN($A$1), FALSE), VLOOKUP($A168,raw_lb[],COLUMN(Y$1)-COLUMN($A$1),FALSE))</f>
        <v>0.79981192366201315</v>
      </c>
      <c r="Y168" s="70">
        <f>IF(VLOOKUP($A168,raw_lb[],COLUMN(Z$1)-COLUMN($A$1),FALSE)=0, VLOOKUP($D168, regions_lb[], COLUMN(Z$1)-COLUMN($A$1), FALSE), VLOOKUP($A168,raw_lb[],COLUMN(Z$1)-COLUMN($A$1),FALSE))</f>
        <v>5.3883119236620125</v>
      </c>
      <c r="Z168" s="70">
        <f>IF(VLOOKUP($A168,raw_lb[],COLUMN(AA$1)-COLUMN($A$1),FALSE)=0, VLOOKUP($D168, regions_lb[], COLUMN(AA$1)-COLUMN($A$1), FALSE), VLOOKUP($A168,raw_lb[],COLUMN(AA$1)-COLUMN($A$1),FALSE))</f>
        <v>5.3854807616612721</v>
      </c>
      <c r="AA168" s="70">
        <f>IF(VLOOKUP($A168,raw_lb[],COLUMN(AB$1)-COLUMN($A$1),FALSE)=0, VLOOKUP($D168, regions_lb[], COLUMN(AB$1)-COLUMN($A$1), FALSE), VLOOKUP($A168,raw_lb[],COLUMN(AB$1)-COLUMN($A$1),FALSE))</f>
        <v>1.4203950386687039</v>
      </c>
      <c r="AB168" s="70">
        <f>IF(VLOOKUP($A168,raw_lb[],COLUMN(AC$1)-COLUMN($A$1),FALSE)=0, VLOOKUP($D168, regions_lb[], COLUMN(AC$1)-COLUMN($A$1), FALSE), VLOOKUP($A168,raw_lb[],COLUMN(AC$1)-COLUMN($A$1),FALSE))</f>
        <v>6.0088950386687037</v>
      </c>
      <c r="AC168" s="72">
        <f>IF(VLOOKUP($A168,raw_lb[],COLUMN(AD$1)-COLUMN($A$1),FALSE)=0, VLOOKUP($D168, regions_lb[], COLUMN(AD$1)-COLUMN($A$1), FALSE), VLOOKUP($A168,raw_lb[],COLUMN(AD$1)-COLUMN($A$1),FALSE))</f>
        <v>3.3540709499999953E-2</v>
      </c>
      <c r="AD168" s="72">
        <f>IF(VLOOKUP($A168,raw_lb[],COLUMN(AE$1)-COLUMN($A$1),FALSE)=0, VLOOKUP($D168, regions_lb[], COLUMN(AE$1)-COLUMN($A$1), FALSE), VLOOKUP($A168,raw_lb[],COLUMN(AE$1)-COLUMN($A$1),FALSE))</f>
        <v>3.0131446138687151E-3</v>
      </c>
      <c r="AE168" s="72">
        <f>IF(VLOOKUP($A168,raw_lb[],COLUMN(AF$1)-COLUMN($A$1),FALSE)=0, VLOOKUP($D168, regions_lb[], COLUMN(AF$1)-COLUMN($A$1), FALSE), VLOOKUP($A168,raw_lb[],COLUMN(AF$1)-COLUMN($A$1),FALSE))</f>
        <v>1.2780133578805567E-3</v>
      </c>
      <c r="AF168" s="72">
        <f>IF(VLOOKUP($A168,raw_lb[],COLUMN(AG$1)-COLUMN($A$1),FALSE)=0, VLOOKUP($D168, regions_lb[], COLUMN(AG$1)-COLUMN($A$1), FALSE), VLOOKUP($A168,raw_lb[],COLUMN(AG$1)-COLUMN($A$1),FALSE))</f>
        <v>9.4422757922080203E-4</v>
      </c>
      <c r="AG168" s="72">
        <f>IF(VLOOKUP($A168,raw_lb[],COLUMN(AH$1)-COLUMN($A$1),FALSE)=0, VLOOKUP($D168, regions_lb[], COLUMN(AH$1)-COLUMN($A$1), FALSE), VLOOKUP($A168,raw_lb[],COLUMN(AH$1)-COLUMN($A$1),FALSE))</f>
        <v>1.5400414922486158E-3</v>
      </c>
      <c r="AH168" s="72">
        <f>IF(VLOOKUP($A168,raw_lb[],COLUMN(AI$1)-COLUMN($A$1),FALSE)=0, VLOOKUP($D168, regions_lb[], COLUMN(AI$1)-COLUMN($A$1), FALSE), VLOOKUP($A168,raw_lb[],COLUMN(AI$1)-COLUMN($A$1),FALSE))</f>
        <v>2.4317892777857356E-3</v>
      </c>
      <c r="AI168" s="72">
        <f>IF(VLOOKUP($A168,raw_lb[],COLUMN(AJ$1)-COLUMN($A$1),FALSE)=0, VLOOKUP($D168, regions_lb[], COLUMN(AJ$1)-COLUMN($A$1), FALSE), VLOOKUP($A168,raw_lb[],COLUMN(AJ$1)-COLUMN($A$1),FALSE))</f>
        <v>3.2680329059545741E-3</v>
      </c>
      <c r="AJ168" s="72">
        <f>IF(VLOOKUP($A168,raw_lb[],COLUMN(AK$1)-COLUMN($A$1),FALSE)=0, VLOOKUP($D168, regions_lb[], COLUMN(AK$1)-COLUMN($A$1), FALSE), VLOOKUP($A168,raw_lb[],COLUMN(AK$1)-COLUMN($A$1),FALSE))</f>
        <v>4.1550294037467957E-3</v>
      </c>
      <c r="AK168" s="72">
        <f>IF(VLOOKUP($A168,raw_lb[],COLUMN(AL$1)-COLUMN($A$1),FALSE)=0, VLOOKUP($D168, regions_lb[], COLUMN(AL$1)-COLUMN($A$1), FALSE), VLOOKUP($A168,raw_lb[],COLUMN(AL$1)-COLUMN($A$1),FALSE))</f>
        <v>5.3925817646291166E-3</v>
      </c>
      <c r="AL168" s="72">
        <f>IF(VLOOKUP($A168,raw_lb[],COLUMN(AM$1)-COLUMN($A$1),FALSE)=0, VLOOKUP($D168, regions_lb[], COLUMN(AM$1)-COLUMN($A$1), FALSE), VLOOKUP($A168,raw_lb[],COLUMN(AM$1)-COLUMN($A$1),FALSE))</f>
        <v>6.6433749155469079E-3</v>
      </c>
      <c r="AM168" s="72">
        <f>IF(VLOOKUP($A168,raw_lb[],COLUMN(AN$1)-COLUMN($A$1),FALSE)=0, VLOOKUP($D168, regions_lb[], COLUMN(AN$1)-COLUMN($A$1), FALSE), VLOOKUP($A168,raw_lb[],COLUMN(AN$1)-COLUMN($A$1),FALSE))</f>
        <v>8.167543754324505E-3</v>
      </c>
      <c r="AN168" s="72">
        <f>IF(VLOOKUP($A168,raw_lb[],COLUMN(AO$1)-COLUMN($A$1),FALSE)=0, VLOOKUP($D168, regions_lb[], COLUMN(AO$1)-COLUMN($A$1), FALSE), VLOOKUP($A168,raw_lb[],COLUMN(AO$1)-COLUMN($A$1),FALSE))</f>
        <v>1.0879270261936105E-2</v>
      </c>
      <c r="AO168" s="72">
        <f>IF(VLOOKUP($A168,raw_lb[],COLUMN(AP$1)-COLUMN($A$1),FALSE)=0, VLOOKUP($D168, regions_lb[], COLUMN(AP$1)-COLUMN($A$1), FALSE), VLOOKUP($A168,raw_lb[],COLUMN(AP$1)-COLUMN($A$1),FALSE))</f>
        <v>1.4077463119211722E-2</v>
      </c>
      <c r="AP168" s="72">
        <f>IF(VLOOKUP($A168,raw_lb[],COLUMN(AQ$1)-COLUMN($A$1),FALSE)=0, VLOOKUP($D168, regions_lb[], COLUMN(AQ$1)-COLUMN($A$1), FALSE), VLOOKUP($A168,raw_lb[],COLUMN(AQ$1)-COLUMN($A$1),FALSE))</f>
        <v>2.0237176645869531E-2</v>
      </c>
      <c r="AQ168" s="72">
        <f>IF(VLOOKUP($A168,raw_lb[],COLUMN(AR$1)-COLUMN($A$1),FALSE)=0, VLOOKUP($D168, regions_lb[], COLUMN(AR$1)-COLUMN($A$1), FALSE), VLOOKUP($A168,raw_lb[],COLUMN(AR$1)-COLUMN($A$1),FALSE))</f>
        <v>3.0272068325915807E-2</v>
      </c>
      <c r="AR168" s="72">
        <f>IF(VLOOKUP($A168,raw_lb[],COLUMN(AS$1)-COLUMN($A$1),FALSE)=0, VLOOKUP($D168, regions_lb[], COLUMN(AS$1)-COLUMN($A$1), FALSE), VLOOKUP($A168,raw_lb[],COLUMN(AS$1)-COLUMN($A$1),FALSE))</f>
        <v>4.6121614299446091E-2</v>
      </c>
      <c r="AS168" s="82">
        <f>IF(VLOOKUP($A168,raw_lb[],COLUMN(AS$1),FALSE)=0, VLOOKUP($D168, regions_lb[], COLUMN(AS$1), FALSE), VLOOKUP($A168,raw_lb[],COLUMN(AS$1),FALSE))</f>
        <v>6.9698871849460775E-2</v>
      </c>
      <c r="AT168" s="82">
        <f>IF(VLOOKUP($A168,raw_lb[],COLUMN(AT$1),FALSE)=0, VLOOKUP($D168, regions_lb[], COLUMN(AT$1), FALSE), VLOOKUP($A168,raw_lb[],COLUMN(AT$1),FALSE))</f>
        <v>0.10384638221937378</v>
      </c>
      <c r="AU168" s="82">
        <f>IF(VLOOKUP($A168,raw_lb[],COLUMN(AU$1),FALSE)=0, VLOOKUP($D168, regions_lb[], COLUMN(AU$1), FALSE), VLOOKUP($A168,raw_lb[],COLUMN(AU$1),FALSE))</f>
        <v>0.14252044369482056</v>
      </c>
      <c r="AV168" s="82">
        <f>IF(VLOOKUP($A168,raw_lb[],COLUMN(AV$1),FALSE)=0, VLOOKUP($D168, regions_lb[], COLUMN(AV$1), FALSE), VLOOKUP($A168,raw_lb[],COLUMN(AV$1),FALSE))</f>
        <v>0.17200254887311406</v>
      </c>
      <c r="AW168" s="82">
        <f>IF(VLOOKUP($A168,raw_lb[],COLUMN(AW$1),FALSE)=0, VLOOKUP($D168, regions_lb[], COLUMN(AW$1), FALSE), VLOOKUP($A168,raw_lb[],COLUMN(AW$1),FALSE))</f>
        <v>0.18019895264774627</v>
      </c>
      <c r="AX168" s="82">
        <f>IF(VLOOKUP($A168,raw_lb[],COLUMN(AX$1),FALSE)=0, VLOOKUP($D168, regions_lb[], COLUMN(AX$1), FALSE), VLOOKUP($A168,raw_lb[],COLUMN(AX$1),FALSE))</f>
        <v>60.949149999999996</v>
      </c>
      <c r="AY168" t="str">
        <f t="shared" si="5"/>
        <v>Yes</v>
      </c>
    </row>
    <row r="169" spans="1:51" x14ac:dyDescent="0.25">
      <c r="A169" s="55" t="s">
        <v>281</v>
      </c>
      <c r="B169" s="56" t="s">
        <v>282</v>
      </c>
      <c r="C169" s="56">
        <v>188</v>
      </c>
      <c r="D169" s="56" t="s">
        <v>215</v>
      </c>
      <c r="E169" s="56" t="s">
        <v>274</v>
      </c>
      <c r="F169" s="56" t="s">
        <v>217</v>
      </c>
      <c r="G169" s="56" t="s">
        <v>204</v>
      </c>
      <c r="H169" s="74"/>
      <c r="I169" s="74"/>
      <c r="J169" s="67">
        <f>IF(VLOOKUP($A169,raw_lb[],COLUMN(J$1),FALSE)=0, VLOOKUP($D169, regions_lb[], COLUMN(J$1), FALSE), VLOOKUP($A169,raw_lb[],COLUMN(J$1),FALSE))</f>
        <v>0.92909999999999993</v>
      </c>
      <c r="K169" s="77">
        <f>VLOOKUP($A169, raw_lb[], 11, FALSE)</f>
        <v>0.82650000000000001</v>
      </c>
      <c r="L169" s="77">
        <f>VLOOKUP($A169, raw_lb[], 12, FALSE)</f>
        <v>0.93099999999999994</v>
      </c>
      <c r="M169" s="77">
        <f>IF(VLOOKUP($A169,raw_lb[],COLUMN(M$1),FALSE)=0, VLOOKUP($D169, regions_lb[], COLUMN(M$1), FALSE), VLOOKUP($A169,raw_lb[],COLUMN(M$1),FALSE))</f>
        <v>2.0999999999999999E-3</v>
      </c>
      <c r="N169" s="68">
        <f>IF(VLOOKUP($A169,raw_lb[],COLUMN(N$1),FALSE)=0, VLOOKUP($D169, regions_lb[], COLUMN(N$1), FALSE), VLOOKUP($A169,raw_lb[],COLUMN(N$1),FALSE))</f>
        <v>0.16440000000000002</v>
      </c>
      <c r="O169" s="67">
        <f>IF(VLOOKUP($A169,raw_lb[],COLUMN(O$1),FALSE)=0, VLOOKUP($D169, regions_lb[], COLUMN(O$1), FALSE), VLOOKUP($A169,raw_lb[],COLUMN(O$1),FALSE))</f>
        <v>0.7</v>
      </c>
      <c r="P169" s="68">
        <f>IF(VLOOKUP($A169,raw_lb[],COLUMN(P$1),FALSE)=0, VLOOKUP($D169, regions_lb[], COLUMN(P$1), FALSE), VLOOKUP($A169,raw_lb[],COLUMN(P$1),FALSE))</f>
        <v>0.05</v>
      </c>
      <c r="Q169" s="70">
        <f>IF(VLOOKUP($A169,raw_lb[],COLUMN(Q$1),FALSE)=0, VLOOKUP($D169, regions_lb[], COLUMN(Q$1), FALSE), VLOOKUP($A169,raw_lb[],COLUMN(Q$1),FALSE))</f>
        <v>2.5369449345279103</v>
      </c>
      <c r="R169" s="70">
        <f>IF(VLOOKUP($A169,raw_lb[],COLUMN(R$1),FALSE)=0, VLOOKUP($D169, regions_lb[], COLUMN(R$1), FALSE), VLOOKUP($A169,raw_lb[],COLUMN(R$1),FALSE))</f>
        <v>9.5978449345279113</v>
      </c>
      <c r="S169" s="70">
        <f>IF(VLOOKUP($A169,raw_lb[],COLUMN(S$1),FALSE)=0, VLOOKUP($D169, regions_lb[], COLUMN(S$1), FALSE), VLOOKUP($A169,raw_lb[],COLUMN(S$1),FALSE))</f>
        <v>54.764236576081657</v>
      </c>
      <c r="T169" s="70">
        <f>IF(VLOOKUP($A169,raw_lb[],COLUMN(U$1)-COLUMN($A$1),FALSE)=0, VLOOKUP($D169, regions_lb[], COLUMN(U$1)-COLUMN($A$1), FALSE), VLOOKUP($A169,raw_lb[],COLUMN(U$1)-COLUMN($A$1),FALSE))</f>
        <v>63.063776080824518</v>
      </c>
      <c r="U169" s="70">
        <f>IF(VLOOKUP($A169,raw_lb[],COLUMN(V$1)-COLUMN($A$1),FALSE)=0, VLOOKUP($D169, regions_lb[], COLUMN(V$1)-COLUMN($A$1), FALSE), VLOOKUP($A169,raw_lb[],COLUMN(V$1)-COLUMN($A$1),FALSE))</f>
        <v>59.252802970162797</v>
      </c>
      <c r="V169" s="70">
        <f>IF(VLOOKUP($A169,raw_lb[],COLUMN(W$1)-COLUMN($A$1),FALSE)=0, VLOOKUP($D169, regions_lb[], COLUMN(W$1)-COLUMN($A$1), FALSE), VLOOKUP($A169,raw_lb[],COLUMN(W$1)-COLUMN($A$1),FALSE))</f>
        <v>3.0625217223994969</v>
      </c>
      <c r="W169" s="70">
        <f>IF(VLOOKUP($A169,raw_lb[],COLUMN(X$1)-COLUMN($A$1),FALSE)=0, VLOOKUP($D169, regions_lb[], COLUMN(X$1)-COLUMN($A$1), FALSE), VLOOKUP($A169,raw_lb[],COLUMN(X$1)-COLUMN($A$1),FALSE))</f>
        <v>3.0815217223994971</v>
      </c>
      <c r="X169" s="70">
        <f>IF(VLOOKUP($A169,raw_lb[],COLUMN(Y$1)-COLUMN($A$1),FALSE)=0, VLOOKUP($D169, regions_lb[], COLUMN(Y$1)-COLUMN($A$1), FALSE), VLOOKUP($A169,raw_lb[],COLUMN(Y$1)-COLUMN($A$1),FALSE))</f>
        <v>2.5786463987970896</v>
      </c>
      <c r="Y169" s="70">
        <f>IF(VLOOKUP($A169,raw_lb[],COLUMN(Z$1)-COLUMN($A$1),FALSE)=0, VLOOKUP($D169, regions_lb[], COLUMN(Z$1)-COLUMN($A$1), FALSE), VLOOKUP($A169,raw_lb[],COLUMN(Z$1)-COLUMN($A$1),FALSE))</f>
        <v>2.5976463987970897</v>
      </c>
      <c r="Z169" s="70">
        <f>IF(VLOOKUP($A169,raw_lb[],COLUMN(AA$1)-COLUMN($A$1),FALSE)=0, VLOOKUP($D169, regions_lb[], COLUMN(AA$1)-COLUMN($A$1), FALSE), VLOOKUP($A169,raw_lb[],COLUMN(AA$1)-COLUMN($A$1),FALSE))</f>
        <v>2.5870663259266573</v>
      </c>
      <c r="AA169" s="70">
        <f>IF(VLOOKUP($A169,raw_lb[],COLUMN(AB$1)-COLUMN($A$1),FALSE)=0, VLOOKUP($D169, regions_lb[], COLUMN(AB$1)-COLUMN($A$1), FALSE), VLOOKUP($A169,raw_lb[],COLUMN(AB$1)-COLUMN($A$1),FALSE))</f>
        <v>3.2464437526900993</v>
      </c>
      <c r="AB169" s="70">
        <f>IF(VLOOKUP($A169,raw_lb[],COLUMN(AC$1)-COLUMN($A$1),FALSE)=0, VLOOKUP($D169, regions_lb[], COLUMN(AC$1)-COLUMN($A$1), FALSE), VLOOKUP($A169,raw_lb[],COLUMN(AC$1)-COLUMN($A$1),FALSE))</f>
        <v>3.2654437526900995</v>
      </c>
      <c r="AC169" s="72">
        <f>IF(VLOOKUP($A169,raw_lb[],COLUMN(AD$1)-COLUMN($A$1),FALSE)=0, VLOOKUP($D169, regions_lb[], COLUMN(AD$1)-COLUMN($A$1), FALSE), VLOOKUP($A169,raw_lb[],COLUMN(AD$1)-COLUMN($A$1),FALSE))</f>
        <v>6.9522234999999481E-3</v>
      </c>
      <c r="AD169" s="72">
        <f>IF(VLOOKUP($A169,raw_lb[],COLUMN(AE$1)-COLUMN($A$1),FALSE)=0, VLOOKUP($D169, regions_lb[], COLUMN(AE$1)-COLUMN($A$1), FALSE), VLOOKUP($A169,raw_lb[],COLUMN(AE$1)-COLUMN($A$1),FALSE))</f>
        <v>4.3835304960291877E-4</v>
      </c>
      <c r="AE169" s="72">
        <f>IF(VLOOKUP($A169,raw_lb[],COLUMN(AF$1)-COLUMN($A$1),FALSE)=0, VLOOKUP($D169, regions_lb[], COLUMN(AF$1)-COLUMN($A$1), FALSE), VLOOKUP($A169,raw_lb[],COLUMN(AF$1)-COLUMN($A$1),FALSE))</f>
        <v>1.7972968412321126E-4</v>
      </c>
      <c r="AF169" s="72">
        <f>IF(VLOOKUP($A169,raw_lb[],COLUMN(AG$1)-COLUMN($A$1),FALSE)=0, VLOOKUP($D169, regions_lb[], COLUMN(AG$1)-COLUMN($A$1), FALSE), VLOOKUP($A169,raw_lb[],COLUMN(AG$1)-COLUMN($A$1),FALSE))</f>
        <v>2.3971101119363319E-4</v>
      </c>
      <c r="AG169" s="72">
        <f>IF(VLOOKUP($A169,raw_lb[],COLUMN(AH$1)-COLUMN($A$1),FALSE)=0, VLOOKUP($D169, regions_lb[], COLUMN(AH$1)-COLUMN($A$1), FALSE), VLOOKUP($A169,raw_lb[],COLUMN(AH$1)-COLUMN($A$1),FALSE))</f>
        <v>4.9563831365551992E-4</v>
      </c>
      <c r="AH169" s="72">
        <f>IF(VLOOKUP($A169,raw_lb[],COLUMN(AI$1)-COLUMN($A$1),FALSE)=0, VLOOKUP($D169, regions_lb[], COLUMN(AI$1)-COLUMN($A$1), FALSE), VLOOKUP($A169,raw_lb[],COLUMN(AI$1)-COLUMN($A$1),FALSE))</f>
        <v>7.5132014811349075E-4</v>
      </c>
      <c r="AI169" s="72">
        <f>IF(VLOOKUP($A169,raw_lb[],COLUMN(AJ$1)-COLUMN($A$1),FALSE)=0, VLOOKUP($D169, regions_lb[], COLUMN(AJ$1)-COLUMN($A$1), FALSE), VLOOKUP($A169,raw_lb[],COLUMN(AJ$1)-COLUMN($A$1),FALSE))</f>
        <v>8.7351993535556992E-4</v>
      </c>
      <c r="AJ169" s="72">
        <f>IF(VLOOKUP($A169,raw_lb[],COLUMN(AK$1)-COLUMN($A$1),FALSE)=0, VLOOKUP($D169, regions_lb[], COLUMN(AK$1)-COLUMN($A$1), FALSE), VLOOKUP($A169,raw_lb[],COLUMN(AK$1)-COLUMN($A$1),FALSE))</f>
        <v>1.0313937663007967E-3</v>
      </c>
      <c r="AK169" s="72">
        <f>IF(VLOOKUP($A169,raw_lb[],COLUMN(AL$1)-COLUMN($A$1),FALSE)=0, VLOOKUP($D169, regions_lb[], COLUMN(AL$1)-COLUMN($A$1), FALSE), VLOOKUP($A169,raw_lb[],COLUMN(AL$1)-COLUMN($A$1),FALSE))</f>
        <v>1.2653641276133489E-3</v>
      </c>
      <c r="AL169" s="72">
        <f>IF(VLOOKUP($A169,raw_lb[],COLUMN(AM$1)-COLUMN($A$1),FALSE)=0, VLOOKUP($D169, regions_lb[], COLUMN(AM$1)-COLUMN($A$1), FALSE), VLOOKUP($A169,raw_lb[],COLUMN(AM$1)-COLUMN($A$1),FALSE))</f>
        <v>1.6609837189487829E-3</v>
      </c>
      <c r="AM169" s="72">
        <f>IF(VLOOKUP($A169,raw_lb[],COLUMN(AN$1)-COLUMN($A$1),FALSE)=0, VLOOKUP($D169, regions_lb[], COLUMN(AN$1)-COLUMN($A$1), FALSE), VLOOKUP($A169,raw_lb[],COLUMN(AN$1)-COLUMN($A$1),FALSE))</f>
        <v>2.3452975809470184E-3</v>
      </c>
      <c r="AN169" s="72">
        <f>IF(VLOOKUP($A169,raw_lb[],COLUMN(AO$1)-COLUMN($A$1),FALSE)=0, VLOOKUP($D169, regions_lb[], COLUMN(AO$1)-COLUMN($A$1), FALSE), VLOOKUP($A169,raw_lb[],COLUMN(AO$1)-COLUMN($A$1),FALSE))</f>
        <v>3.4384467982634275E-3</v>
      </c>
      <c r="AO169" s="72">
        <f>IF(VLOOKUP($A169,raw_lb[],COLUMN(AP$1)-COLUMN($A$1),FALSE)=0, VLOOKUP($D169, regions_lb[], COLUMN(AP$1)-COLUMN($A$1), FALSE), VLOOKUP($A169,raw_lb[],COLUMN(AP$1)-COLUMN($A$1),FALSE))</f>
        <v>5.2165397122086029E-3</v>
      </c>
      <c r="AP169" s="72">
        <f>IF(VLOOKUP($A169,raw_lb[],COLUMN(AQ$1)-COLUMN($A$1),FALSE)=0, VLOOKUP($D169, regions_lb[], COLUMN(AQ$1)-COLUMN($A$1), FALSE), VLOOKUP($A169,raw_lb[],COLUMN(AQ$1)-COLUMN($A$1),FALSE))</f>
        <v>8.0341507205963746E-3</v>
      </c>
      <c r="AQ169" s="72">
        <f>IF(VLOOKUP($A169,raw_lb[],COLUMN(AR$1)-COLUMN($A$1),FALSE)=0, VLOOKUP($D169, regions_lb[], COLUMN(AR$1)-COLUMN($A$1), FALSE), VLOOKUP($A169,raw_lb[],COLUMN(AR$1)-COLUMN($A$1),FALSE))</f>
        <v>1.2579823792196441E-2</v>
      </c>
      <c r="AR169" s="72">
        <f>IF(VLOOKUP($A169,raw_lb[],COLUMN(AS$1)-COLUMN($A$1),FALSE)=0, VLOOKUP($D169, regions_lb[], COLUMN(AS$1)-COLUMN($A$1), FALSE), VLOOKUP($A169,raw_lb[],COLUMN(AS$1)-COLUMN($A$1),FALSE))</f>
        <v>1.9461975891206643E-2</v>
      </c>
      <c r="AS169" s="82">
        <f>IF(VLOOKUP($A169,raw_lb[],COLUMN(AS$1),FALSE)=0, VLOOKUP($D169, regions_lb[], COLUMN(AS$1), FALSE), VLOOKUP($A169,raw_lb[],COLUMN(AS$1),FALSE))</f>
        <v>3.0850476321261287E-2</v>
      </c>
      <c r="AT169" s="82">
        <f>IF(VLOOKUP($A169,raw_lb[],COLUMN(AT$1),FALSE)=0, VLOOKUP($D169, regions_lb[], COLUMN(AT$1), FALSE), VLOOKUP($A169,raw_lb[],COLUMN(AT$1),FALSE))</f>
        <v>4.7928361100921107E-2</v>
      </c>
      <c r="AU169" s="82">
        <f>IF(VLOOKUP($A169,raw_lb[],COLUMN(AU$1),FALSE)=0, VLOOKUP($D169, regions_lb[], COLUMN(AU$1), FALSE), VLOOKUP($A169,raw_lb[],COLUMN(AU$1),FALSE))</f>
        <v>7.1354030290854353E-2</v>
      </c>
      <c r="AV169" s="82">
        <f>IF(VLOOKUP($A169,raw_lb[],COLUMN(AV$1),FALSE)=0, VLOOKUP($D169, regions_lb[], COLUMN(AV$1), FALSE), VLOOKUP($A169,raw_lb[],COLUMN(AV$1),FALSE))</f>
        <v>0.10130551236350765</v>
      </c>
      <c r="AW169" s="82">
        <f>IF(VLOOKUP($A169,raw_lb[],COLUMN(AW$1),FALSE)=0, VLOOKUP($D169, regions_lb[], COLUMN(AW$1), FALSE), VLOOKUP($A169,raw_lb[],COLUMN(AW$1),FALSE))</f>
        <v>0.13459442558339335</v>
      </c>
      <c r="AX169" s="82">
        <f>IF(VLOOKUP($A169,raw_lb[],COLUMN(AX$1),FALSE)=0, VLOOKUP($D169, regions_lb[], COLUMN(AX$1), FALSE), VLOOKUP($A169,raw_lb[],COLUMN(AX$1),FALSE))</f>
        <v>76.002849999999995</v>
      </c>
      <c r="AY169" t="str">
        <f t="shared" si="5"/>
        <v>No</v>
      </c>
    </row>
    <row r="170" spans="1:51" x14ac:dyDescent="0.25">
      <c r="A170" s="53" t="s">
        <v>283</v>
      </c>
      <c r="B170" s="54" t="s">
        <v>284</v>
      </c>
      <c r="C170" s="54">
        <v>384</v>
      </c>
      <c r="D170" s="54" t="s">
        <v>207</v>
      </c>
      <c r="E170" s="54" t="s">
        <v>235</v>
      </c>
      <c r="F170" s="54" t="s">
        <v>211</v>
      </c>
      <c r="G170" s="54" t="s">
        <v>212</v>
      </c>
      <c r="H170" s="73"/>
      <c r="I170" s="73"/>
      <c r="J170" s="67">
        <f>IF(VLOOKUP($A170,raw_lb[],COLUMN(J$1),FALSE)=0, VLOOKUP($D170, regions_lb[], COLUMN(J$1), FALSE), VLOOKUP($A170,raw_lb[],COLUMN(J$1),FALSE))</f>
        <v>0.66309999999999991</v>
      </c>
      <c r="K170" s="77">
        <f>VLOOKUP($A170, raw_lb[], 11, FALSE)</f>
        <v>0.58899999999999997</v>
      </c>
      <c r="L170" s="77">
        <f>VLOOKUP($A170, raw_lb[], 12, FALSE)</f>
        <v>0.76</v>
      </c>
      <c r="M170" s="77">
        <f>IF(VLOOKUP($A170,raw_lb[],COLUMN(M$1),FALSE)=0, VLOOKUP($D170, regions_lb[], COLUMN(M$1), FALSE), VLOOKUP($A170,raw_lb[],COLUMN(M$1),FALSE))</f>
        <v>9.6699999999999994E-2</v>
      </c>
      <c r="N170" s="68">
        <f>IF(VLOOKUP($A170,raw_lb[],COLUMN(N$1),FALSE)=0, VLOOKUP($D170, regions_lb[], COLUMN(N$1), FALSE), VLOOKUP($A170,raw_lb[],COLUMN(N$1),FALSE))</f>
        <v>0.155</v>
      </c>
      <c r="O170" s="67">
        <f>IF(VLOOKUP($A170,raw_lb[],COLUMN(O$1),FALSE)=0, VLOOKUP($D170, regions_lb[], COLUMN(O$1), FALSE), VLOOKUP($A170,raw_lb[],COLUMN(O$1),FALSE))</f>
        <v>7.0000000000000007E-2</v>
      </c>
      <c r="P170" s="68">
        <f>IF(VLOOKUP($A170,raw_lb[],COLUMN(P$1),FALSE)=0, VLOOKUP($D170, regions_lb[], COLUMN(P$1), FALSE), VLOOKUP($A170,raw_lb[],COLUMN(P$1),FALSE))</f>
        <v>1E-3</v>
      </c>
      <c r="Q170" s="70">
        <f>IF(VLOOKUP($A170,raw_lb[],COLUMN(Q$1),FALSE)=0, VLOOKUP($D170, regions_lb[], COLUMN(Q$1), FALSE), VLOOKUP($A170,raw_lb[],COLUMN(Q$1),FALSE))</f>
        <v>0.78467471264367805</v>
      </c>
      <c r="R170" s="70">
        <f>IF(VLOOKUP($A170,raw_lb[],COLUMN(R$1),FALSE)=0, VLOOKUP($D170, regions_lb[], COLUMN(R$1), FALSE), VLOOKUP($A170,raw_lb[],COLUMN(R$1),FALSE))</f>
        <v>7.8455747126436783</v>
      </c>
      <c r="S170" s="70">
        <f>IF(VLOOKUP($A170,raw_lb[],COLUMN(S$1),FALSE)=0, VLOOKUP($D170, regions_lb[], COLUMN(S$1), FALSE), VLOOKUP($A170,raw_lb[],COLUMN(S$1),FALSE))</f>
        <v>38.391448882082202</v>
      </c>
      <c r="T170" s="70">
        <f>IF(VLOOKUP($A170,raw_lb[],COLUMN(U$1)-COLUMN($A$1),FALSE)=0, VLOOKUP($D170, regions_lb[], COLUMN(U$1)-COLUMN($A$1), FALSE), VLOOKUP($A170,raw_lb[],COLUMN(U$1)-COLUMN($A$1),FALSE))</f>
        <v>39.081520046451338</v>
      </c>
      <c r="U170" s="70">
        <f>IF(VLOOKUP($A170,raw_lb[],COLUMN(V$1)-COLUMN($A$1),FALSE)=0, VLOOKUP($D170, regions_lb[], COLUMN(V$1)-COLUMN($A$1), FALSE), VLOOKUP($A170,raw_lb[],COLUMN(V$1)-COLUMN($A$1),FALSE))</f>
        <v>38.764653954019231</v>
      </c>
      <c r="V170" s="70">
        <f>IF(VLOOKUP($A170,raw_lb[],COLUMN(W$1)-COLUMN($A$1),FALSE)=0, VLOOKUP($D170, regions_lb[], COLUMN(W$1)-COLUMN($A$1), FALSE), VLOOKUP($A170,raw_lb[],COLUMN(W$1)-COLUMN($A$1),FALSE))</f>
        <v>1.151406124654156</v>
      </c>
      <c r="W170" s="70">
        <f>IF(VLOOKUP($A170,raw_lb[],COLUMN(X$1)-COLUMN($A$1),FALSE)=0, VLOOKUP($D170, regions_lb[], COLUMN(X$1)-COLUMN($A$1), FALSE), VLOOKUP($A170,raw_lb[],COLUMN(X$1)-COLUMN($A$1),FALSE))</f>
        <v>5.7399061246541558</v>
      </c>
      <c r="X170" s="70">
        <f>IF(VLOOKUP($A170,raw_lb[],COLUMN(Y$1)-COLUMN($A$1),FALSE)=0, VLOOKUP($D170, regions_lb[], COLUMN(Y$1)-COLUMN($A$1), FALSE), VLOOKUP($A170,raw_lb[],COLUMN(Y$1)-COLUMN($A$1),FALSE))</f>
        <v>0.67787334129983046</v>
      </c>
      <c r="Y170" s="70">
        <f>IF(VLOOKUP($A170,raw_lb[],COLUMN(Z$1)-COLUMN($A$1),FALSE)=0, VLOOKUP($D170, regions_lb[], COLUMN(Z$1)-COLUMN($A$1), FALSE), VLOOKUP($A170,raw_lb[],COLUMN(Z$1)-COLUMN($A$1),FALSE))</f>
        <v>5.2663733412998299</v>
      </c>
      <c r="Z170" s="70">
        <f>IF(VLOOKUP($A170,raw_lb[],COLUMN(AA$1)-COLUMN($A$1),FALSE)=0, VLOOKUP($D170, regions_lb[], COLUMN(AA$1)-COLUMN($A$1), FALSE), VLOOKUP($A170,raw_lb[],COLUMN(AA$1)-COLUMN($A$1),FALSE))</f>
        <v>5.2626968957500413</v>
      </c>
      <c r="AA170" s="70">
        <f>IF(VLOOKUP($A170,raw_lb[],COLUMN(AB$1)-COLUMN($A$1),FALSE)=0, VLOOKUP($D170, regions_lb[], COLUMN(AB$1)-COLUMN($A$1), FALSE), VLOOKUP($A170,raw_lb[],COLUMN(AB$1)-COLUMN($A$1),FALSE))</f>
        <v>1.3034140307506787</v>
      </c>
      <c r="AB170" s="70">
        <f>IF(VLOOKUP($A170,raw_lb[],COLUMN(AC$1)-COLUMN($A$1),FALSE)=0, VLOOKUP($D170, regions_lb[], COLUMN(AC$1)-COLUMN($A$1), FALSE), VLOOKUP($A170,raw_lb[],COLUMN(AC$1)-COLUMN($A$1),FALSE))</f>
        <v>5.8919140307506783</v>
      </c>
      <c r="AC170" s="72">
        <f>IF(VLOOKUP($A170,raw_lb[],COLUMN(AD$1)-COLUMN($A$1),FALSE)=0, VLOOKUP($D170, regions_lb[], COLUMN(AD$1)-COLUMN($A$1), FALSE), VLOOKUP($A170,raw_lb[],COLUMN(AD$1)-COLUMN($A$1),FALSE))</f>
        <v>5.7436809999999956E-2</v>
      </c>
      <c r="AD170" s="72">
        <f>IF(VLOOKUP($A170,raw_lb[],COLUMN(AE$1)-COLUMN($A$1),FALSE)=0, VLOOKUP($D170, regions_lb[], COLUMN(AE$1)-COLUMN($A$1), FALSE), VLOOKUP($A170,raw_lb[],COLUMN(AE$1)-COLUMN($A$1),FALSE))</f>
        <v>6.7311622216910099E-3</v>
      </c>
      <c r="AE170" s="72">
        <f>IF(VLOOKUP($A170,raw_lb[],COLUMN(AF$1)-COLUMN($A$1),FALSE)=0, VLOOKUP($D170, regions_lb[], COLUMN(AF$1)-COLUMN($A$1), FALSE), VLOOKUP($A170,raw_lb[],COLUMN(AF$1)-COLUMN($A$1),FALSE))</f>
        <v>2.4544830169830208E-3</v>
      </c>
      <c r="AF170" s="72">
        <f>IF(VLOOKUP($A170,raw_lb[],COLUMN(AG$1)-COLUMN($A$1),FALSE)=0, VLOOKUP($D170, regions_lb[], COLUMN(AG$1)-COLUMN($A$1), FALSE), VLOOKUP($A170,raw_lb[],COLUMN(AG$1)-COLUMN($A$1),FALSE))</f>
        <v>1.7669548972848977E-3</v>
      </c>
      <c r="AG170" s="72">
        <f>IF(VLOOKUP($A170,raw_lb[],COLUMN(AH$1)-COLUMN($A$1),FALSE)=0, VLOOKUP($D170, regions_lb[], COLUMN(AH$1)-COLUMN($A$1), FALSE), VLOOKUP($A170,raw_lb[],COLUMN(AH$1)-COLUMN($A$1),FALSE))</f>
        <v>2.633009300786188E-3</v>
      </c>
      <c r="AH170" s="72">
        <f>IF(VLOOKUP($A170,raw_lb[],COLUMN(AI$1)-COLUMN($A$1),FALSE)=0, VLOOKUP($D170, regions_lb[], COLUMN(AI$1)-COLUMN($A$1), FALSE), VLOOKUP($A170,raw_lb[],COLUMN(AI$1)-COLUMN($A$1),FALSE))</f>
        <v>3.8932230977901374E-3</v>
      </c>
      <c r="AI170" s="72">
        <f>IF(VLOOKUP($A170,raw_lb[],COLUMN(AJ$1)-COLUMN($A$1),FALSE)=0, VLOOKUP($D170, regions_lb[], COLUMN(AJ$1)-COLUMN($A$1), FALSE), VLOOKUP($A170,raw_lb[],COLUMN(AJ$1)-COLUMN($A$1),FALSE))</f>
        <v>4.9669379749717078E-3</v>
      </c>
      <c r="AJ170" s="72">
        <f>IF(VLOOKUP($A170,raw_lb[],COLUMN(AK$1)-COLUMN($A$1),FALSE)=0, VLOOKUP($D170, regions_lb[], COLUMN(AK$1)-COLUMN($A$1), FALSE), VLOOKUP($A170,raw_lb[],COLUMN(AK$1)-COLUMN($A$1),FALSE))</f>
        <v>6.091994007227465E-3</v>
      </c>
      <c r="AK170" s="72">
        <f>IF(VLOOKUP($A170,raw_lb[],COLUMN(AL$1)-COLUMN($A$1),FALSE)=0, VLOOKUP($D170, regions_lb[], COLUMN(AL$1)-COLUMN($A$1), FALSE), VLOOKUP($A170,raw_lb[],COLUMN(AL$1)-COLUMN($A$1),FALSE))</f>
        <v>7.6366738926449936E-3</v>
      </c>
      <c r="AL170" s="72">
        <f>IF(VLOOKUP($A170,raw_lb[],COLUMN(AM$1)-COLUMN($A$1),FALSE)=0, VLOOKUP($D170, regions_lb[], COLUMN(AM$1)-COLUMN($A$1), FALSE), VLOOKUP($A170,raw_lb[],COLUMN(AM$1)-COLUMN($A$1),FALSE))</f>
        <v>9.2628183987660141E-3</v>
      </c>
      <c r="AM170" s="72">
        <f>IF(VLOOKUP($A170,raw_lb[],COLUMN(AN$1)-COLUMN($A$1),FALSE)=0, VLOOKUP($D170, regions_lb[], COLUMN(AN$1)-COLUMN($A$1), FALSE), VLOOKUP($A170,raw_lb[],COLUMN(AN$1)-COLUMN($A$1),FALSE))</f>
        <v>1.114428337727919E-2</v>
      </c>
      <c r="AN170" s="72">
        <f>IF(VLOOKUP($A170,raw_lb[],COLUMN(AO$1)-COLUMN($A$1),FALSE)=0, VLOOKUP($D170, regions_lb[], COLUMN(AO$1)-COLUMN($A$1), FALSE), VLOOKUP($A170,raw_lb[],COLUMN(AO$1)-COLUMN($A$1),FALSE))</f>
        <v>1.4545397602173339E-2</v>
      </c>
      <c r="AO170" s="72">
        <f>IF(VLOOKUP($A170,raw_lb[],COLUMN(AP$1)-COLUMN($A$1),FALSE)=0, VLOOKUP($D170, regions_lb[], COLUMN(AP$1)-COLUMN($A$1), FALSE), VLOOKUP($A170,raw_lb[],COLUMN(AP$1)-COLUMN($A$1),FALSE))</f>
        <v>1.8562625595993646E-2</v>
      </c>
      <c r="AP170" s="72">
        <f>IF(VLOOKUP($A170,raw_lb[],COLUMN(AQ$1)-COLUMN($A$1),FALSE)=0, VLOOKUP($D170, regions_lb[], COLUMN(AQ$1)-COLUMN($A$1), FALSE), VLOOKUP($A170,raw_lb[],COLUMN(AQ$1)-COLUMN($A$1),FALSE))</f>
        <v>2.6155582740175296E-2</v>
      </c>
      <c r="AQ170" s="72">
        <f>IF(VLOOKUP($A170,raw_lb[],COLUMN(AR$1)-COLUMN($A$1),FALSE)=0, VLOOKUP($D170, regions_lb[], COLUMN(AR$1)-COLUMN($A$1), FALSE), VLOOKUP($A170,raw_lb[],COLUMN(AR$1)-COLUMN($A$1),FALSE))</f>
        <v>3.8051817182223835E-2</v>
      </c>
      <c r="AR170" s="72">
        <f>IF(VLOOKUP($A170,raw_lb[],COLUMN(AS$1)-COLUMN($A$1),FALSE)=0, VLOOKUP($D170, regions_lb[], COLUMN(AS$1)-COLUMN($A$1), FALSE), VLOOKUP($A170,raw_lb[],COLUMN(AS$1)-COLUMN($A$1),FALSE))</f>
        <v>5.604327306476331E-2</v>
      </c>
      <c r="AS170" s="82">
        <f>IF(VLOOKUP($A170,raw_lb[],COLUMN(AS$1),FALSE)=0, VLOOKUP($D170, regions_lb[], COLUMN(AS$1), FALSE), VLOOKUP($A170,raw_lb[],COLUMN(AS$1),FALSE))</f>
        <v>8.1095758449669861E-2</v>
      </c>
      <c r="AT170" s="82">
        <f>IF(VLOOKUP($A170,raw_lb[],COLUMN(AT$1),FALSE)=0, VLOOKUP($D170, regions_lb[], COLUMN(AT$1), FALSE), VLOOKUP($A170,raw_lb[],COLUMN(AT$1),FALSE))</f>
        <v>0.11465624429238873</v>
      </c>
      <c r="AU170" s="82">
        <f>IF(VLOOKUP($A170,raw_lb[],COLUMN(AU$1),FALSE)=0, VLOOKUP($D170, regions_lb[], COLUMN(AU$1), FALSE), VLOOKUP($A170,raw_lb[],COLUMN(AU$1),FALSE))</f>
        <v>0.14953448764497962</v>
      </c>
      <c r="AV170" s="82">
        <f>IF(VLOOKUP($A170,raw_lb[],COLUMN(AV$1),FALSE)=0, VLOOKUP($D170, regions_lb[], COLUMN(AV$1), FALSE), VLOOKUP($A170,raw_lb[],COLUMN(AV$1),FALSE))</f>
        <v>0.17406658606916689</v>
      </c>
      <c r="AW170" s="82">
        <f>IF(VLOOKUP($A170,raw_lb[],COLUMN(AW$1),FALSE)=0, VLOOKUP($D170, regions_lb[], COLUMN(AW$1), FALSE), VLOOKUP($A170,raw_lb[],COLUMN(AW$1),FALSE))</f>
        <v>0.18008540237702172</v>
      </c>
      <c r="AX170" s="82">
        <f>IF(VLOOKUP($A170,raw_lb[],COLUMN(AX$1),FALSE)=0, VLOOKUP($D170, regions_lb[], COLUMN(AX$1), FALSE), VLOOKUP($A170,raw_lb[],COLUMN(AX$1),FALSE))</f>
        <v>54.382749999999994</v>
      </c>
      <c r="AY170" t="str">
        <f t="shared" si="5"/>
        <v>No</v>
      </c>
    </row>
    <row r="171" spans="1:51" x14ac:dyDescent="0.25">
      <c r="A171" s="55" t="s">
        <v>285</v>
      </c>
      <c r="B171" s="56" t="s">
        <v>286</v>
      </c>
      <c r="C171" s="56">
        <v>192</v>
      </c>
      <c r="D171" s="56" t="s">
        <v>215</v>
      </c>
      <c r="E171" s="56" t="s">
        <v>232</v>
      </c>
      <c r="F171" s="56" t="s">
        <v>217</v>
      </c>
      <c r="G171" s="56" t="s">
        <v>204</v>
      </c>
      <c r="H171" s="74"/>
      <c r="I171" s="74"/>
      <c r="J171" s="67">
        <f>IF(VLOOKUP($A171,raw_lb[],COLUMN(J$1),FALSE)=0, VLOOKUP($D171, regions_lb[], COLUMN(J$1), FALSE), VLOOKUP($A171,raw_lb[],COLUMN(J$1),FALSE))</f>
        <v>0.94904999999999995</v>
      </c>
      <c r="K171" s="77">
        <f>VLOOKUP($A171, raw_lb[], 11, FALSE)</f>
        <v>0.9405</v>
      </c>
      <c r="L171" s="77">
        <f>VLOOKUP($A171, raw_lb[], 12, FALSE)</f>
        <v>0.9405</v>
      </c>
      <c r="M171" s="77">
        <f>IF(VLOOKUP($A171,raw_lb[],COLUMN(M$1),FALSE)=0, VLOOKUP($D171, regions_lb[], COLUMN(M$1), FALSE), VLOOKUP($A171,raw_lb[],COLUMN(M$1),FALSE))</f>
        <v>3.5999999999999999E-3</v>
      </c>
      <c r="N171" s="68">
        <f>IF(VLOOKUP($A171,raw_lb[],COLUMN(N$1),FALSE)=0, VLOOKUP($D171, regions_lb[], COLUMN(N$1), FALSE), VLOOKUP($A171,raw_lb[],COLUMN(N$1),FALSE))</f>
        <v>0.16309999999999999</v>
      </c>
      <c r="O171" s="67">
        <f>IF(VLOOKUP($A171,raw_lb[],COLUMN(O$1),FALSE)=0, VLOOKUP($D171, regions_lb[], COLUMN(O$1), FALSE), VLOOKUP($A171,raw_lb[],COLUMN(O$1),FALSE))</f>
        <v>0.7</v>
      </c>
      <c r="P171" s="68">
        <f>IF(VLOOKUP($A171,raw_lb[],COLUMN(P$1),FALSE)=0, VLOOKUP($D171, regions_lb[], COLUMN(P$1), FALSE), VLOOKUP($A171,raw_lb[],COLUMN(P$1),FALSE))</f>
        <v>0.05</v>
      </c>
      <c r="Q171" s="70">
        <f>IF(VLOOKUP($A171,raw_lb[],COLUMN(Q$1),FALSE)=0, VLOOKUP($D171, regions_lb[], COLUMN(Q$1), FALSE), VLOOKUP($A171,raw_lb[],COLUMN(Q$1),FALSE))</f>
        <v>2.1631135610246099</v>
      </c>
      <c r="R171" s="70">
        <f>IF(VLOOKUP($A171,raw_lb[],COLUMN(R$1),FALSE)=0, VLOOKUP($D171, regions_lb[], COLUMN(R$1), FALSE), VLOOKUP($A171,raw_lb[],COLUMN(R$1),FALSE))</f>
        <v>9.224013561024611</v>
      </c>
      <c r="S171" s="70">
        <f>IF(VLOOKUP($A171,raw_lb[],COLUMN(S$1),FALSE)=0, VLOOKUP($D171, regions_lb[], COLUMN(S$1), FALSE), VLOOKUP($A171,raw_lb[],COLUMN(S$1),FALSE))</f>
        <v>47.240188849824222</v>
      </c>
      <c r="T171" s="70">
        <f>IF(VLOOKUP($A171,raw_lb[],COLUMN(U$1)-COLUMN($A$1),FALSE)=0, VLOOKUP($D171, regions_lb[], COLUMN(U$1)-COLUMN($A$1), FALSE), VLOOKUP($A171,raw_lb[],COLUMN(U$1)-COLUMN($A$1),FALSE))</f>
        <v>51.818290651224743</v>
      </c>
      <c r="U171" s="70">
        <f>IF(VLOOKUP($A171,raw_lb[],COLUMN(V$1)-COLUMN($A$1),FALSE)=0, VLOOKUP($D171, regions_lb[], COLUMN(V$1)-COLUMN($A$1), FALSE), VLOOKUP($A171,raw_lb[],COLUMN(V$1)-COLUMN($A$1),FALSE))</f>
        <v>49.716123072765832</v>
      </c>
      <c r="V171" s="70">
        <f>IF(VLOOKUP($A171,raw_lb[],COLUMN(W$1)-COLUMN($A$1),FALSE)=0, VLOOKUP($D171, regions_lb[], COLUMN(W$1)-COLUMN($A$1), FALSE), VLOOKUP($A171,raw_lb[],COLUMN(W$1)-COLUMN($A$1),FALSE))</f>
        <v>2.9101751799600399</v>
      </c>
      <c r="W171" s="70">
        <f>IF(VLOOKUP($A171,raw_lb[],COLUMN(X$1)-COLUMN($A$1),FALSE)=0, VLOOKUP($D171, regions_lb[], COLUMN(X$1)-COLUMN($A$1), FALSE), VLOOKUP($A171,raw_lb[],COLUMN(X$1)-COLUMN($A$1),FALSE))</f>
        <v>2.9291751799600401</v>
      </c>
      <c r="X171" s="70">
        <f>IF(VLOOKUP($A171,raw_lb[],COLUMN(Y$1)-COLUMN($A$1),FALSE)=0, VLOOKUP($D171, regions_lb[], COLUMN(Y$1)-COLUMN($A$1), FALSE), VLOOKUP($A171,raw_lb[],COLUMN(Y$1)-COLUMN($A$1),FALSE))</f>
        <v>2.4296197267738795</v>
      </c>
      <c r="Y171" s="70">
        <f>IF(VLOOKUP($A171,raw_lb[],COLUMN(Z$1)-COLUMN($A$1),FALSE)=0, VLOOKUP($D171, regions_lb[], COLUMN(Z$1)-COLUMN($A$1), FALSE), VLOOKUP($A171,raw_lb[],COLUMN(Z$1)-COLUMN($A$1),FALSE))</f>
        <v>2.4486197267738796</v>
      </c>
      <c r="Z171" s="70">
        <f>IF(VLOOKUP($A171,raw_lb[],COLUMN(AA$1)-COLUMN($A$1),FALSE)=0, VLOOKUP($D171, regions_lb[], COLUMN(AA$1)-COLUMN($A$1), FALSE), VLOOKUP($A171,raw_lb[],COLUMN(AA$1)-COLUMN($A$1),FALSE))</f>
        <v>2.4401111055055922</v>
      </c>
      <c r="AA171" s="70">
        <f>IF(VLOOKUP($A171,raw_lb[],COLUMN(AB$1)-COLUMN($A$1),FALSE)=0, VLOOKUP($D171, regions_lb[], COLUMN(AB$1)-COLUMN($A$1), FALSE), VLOOKUP($A171,raw_lb[],COLUMN(AB$1)-COLUMN($A$1),FALSE))</f>
        <v>3.0838530386805094</v>
      </c>
      <c r="AB171" s="70">
        <f>IF(VLOOKUP($A171,raw_lb[],COLUMN(AC$1)-COLUMN($A$1),FALSE)=0, VLOOKUP($D171, regions_lb[], COLUMN(AC$1)-COLUMN($A$1), FALSE), VLOOKUP($A171,raw_lb[],COLUMN(AC$1)-COLUMN($A$1),FALSE))</f>
        <v>3.1028530386805095</v>
      </c>
      <c r="AC171" s="72">
        <f>IF(VLOOKUP($A171,raw_lb[],COLUMN(AD$1)-COLUMN($A$1),FALSE)=0, VLOOKUP($D171, regions_lb[], COLUMN(AD$1)-COLUMN($A$1), FALSE), VLOOKUP($A171,raw_lb[],COLUMN(AD$1)-COLUMN($A$1),FALSE))</f>
        <v>4.2617094999999536E-3</v>
      </c>
      <c r="AD171" s="72">
        <f>IF(VLOOKUP($A171,raw_lb[],COLUMN(AE$1)-COLUMN($A$1),FALSE)=0, VLOOKUP($D171, regions_lb[], COLUMN(AE$1)-COLUMN($A$1), FALSE), VLOOKUP($A171,raw_lb[],COLUMN(AE$1)-COLUMN($A$1),FALSE))</f>
        <v>2.5922086740338659E-4</v>
      </c>
      <c r="AE171" s="72">
        <f>IF(VLOOKUP($A171,raw_lb[],COLUMN(AF$1)-COLUMN($A$1),FALSE)=0, VLOOKUP($D171, regions_lb[], COLUMN(AF$1)-COLUMN($A$1), FALSE), VLOOKUP($A171,raw_lb[],COLUMN(AF$1)-COLUMN($A$1),FALSE))</f>
        <v>1.5255562690985123E-4</v>
      </c>
      <c r="AF171" s="72">
        <f>IF(VLOOKUP($A171,raw_lb[],COLUMN(AG$1)-COLUMN($A$1),FALSE)=0, VLOOKUP($D171, regions_lb[], COLUMN(AG$1)-COLUMN($A$1), FALSE), VLOOKUP($A171,raw_lb[],COLUMN(AG$1)-COLUMN($A$1),FALSE))</f>
        <v>1.9398327130111775E-4</v>
      </c>
      <c r="AG171" s="72">
        <f>IF(VLOOKUP($A171,raw_lb[],COLUMN(AH$1)-COLUMN($A$1),FALSE)=0, VLOOKUP($D171, regions_lb[], COLUMN(AH$1)-COLUMN($A$1), FALSE), VLOOKUP($A171,raw_lb[],COLUMN(AH$1)-COLUMN($A$1),FALSE))</f>
        <v>4.0713307316923744E-4</v>
      </c>
      <c r="AH171" s="72">
        <f>IF(VLOOKUP($A171,raw_lb[],COLUMN(AI$1)-COLUMN($A$1),FALSE)=0, VLOOKUP($D171, regions_lb[], COLUMN(AI$1)-COLUMN($A$1), FALSE), VLOOKUP($A171,raw_lb[],COLUMN(AI$1)-COLUMN($A$1),FALSE))</f>
        <v>5.4512174883087619E-4</v>
      </c>
      <c r="AI171" s="72">
        <f>IF(VLOOKUP($A171,raw_lb[],COLUMN(AJ$1)-COLUMN($A$1),FALSE)=0, VLOOKUP($D171, regions_lb[], COLUMN(AJ$1)-COLUMN($A$1), FALSE), VLOOKUP($A171,raw_lb[],COLUMN(AJ$1)-COLUMN($A$1),FALSE))</f>
        <v>6.0277188247360796E-4</v>
      </c>
      <c r="AJ171" s="72">
        <f>IF(VLOOKUP($A171,raw_lb[],COLUMN(AK$1)-COLUMN($A$1),FALSE)=0, VLOOKUP($D171, regions_lb[], COLUMN(AK$1)-COLUMN($A$1), FALSE), VLOOKUP($A171,raw_lb[],COLUMN(AK$1)-COLUMN($A$1),FALSE))</f>
        <v>7.508947982051245E-4</v>
      </c>
      <c r="AK171" s="72">
        <f>IF(VLOOKUP($A171,raw_lb[],COLUMN(AL$1)-COLUMN($A$1),FALSE)=0, VLOOKUP($D171, regions_lb[], COLUMN(AL$1)-COLUMN($A$1), FALSE), VLOOKUP($A171,raw_lb[],COLUMN(AL$1)-COLUMN($A$1),FALSE))</f>
        <v>1.0150690030173543E-3</v>
      </c>
      <c r="AL171" s="72">
        <f>IF(VLOOKUP($A171,raw_lb[],COLUMN(AM$1)-COLUMN($A$1),FALSE)=0, VLOOKUP($D171, regions_lb[], COLUMN(AM$1)-COLUMN($A$1), FALSE), VLOOKUP($A171,raw_lb[],COLUMN(AM$1)-COLUMN($A$1),FALSE))</f>
        <v>1.6131469713317956E-3</v>
      </c>
      <c r="AM171" s="72">
        <f>IF(VLOOKUP($A171,raw_lb[],COLUMN(AN$1)-COLUMN($A$1),FALSE)=0, VLOOKUP($D171, regions_lb[], COLUMN(AN$1)-COLUMN($A$1), FALSE), VLOOKUP($A171,raw_lb[],COLUMN(AN$1)-COLUMN($A$1),FALSE))</f>
        <v>2.690406630874271E-3</v>
      </c>
      <c r="AN171" s="72">
        <f>IF(VLOOKUP($A171,raw_lb[],COLUMN(AO$1)-COLUMN($A$1),FALSE)=0, VLOOKUP($D171, regions_lb[], COLUMN(AO$1)-COLUMN($A$1), FALSE), VLOOKUP($A171,raw_lb[],COLUMN(AO$1)-COLUMN($A$1),FALSE))</f>
        <v>4.3341034414632875E-3</v>
      </c>
      <c r="AO171" s="72">
        <f>IF(VLOOKUP($A171,raw_lb[],COLUMN(AP$1)-COLUMN($A$1),FALSE)=0, VLOOKUP($D171, regions_lb[], COLUMN(AP$1)-COLUMN($A$1), FALSE), VLOOKUP($A171,raw_lb[],COLUMN(AP$1)-COLUMN($A$1),FALSE))</f>
        <v>6.6826513778109704E-3</v>
      </c>
      <c r="AP171" s="72">
        <f>IF(VLOOKUP($A171,raw_lb[],COLUMN(AQ$1)-COLUMN($A$1),FALSE)=0, VLOOKUP($D171, regions_lb[], COLUMN(AQ$1)-COLUMN($A$1), FALSE), VLOOKUP($A171,raw_lb[],COLUMN(AQ$1)-COLUMN($A$1),FALSE))</f>
        <v>1.058758481271857E-2</v>
      </c>
      <c r="AQ171" s="72">
        <f>IF(VLOOKUP($A171,raw_lb[],COLUMN(AR$1)-COLUMN($A$1),FALSE)=0, VLOOKUP($D171, regions_lb[], COLUMN(AR$1)-COLUMN($A$1), FALSE), VLOOKUP($A171,raw_lb[],COLUMN(AR$1)-COLUMN($A$1),FALSE))</f>
        <v>1.6154627282920477E-2</v>
      </c>
      <c r="AR171" s="72">
        <f>IF(VLOOKUP($A171,raw_lb[],COLUMN(AS$1)-COLUMN($A$1),FALSE)=0, VLOOKUP($D171, regions_lb[], COLUMN(AS$1)-COLUMN($A$1), FALSE), VLOOKUP($A171,raw_lb[],COLUMN(AS$1)-COLUMN($A$1),FALSE))</f>
        <v>2.3550811319083025E-2</v>
      </c>
      <c r="AS171" s="82">
        <f>IF(VLOOKUP($A171,raw_lb[],COLUMN(AS$1),FALSE)=0, VLOOKUP($D171, regions_lb[], COLUMN(AS$1), FALSE), VLOOKUP($A171,raw_lb[],COLUMN(AS$1),FALSE))</f>
        <v>3.5690001815783801E-2</v>
      </c>
      <c r="AT171" s="82">
        <f>IF(VLOOKUP($A171,raw_lb[],COLUMN(AT$1),FALSE)=0, VLOOKUP($D171, regions_lb[], COLUMN(AT$1), FALSE), VLOOKUP($A171,raw_lb[],COLUMN(AT$1),FALSE))</f>
        <v>5.7388382594142195E-2</v>
      </c>
      <c r="AU171" s="82">
        <f>IF(VLOOKUP($A171,raw_lb[],COLUMN(AU$1),FALSE)=0, VLOOKUP($D171, regions_lb[], COLUMN(AU$1), FALSE), VLOOKUP($A171,raw_lb[],COLUMN(AU$1),FALSE))</f>
        <v>8.1381136623540642E-2</v>
      </c>
      <c r="AV171" s="82">
        <f>IF(VLOOKUP($A171,raw_lb[],COLUMN(AV$1),FALSE)=0, VLOOKUP($D171, regions_lb[], COLUMN(AV$1), FALSE), VLOOKUP($A171,raw_lb[],COLUMN(AV$1),FALSE))</f>
        <v>0.10817690764570455</v>
      </c>
      <c r="AW171" s="82">
        <f>IF(VLOOKUP($A171,raw_lb[],COLUMN(AW$1),FALSE)=0, VLOOKUP($D171, regions_lb[], COLUMN(AW$1), FALSE), VLOOKUP($A171,raw_lb[],COLUMN(AW$1),FALSE))</f>
        <v>0.13586817565820736</v>
      </c>
      <c r="AX171" s="82">
        <f>IF(VLOOKUP($A171,raw_lb[],COLUMN(AX$1),FALSE)=0, VLOOKUP($D171, regions_lb[], COLUMN(AX$1), FALSE), VLOOKUP($A171,raw_lb[],COLUMN(AX$1),FALSE))</f>
        <v>74.750749999999996</v>
      </c>
      <c r="AY171" t="str">
        <f t="shared" si="5"/>
        <v>No</v>
      </c>
    </row>
    <row r="172" spans="1:51" x14ac:dyDescent="0.25">
      <c r="A172" s="53" t="s">
        <v>287</v>
      </c>
      <c r="B172" s="54" t="s">
        <v>288</v>
      </c>
      <c r="C172" s="54">
        <v>262</v>
      </c>
      <c r="D172" s="54" t="s">
        <v>196</v>
      </c>
      <c r="E172" s="54" t="s">
        <v>255</v>
      </c>
      <c r="F172" s="54" t="s">
        <v>211</v>
      </c>
      <c r="G172" s="54" t="s">
        <v>212</v>
      </c>
      <c r="H172" s="73"/>
      <c r="I172" s="73"/>
      <c r="J172" s="67">
        <f>IF(VLOOKUP($A172,raw_lb[],COLUMN(J$1),FALSE)=0, VLOOKUP($D172, regions_lb[], COLUMN(J$1), FALSE), VLOOKUP($A172,raw_lb[],COLUMN(J$1),FALSE))</f>
        <v>0.82364999999999999</v>
      </c>
      <c r="K172" s="77">
        <f>VLOOKUP($A172, raw_lb[], 11, FALSE)</f>
        <v>0.73149999999999993</v>
      </c>
      <c r="L172" s="77">
        <f>VLOOKUP($A172, raw_lb[], 12, FALSE)</f>
        <v>0.66499999999999992</v>
      </c>
      <c r="M172" s="77">
        <f>IF(VLOOKUP($A172,raw_lb[],COLUMN(M$1),FALSE)=0, VLOOKUP($D172, regions_lb[], COLUMN(M$1), FALSE), VLOOKUP($A172,raw_lb[],COLUMN(M$1),FALSE))</f>
        <v>9.0000000000000011E-3</v>
      </c>
      <c r="N172" s="68">
        <f>IF(VLOOKUP($A172,raw_lb[],COLUMN(N$1),FALSE)=0, VLOOKUP($D172, regions_lb[], COLUMN(N$1), FALSE), VLOOKUP($A172,raw_lb[],COLUMN(N$1),FALSE))</f>
        <v>0.15560000000000002</v>
      </c>
      <c r="O172" s="67">
        <f>IF(VLOOKUP($A172,raw_lb[],COLUMN(O$1),FALSE)=0, VLOOKUP($D172, regions_lb[], COLUMN(O$1), FALSE), VLOOKUP($A172,raw_lb[],COLUMN(O$1),FALSE))</f>
        <v>7.0000000000000007E-2</v>
      </c>
      <c r="P172" s="68">
        <f>IF(VLOOKUP($A172,raw_lb[],COLUMN(P$1),FALSE)=0, VLOOKUP($D172, regions_lb[], COLUMN(P$1), FALSE), VLOOKUP($A172,raw_lb[],COLUMN(P$1),FALSE))</f>
        <v>1E-3</v>
      </c>
      <c r="Q172" s="70">
        <f>IF(VLOOKUP($A172,raw_lb[],COLUMN(Q$1),FALSE)=0, VLOOKUP($D172, regions_lb[], COLUMN(Q$1), FALSE), VLOOKUP($A172,raw_lb[],COLUMN(Q$1),FALSE))</f>
        <v>0.89909631675874802</v>
      </c>
      <c r="R172" s="70">
        <f>IF(VLOOKUP($A172,raw_lb[],COLUMN(R$1),FALSE)=0, VLOOKUP($D172, regions_lb[], COLUMN(R$1), FALSE), VLOOKUP($A172,raw_lb[],COLUMN(R$1),FALSE))</f>
        <v>7.9599963167587493</v>
      </c>
      <c r="S172" s="70">
        <f>IF(VLOOKUP($A172,raw_lb[],COLUMN(S$1),FALSE)=0, VLOOKUP($D172, regions_lb[], COLUMN(S$1), FALSE), VLOOKUP($A172,raw_lb[],COLUMN(S$1),FALSE))</f>
        <v>38.9071948398838</v>
      </c>
      <c r="T172" s="70">
        <f>IF(VLOOKUP($A172,raw_lb[],COLUMN(U$1)-COLUMN($A$1),FALSE)=0, VLOOKUP($D172, regions_lb[], COLUMN(U$1)-COLUMN($A$1), FALSE), VLOOKUP($A172,raw_lb[],COLUMN(U$1)-COLUMN($A$1),FALSE))</f>
        <v>39.8061413036001</v>
      </c>
      <c r="U172" s="70">
        <f>IF(VLOOKUP($A172,raw_lb[],COLUMN(V$1)-COLUMN($A$1),FALSE)=0, VLOOKUP($D172, regions_lb[], COLUMN(V$1)-COLUMN($A$1), FALSE), VLOOKUP($A172,raw_lb[],COLUMN(V$1)-COLUMN($A$1),FALSE))</f>
        <v>39.393364088769147</v>
      </c>
      <c r="V172" s="70">
        <f>IF(VLOOKUP($A172,raw_lb[],COLUMN(W$1)-COLUMN($A$1),FALSE)=0, VLOOKUP($D172, regions_lb[], COLUMN(W$1)-COLUMN($A$1), FALSE), VLOOKUP($A172,raw_lb[],COLUMN(W$1)-COLUMN($A$1),FALSE))</f>
        <v>2.1985628497893606</v>
      </c>
      <c r="W172" s="70">
        <f>IF(VLOOKUP($A172,raw_lb[],COLUMN(X$1)-COLUMN($A$1),FALSE)=0, VLOOKUP($D172, regions_lb[], COLUMN(X$1)-COLUMN($A$1), FALSE), VLOOKUP($A172,raw_lb[],COLUMN(X$1)-COLUMN($A$1),FALSE))</f>
        <v>6.7870628497893604</v>
      </c>
      <c r="X172" s="70">
        <f>IF(VLOOKUP($A172,raw_lb[],COLUMN(Y$1)-COLUMN($A$1),FALSE)=0, VLOOKUP($D172, regions_lb[], COLUMN(Y$1)-COLUMN($A$1), FALSE), VLOOKUP($A172,raw_lb[],COLUMN(Y$1)-COLUMN($A$1),FALSE))</f>
        <v>1.7224562384381858</v>
      </c>
      <c r="Y172" s="70">
        <f>IF(VLOOKUP($A172,raw_lb[],COLUMN(Z$1)-COLUMN($A$1),FALSE)=0, VLOOKUP($D172, regions_lb[], COLUMN(Z$1)-COLUMN($A$1), FALSE), VLOOKUP($A172,raw_lb[],COLUMN(Z$1)-COLUMN($A$1),FALSE))</f>
        <v>6.3109562384381857</v>
      </c>
      <c r="Z172" s="70">
        <f>IF(VLOOKUP($A172,raw_lb[],COLUMN(AA$1)-COLUMN($A$1),FALSE)=0, VLOOKUP($D172, regions_lb[], COLUMN(AA$1)-COLUMN($A$1), FALSE), VLOOKUP($A172,raw_lb[],COLUMN(AA$1)-COLUMN($A$1),FALSE))</f>
        <v>6.3056394892145518</v>
      </c>
      <c r="AA172" s="70">
        <f>IF(VLOOKUP($A172,raw_lb[],COLUMN(AB$1)-COLUMN($A$1),FALSE)=0, VLOOKUP($D172, regions_lb[], COLUMN(AB$1)-COLUMN($A$1), FALSE), VLOOKUP($A172,raw_lb[],COLUMN(AB$1)-COLUMN($A$1),FALSE))</f>
        <v>2.3585128537047311</v>
      </c>
      <c r="AB172" s="70">
        <f>IF(VLOOKUP($A172,raw_lb[],COLUMN(AC$1)-COLUMN($A$1),FALSE)=0, VLOOKUP($D172, regions_lb[], COLUMN(AC$1)-COLUMN($A$1), FALSE), VLOOKUP($A172,raw_lb[],COLUMN(AC$1)-COLUMN($A$1),FALSE))</f>
        <v>6.9470128537047309</v>
      </c>
      <c r="AC172" s="72">
        <f>IF(VLOOKUP($A172,raw_lb[],COLUMN(AD$1)-COLUMN($A$1),FALSE)=0, VLOOKUP($D172, regions_lb[], COLUMN(AD$1)-COLUMN($A$1), FALSE), VLOOKUP($A172,raw_lb[],COLUMN(AD$1)-COLUMN($A$1),FALSE))</f>
        <v>3.1969447500000012E-2</v>
      </c>
      <c r="AD172" s="72">
        <f>IF(VLOOKUP($A172,raw_lb[],COLUMN(AE$1)-COLUMN($A$1),FALSE)=0, VLOOKUP($D172, regions_lb[], COLUMN(AE$1)-COLUMN($A$1), FALSE), VLOOKUP($A172,raw_lb[],COLUMN(AE$1)-COLUMN($A$1),FALSE))</f>
        <v>4.3022601227642602E-3</v>
      </c>
      <c r="AE172" s="72">
        <f>IF(VLOOKUP($A172,raw_lb[],COLUMN(AF$1)-COLUMN($A$1),FALSE)=0, VLOOKUP($D172, regions_lb[], COLUMN(AF$1)-COLUMN($A$1), FALSE), VLOOKUP($A172,raw_lb[],COLUMN(AF$1)-COLUMN($A$1),FALSE))</f>
        <v>1.6881904469799472E-3</v>
      </c>
      <c r="AF172" s="72">
        <f>IF(VLOOKUP($A172,raw_lb[],COLUMN(AG$1)-COLUMN($A$1),FALSE)=0, VLOOKUP($D172, regions_lb[], COLUMN(AG$1)-COLUMN($A$1), FALSE), VLOOKUP($A172,raw_lb[],COLUMN(AG$1)-COLUMN($A$1),FALSE))</f>
        <v>1.1533724417199832E-3</v>
      </c>
      <c r="AG172" s="72">
        <f>IF(VLOOKUP($A172,raw_lb[],COLUMN(AH$1)-COLUMN($A$1),FALSE)=0, VLOOKUP($D172, regions_lb[], COLUMN(AH$1)-COLUMN($A$1), FALSE), VLOOKUP($A172,raw_lb[],COLUMN(AH$1)-COLUMN($A$1),FALSE))</f>
        <v>1.5410290990263036E-3</v>
      </c>
      <c r="AH172" s="72">
        <f>IF(VLOOKUP($A172,raw_lb[],COLUMN(AI$1)-COLUMN($A$1),FALSE)=0, VLOOKUP($D172, regions_lb[], COLUMN(AI$1)-COLUMN($A$1), FALSE), VLOOKUP($A172,raw_lb[],COLUMN(AI$1)-COLUMN($A$1),FALSE))</f>
        <v>2.0607955135501259E-3</v>
      </c>
      <c r="AI172" s="72">
        <f>IF(VLOOKUP($A172,raw_lb[],COLUMN(AJ$1)-COLUMN($A$1),FALSE)=0, VLOOKUP($D172, regions_lb[], COLUMN(AJ$1)-COLUMN($A$1), FALSE), VLOOKUP($A172,raw_lb[],COLUMN(AJ$1)-COLUMN($A$1),FALSE))</f>
        <v>2.4831613087347337E-3</v>
      </c>
      <c r="AJ172" s="72">
        <f>IF(VLOOKUP($A172,raw_lb[],COLUMN(AK$1)-COLUMN($A$1),FALSE)=0, VLOOKUP($D172, regions_lb[], COLUMN(AK$1)-COLUMN($A$1), FALSE), VLOOKUP($A172,raw_lb[],COLUMN(AK$1)-COLUMN($A$1),FALSE))</f>
        <v>3.1336021777406712E-3</v>
      </c>
      <c r="AK172" s="72">
        <f>IF(VLOOKUP($A172,raw_lb[],COLUMN(AL$1)-COLUMN($A$1),FALSE)=0, VLOOKUP($D172, regions_lb[], COLUMN(AL$1)-COLUMN($A$1), FALSE), VLOOKUP($A172,raw_lb[],COLUMN(AL$1)-COLUMN($A$1),FALSE))</f>
        <v>4.2435307959932155E-3</v>
      </c>
      <c r="AL172" s="72">
        <f>IF(VLOOKUP($A172,raw_lb[],COLUMN(AM$1)-COLUMN($A$1),FALSE)=0, VLOOKUP($D172, regions_lb[], COLUMN(AM$1)-COLUMN($A$1), FALSE), VLOOKUP($A172,raw_lb[],COLUMN(AM$1)-COLUMN($A$1),FALSE))</f>
        <v>5.2386483541278228E-3</v>
      </c>
      <c r="AM172" s="72">
        <f>IF(VLOOKUP($A172,raw_lb[],COLUMN(AN$1)-COLUMN($A$1),FALSE)=0, VLOOKUP($D172, regions_lb[], COLUMN(AN$1)-COLUMN($A$1), FALSE), VLOOKUP($A172,raw_lb[],COLUMN(AN$1)-COLUMN($A$1),FALSE))</f>
        <v>6.2883559880270931E-3</v>
      </c>
      <c r="AN172" s="72">
        <f>IF(VLOOKUP($A172,raw_lb[],COLUMN(AO$1)-COLUMN($A$1),FALSE)=0, VLOOKUP($D172, regions_lb[], COLUMN(AO$1)-COLUMN($A$1), FALSE), VLOOKUP($A172,raw_lb[],COLUMN(AO$1)-COLUMN($A$1),FALSE))</f>
        <v>8.226972971980091E-3</v>
      </c>
      <c r="AO172" s="72">
        <f>IF(VLOOKUP($A172,raw_lb[],COLUMN(AP$1)-COLUMN($A$1),FALSE)=0, VLOOKUP($D172, regions_lb[], COLUMN(AP$1)-COLUMN($A$1), FALSE), VLOOKUP($A172,raw_lb[],COLUMN(AP$1)-COLUMN($A$1),FALSE))</f>
        <v>1.0761214925120423E-2</v>
      </c>
      <c r="AP172" s="72">
        <f>IF(VLOOKUP($A172,raw_lb[],COLUMN(AQ$1)-COLUMN($A$1),FALSE)=0, VLOOKUP($D172, regions_lb[], COLUMN(AQ$1)-COLUMN($A$1), FALSE), VLOOKUP($A172,raw_lb[],COLUMN(AQ$1)-COLUMN($A$1),FALSE))</f>
        <v>1.621948502401515E-2</v>
      </c>
      <c r="AQ172" s="72">
        <f>IF(VLOOKUP($A172,raw_lb[],COLUMN(AR$1)-COLUMN($A$1),FALSE)=0, VLOOKUP($D172, regions_lb[], COLUMN(AR$1)-COLUMN($A$1), FALSE), VLOOKUP($A172,raw_lb[],COLUMN(AR$1)-COLUMN($A$1),FALSE))</f>
        <v>2.5010644568960294E-2</v>
      </c>
      <c r="AR172" s="72">
        <f>IF(VLOOKUP($A172,raw_lb[],COLUMN(AS$1)-COLUMN($A$1),FALSE)=0, VLOOKUP($D172, regions_lb[], COLUMN(AS$1)-COLUMN($A$1), FALSE), VLOOKUP($A172,raw_lb[],COLUMN(AS$1)-COLUMN($A$1),FALSE))</f>
        <v>3.8940205357370423E-2</v>
      </c>
      <c r="AS172" s="82">
        <f>IF(VLOOKUP($A172,raw_lb[],COLUMN(AS$1),FALSE)=0, VLOOKUP($D172, regions_lb[], COLUMN(AS$1), FALSE), VLOOKUP($A172,raw_lb[],COLUMN(AS$1),FALSE))</f>
        <v>5.9350214718177308E-2</v>
      </c>
      <c r="AT172" s="82">
        <f>IF(VLOOKUP($A172,raw_lb[],COLUMN(AT$1),FALSE)=0, VLOOKUP($D172, regions_lb[], COLUMN(AT$1), FALSE), VLOOKUP($A172,raw_lb[],COLUMN(AT$1),FALSE))</f>
        <v>8.7105315335773981E-2</v>
      </c>
      <c r="AU172" s="82">
        <f>IF(VLOOKUP($A172,raw_lb[],COLUMN(AU$1),FALSE)=0, VLOOKUP($D172, regions_lb[], COLUMN(AU$1), FALSE), VLOOKUP($A172,raw_lb[],COLUMN(AU$1),FALSE))</f>
        <v>0.11833312994274543</v>
      </c>
      <c r="AV172" s="82">
        <f>IF(VLOOKUP($A172,raw_lb[],COLUMN(AV$1),FALSE)=0, VLOOKUP($D172, regions_lb[], COLUMN(AV$1), FALSE), VLOOKUP($A172,raw_lb[],COLUMN(AV$1),FALSE))</f>
        <v>0.14584669757808072</v>
      </c>
      <c r="AW172" s="82">
        <f>IF(VLOOKUP($A172,raw_lb[],COLUMN(AW$1),FALSE)=0, VLOOKUP($D172, regions_lb[], COLUMN(AW$1), FALSE), VLOOKUP($A172,raw_lb[],COLUMN(AW$1),FALSE))</f>
        <v>0.16582569402878344</v>
      </c>
      <c r="AX172" s="82">
        <f>IF(VLOOKUP($A172,raw_lb[],COLUMN(AX$1),FALSE)=0, VLOOKUP($D172, regions_lb[], COLUMN(AX$1), FALSE), VLOOKUP($A172,raw_lb[],COLUMN(AX$1),FALSE))</f>
        <v>63.213000000000001</v>
      </c>
      <c r="AY172" t="str">
        <f t="shared" ref="AY172:AY203" si="6">IF($K172=0,"Yes", "No")</f>
        <v>No</v>
      </c>
    </row>
    <row r="173" spans="1:51" x14ac:dyDescent="0.25">
      <c r="A173" s="55" t="s">
        <v>289</v>
      </c>
      <c r="B173" s="56" t="s">
        <v>290</v>
      </c>
      <c r="C173" s="56">
        <v>212</v>
      </c>
      <c r="D173" s="56" t="s">
        <v>215</v>
      </c>
      <c r="E173" s="56" t="s">
        <v>232</v>
      </c>
      <c r="F173" s="56" t="s">
        <v>217</v>
      </c>
      <c r="G173" s="56" t="s">
        <v>204</v>
      </c>
      <c r="H173" s="74"/>
      <c r="I173" s="74"/>
      <c r="J173" s="67">
        <f>IF(VLOOKUP($A173,raw_lb[],COLUMN(J$1),FALSE)=0, VLOOKUP($D173, regions_lb[], COLUMN(J$1), FALSE), VLOOKUP($A173,raw_lb[],COLUMN(J$1),FALSE))</f>
        <v>0.91035320956407795</v>
      </c>
      <c r="K173" s="77">
        <f>VLOOKUP($A173, raw_lb[], 11, FALSE)</f>
        <v>0.9405</v>
      </c>
      <c r="L173" s="77">
        <f>VLOOKUP($A173, raw_lb[], 12, FALSE)</f>
        <v>0.92149999999999999</v>
      </c>
      <c r="M173" s="77">
        <f>IF(VLOOKUP($A173,raw_lb[],COLUMN(M$1),FALSE)=0, VLOOKUP($D173, regions_lb[], COLUMN(M$1), FALSE), VLOOKUP($A173,raw_lb[],COLUMN(M$1),FALSE))</f>
        <v>4.8999999999999998E-3</v>
      </c>
      <c r="N173" s="68">
        <f>IF(VLOOKUP($A173,raw_lb[],COLUMN(N$1),FALSE)=0, VLOOKUP($D173, regions_lb[], COLUMN(N$1), FALSE), VLOOKUP($A173,raw_lb[],COLUMN(N$1),FALSE))</f>
        <v>0.16696882109103672</v>
      </c>
      <c r="O173" s="67">
        <f>IF(VLOOKUP($A173,raw_lb[],COLUMN(O$1),FALSE)=0, VLOOKUP($D173, regions_lb[], COLUMN(O$1), FALSE), VLOOKUP($A173,raw_lb[],COLUMN(O$1),FALSE))</f>
        <v>0.7</v>
      </c>
      <c r="P173" s="68">
        <f>IF(VLOOKUP($A173,raw_lb[],COLUMN(P$1),FALSE)=0, VLOOKUP($D173, regions_lb[], COLUMN(P$1), FALSE), VLOOKUP($A173,raw_lb[],COLUMN(P$1),FALSE))</f>
        <v>0.05</v>
      </c>
      <c r="Q173" s="70">
        <f>IF(VLOOKUP($A173,raw_lb[],COLUMN(Q$1),FALSE)=0, VLOOKUP($D173, regions_lb[], COLUMN(Q$1), FALSE), VLOOKUP($A173,raw_lb[],COLUMN(Q$1),FALSE))</f>
        <v>2.1174258346342603</v>
      </c>
      <c r="R173" s="70">
        <f>IF(VLOOKUP($A173,raw_lb[],COLUMN(R$1),FALSE)=0, VLOOKUP($D173, regions_lb[], COLUMN(R$1), FALSE), VLOOKUP($A173,raw_lb[],COLUMN(R$1),FALSE))</f>
        <v>9.1783258346342613</v>
      </c>
      <c r="S173" s="70">
        <f>IF(VLOOKUP($A173,raw_lb[],COLUMN(S$1),FALSE)=0, VLOOKUP($D173, regions_lb[], COLUMN(S$1), FALSE), VLOOKUP($A173,raw_lb[],COLUMN(S$1),FALSE))</f>
        <v>50.331084970063586</v>
      </c>
      <c r="T173" s="70">
        <f>IF(VLOOKUP($A173,raw_lb[],COLUMN(U$1)-COLUMN($A$1),FALSE)=0, VLOOKUP($D173, regions_lb[], COLUMN(U$1)-COLUMN($A$1), FALSE), VLOOKUP($A173,raw_lb[],COLUMN(U$1)-COLUMN($A$1),FALSE))</f>
        <v>56.541669036430285</v>
      </c>
      <c r="U173" s="70">
        <f>IF(VLOOKUP($A173,raw_lb[],COLUMN(V$1)-COLUMN($A$1),FALSE)=0, VLOOKUP($D173, regions_lb[], COLUMN(V$1)-COLUMN($A$1), FALSE), VLOOKUP($A173,raw_lb[],COLUMN(V$1)-COLUMN($A$1),FALSE))</f>
        <v>53.689900108178044</v>
      </c>
      <c r="V173" s="70">
        <f>IF(VLOOKUP($A173,raw_lb[],COLUMN(W$1)-COLUMN($A$1),FALSE)=0, VLOOKUP($D173, regions_lb[], COLUMN(W$1)-COLUMN($A$1), FALSE), VLOOKUP($A173,raw_lb[],COLUMN(W$1)-COLUMN($A$1),FALSE))</f>
        <v>5.0440883008331765</v>
      </c>
      <c r="W173" s="70">
        <f>IF(VLOOKUP($A173,raw_lb[],COLUMN(X$1)-COLUMN($A$1),FALSE)=0, VLOOKUP($D173, regions_lb[], COLUMN(X$1)-COLUMN($A$1), FALSE), VLOOKUP($A173,raw_lb[],COLUMN(X$1)-COLUMN($A$1),FALSE))</f>
        <v>5.0630883008331766</v>
      </c>
      <c r="X173" s="70">
        <f>IF(VLOOKUP($A173,raw_lb[],COLUMN(Y$1)-COLUMN($A$1),FALSE)=0, VLOOKUP($D173, regions_lb[], COLUMN(Y$1)-COLUMN($A$1), FALSE), VLOOKUP($A173,raw_lb[],COLUMN(Y$1)-COLUMN($A$1),FALSE))</f>
        <v>4.567541327287489</v>
      </c>
      <c r="Y173" s="70">
        <f>IF(VLOOKUP($A173,raw_lb[],COLUMN(Z$1)-COLUMN($A$1),FALSE)=0, VLOOKUP($D173, regions_lb[], COLUMN(Z$1)-COLUMN($A$1), FALSE), VLOOKUP($A173,raw_lb[],COLUMN(Z$1)-COLUMN($A$1),FALSE))</f>
        <v>4.5865413272874891</v>
      </c>
      <c r="Z173" s="70">
        <f>IF(VLOOKUP($A173,raw_lb[],COLUMN(AA$1)-COLUMN($A$1),FALSE)=0, VLOOKUP($D173, regions_lb[], COLUMN(AA$1)-COLUMN($A$1), FALSE), VLOOKUP($A173,raw_lb[],COLUMN(AA$1)-COLUMN($A$1),FALSE))</f>
        <v>4.5812774758703032</v>
      </c>
      <c r="AA173" s="70">
        <f>IF(VLOOKUP($A173,raw_lb[],COLUMN(AB$1)-COLUMN($A$1),FALSE)=0, VLOOKUP($D173, regions_lb[], COLUMN(AB$1)-COLUMN($A$1), FALSE), VLOOKUP($A173,raw_lb[],COLUMN(AB$1)-COLUMN($A$1),FALSE))</f>
        <v>5.2053971366630432</v>
      </c>
      <c r="AB173" s="70">
        <f>IF(VLOOKUP($A173,raw_lb[],COLUMN(AC$1)-COLUMN($A$1),FALSE)=0, VLOOKUP($D173, regions_lb[], COLUMN(AC$1)-COLUMN($A$1), FALSE), VLOOKUP($A173,raw_lb[],COLUMN(AC$1)-COLUMN($A$1),FALSE))</f>
        <v>5.2243971366630433</v>
      </c>
      <c r="AC173" s="72">
        <f>IF(VLOOKUP($A173,raw_lb[],COLUMN(AD$1)-COLUMN($A$1),FALSE)=0, VLOOKUP($D173, regions_lb[], COLUMN(AD$1)-COLUMN($A$1), FALSE), VLOOKUP($A173,raw_lb[],COLUMN(AD$1)-COLUMN($A$1),FALSE))</f>
        <v>1.3458668237832212E-2</v>
      </c>
      <c r="AD173" s="72">
        <f>IF(VLOOKUP($A173,raw_lb[],COLUMN(AE$1)-COLUMN($A$1),FALSE)=0, VLOOKUP($D173, regions_lb[], COLUMN(AE$1)-COLUMN($A$1), FALSE), VLOOKUP($A173,raw_lb[],COLUMN(AE$1)-COLUMN($A$1),FALSE))</f>
        <v>6.3435408495035074E-4</v>
      </c>
      <c r="AE173" s="72">
        <f>IF(VLOOKUP($A173,raw_lb[],COLUMN(AF$1)-COLUMN($A$1),FALSE)=0, VLOOKUP($D173, regions_lb[], COLUMN(AF$1)-COLUMN($A$1), FALSE), VLOOKUP($A173,raw_lb[],COLUMN(AF$1)-COLUMN($A$1),FALSE))</f>
        <v>2.7806894221095392E-4</v>
      </c>
      <c r="AF173" s="72">
        <f>IF(VLOOKUP($A173,raw_lb[],COLUMN(AG$1)-COLUMN($A$1),FALSE)=0, VLOOKUP($D173, regions_lb[], COLUMN(AG$1)-COLUMN($A$1), FALSE), VLOOKUP($A173,raw_lb[],COLUMN(AG$1)-COLUMN($A$1),FALSE))</f>
        <v>3.3677960658365407E-4</v>
      </c>
      <c r="AG173" s="72">
        <f>IF(VLOOKUP($A173,raw_lb[],COLUMN(AH$1)-COLUMN($A$1),FALSE)=0, VLOOKUP($D173, regions_lb[], COLUMN(AH$1)-COLUMN($A$1), FALSE), VLOOKUP($A173,raw_lb[],COLUMN(AH$1)-COLUMN($A$1),FALSE))</f>
        <v>9.0753629405173318E-4</v>
      </c>
      <c r="AH173" s="72">
        <f>IF(VLOOKUP($A173,raw_lb[],COLUMN(AI$1)-COLUMN($A$1),FALSE)=0, VLOOKUP($D173, regions_lb[], COLUMN(AI$1)-COLUMN($A$1), FALSE), VLOOKUP($A173,raw_lb[],COLUMN(AI$1)-COLUMN($A$1),FALSE))</f>
        <v>1.4372331183695466E-3</v>
      </c>
      <c r="AI173" s="72">
        <f>IF(VLOOKUP($A173,raw_lb[],COLUMN(AJ$1)-COLUMN($A$1),FALSE)=0, VLOOKUP($D173, regions_lb[], COLUMN(AJ$1)-COLUMN($A$1), FALSE), VLOOKUP($A173,raw_lb[],COLUMN(AJ$1)-COLUMN($A$1),FALSE))</f>
        <v>1.5833117598352301E-3</v>
      </c>
      <c r="AJ173" s="72">
        <f>IF(VLOOKUP($A173,raw_lb[],COLUMN(AK$1)-COLUMN($A$1),FALSE)=0, VLOOKUP($D173, regions_lb[], COLUMN(AK$1)-COLUMN($A$1), FALSE), VLOOKUP($A173,raw_lb[],COLUMN(AK$1)-COLUMN($A$1),FALSE))</f>
        <v>1.7705818719047528E-3</v>
      </c>
      <c r="AK173" s="72">
        <f>IF(VLOOKUP($A173,raw_lb[],COLUMN(AL$1)-COLUMN($A$1),FALSE)=0, VLOOKUP($D173, regions_lb[], COLUMN(AL$1)-COLUMN($A$1), FALSE), VLOOKUP($A173,raw_lb[],COLUMN(AL$1)-COLUMN($A$1),FALSE))</f>
        <v>2.0933468740203321E-3</v>
      </c>
      <c r="AL173" s="72">
        <f>IF(VLOOKUP($A173,raw_lb[],COLUMN(AM$1)-COLUMN($A$1),FALSE)=0, VLOOKUP($D173, regions_lb[], COLUMN(AM$1)-COLUMN($A$1), FALSE), VLOOKUP($A173,raw_lb[],COLUMN(AM$1)-COLUMN($A$1),FALSE))</f>
        <v>2.6666279695061355E-3</v>
      </c>
      <c r="AM173" s="72">
        <f>IF(VLOOKUP($A173,raw_lb[],COLUMN(AN$1)-COLUMN($A$1),FALSE)=0, VLOOKUP($D173, regions_lb[], COLUMN(AN$1)-COLUMN($A$1), FALSE), VLOOKUP($A173,raw_lb[],COLUMN(AN$1)-COLUMN($A$1),FALSE))</f>
        <v>3.7306826465588203E-3</v>
      </c>
      <c r="AN173" s="72">
        <f>IF(VLOOKUP($A173,raw_lb[],COLUMN(AO$1)-COLUMN($A$1),FALSE)=0, VLOOKUP($D173, regions_lb[], COLUMN(AO$1)-COLUMN($A$1), FALSE), VLOOKUP($A173,raw_lb[],COLUMN(AO$1)-COLUMN($A$1),FALSE))</f>
        <v>5.4283115898019789E-3</v>
      </c>
      <c r="AO173" s="72">
        <f>IF(VLOOKUP($A173,raw_lb[],COLUMN(AP$1)-COLUMN($A$1),FALSE)=0, VLOOKUP($D173, regions_lb[], COLUMN(AP$1)-COLUMN($A$1), FALSE), VLOOKUP($A173,raw_lb[],COLUMN(AP$1)-COLUMN($A$1),FALSE))</f>
        <v>7.9260924632041947E-3</v>
      </c>
      <c r="AP173" s="72">
        <f>IF(VLOOKUP($A173,raw_lb[],COLUMN(AQ$1)-COLUMN($A$1),FALSE)=0, VLOOKUP($D173, regions_lb[], COLUMN(AQ$1)-COLUMN($A$1), FALSE), VLOOKUP($A173,raw_lb[],COLUMN(AQ$1)-COLUMN($A$1),FALSE))</f>
        <v>1.1854981441840067E-2</v>
      </c>
      <c r="AQ173" s="72">
        <f>IF(VLOOKUP($A173,raw_lb[],COLUMN(AR$1)-COLUMN($A$1),FALSE)=0, VLOOKUP($D173, regions_lb[], COLUMN(AR$1)-COLUMN($A$1), FALSE), VLOOKUP($A173,raw_lb[],COLUMN(AR$1)-COLUMN($A$1),FALSE))</f>
        <v>1.7700895501278457E-2</v>
      </c>
      <c r="AR173" s="72">
        <f>IF(VLOOKUP($A173,raw_lb[],COLUMN(AS$1)-COLUMN($A$1),FALSE)=0, VLOOKUP($D173, regions_lb[], COLUMN(AS$1)-COLUMN($A$1), FALSE), VLOOKUP($A173,raw_lb[],COLUMN(AS$1)-COLUMN($A$1),FALSE))</f>
        <v>2.6112896865152238E-2</v>
      </c>
      <c r="AS173" s="82">
        <f>IF(VLOOKUP($A173,raw_lb[],COLUMN(AS$1),FALSE)=0, VLOOKUP($D173, regions_lb[], COLUMN(AS$1), FALSE), VLOOKUP($A173,raw_lb[],COLUMN(AS$1),FALSE))</f>
        <v>3.907513850639855E-2</v>
      </c>
      <c r="AT173" s="82">
        <f>IF(VLOOKUP($A173,raw_lb[],COLUMN(AT$1),FALSE)=0, VLOOKUP($D173, regions_lb[], COLUMN(AT$1), FALSE), VLOOKUP($A173,raw_lb[],COLUMN(AT$1),FALSE))</f>
        <v>5.7368798640359861E-2</v>
      </c>
      <c r="AU173" s="82">
        <f>IF(VLOOKUP($A173,raw_lb[],COLUMN(AU$1),FALSE)=0, VLOOKUP($D173, regions_lb[], COLUMN(AU$1), FALSE), VLOOKUP($A173,raw_lb[],COLUMN(AU$1),FALSE))</f>
        <v>8.1934837481490372E-2</v>
      </c>
      <c r="AV173" s="82">
        <f>IF(VLOOKUP($A173,raw_lb[],COLUMN(AV$1),FALSE)=0, VLOOKUP($D173, regions_lb[], COLUMN(AV$1), FALSE), VLOOKUP($A173,raw_lb[],COLUMN(AV$1),FALSE))</f>
        <v>0.10776636086498405</v>
      </c>
      <c r="AW173" s="82">
        <f>IF(VLOOKUP($A173,raw_lb[],COLUMN(AW$1),FALSE)=0, VLOOKUP($D173, regions_lb[], COLUMN(AW$1), FALSE), VLOOKUP($A173,raw_lb[],COLUMN(AW$1),FALSE))</f>
        <v>0.13870627685052614</v>
      </c>
      <c r="AX173" s="82">
        <f>IF(VLOOKUP($A173,raw_lb[],COLUMN(AX$1),FALSE)=0, VLOOKUP($D173, regions_lb[], COLUMN(AX$1), FALSE), VLOOKUP($A173,raw_lb[],COLUMN(AX$1),FALSE))</f>
        <v>71.644023597506688</v>
      </c>
      <c r="AY173" t="str">
        <f t="shared" si="6"/>
        <v>No</v>
      </c>
    </row>
    <row r="174" spans="1:51" x14ac:dyDescent="0.25">
      <c r="A174" s="53" t="s">
        <v>291</v>
      </c>
      <c r="B174" s="54" t="s">
        <v>292</v>
      </c>
      <c r="C174" s="54">
        <v>214</v>
      </c>
      <c r="D174" s="54" t="s">
        <v>215</v>
      </c>
      <c r="E174" s="54" t="s">
        <v>232</v>
      </c>
      <c r="F174" s="54" t="s">
        <v>217</v>
      </c>
      <c r="G174" s="54" t="s">
        <v>204</v>
      </c>
      <c r="H174" s="73"/>
      <c r="I174" s="73"/>
      <c r="J174" s="67">
        <f>IF(VLOOKUP($A174,raw_lb[],COLUMN(J$1),FALSE)=0, VLOOKUP($D174, regions_lb[], COLUMN(J$1), FALSE), VLOOKUP($A174,raw_lb[],COLUMN(J$1),FALSE))</f>
        <v>0.93005000000000004</v>
      </c>
      <c r="K174" s="77">
        <f>VLOOKUP($A174, raw_lb[], 11, FALSE)</f>
        <v>0.627</v>
      </c>
      <c r="L174" s="77">
        <f>VLOOKUP($A174, raw_lb[], 12, FALSE)</f>
        <v>0.76949999999999996</v>
      </c>
      <c r="M174" s="77">
        <f>IF(VLOOKUP($A174,raw_lb[],COLUMN(M$1),FALSE)=0, VLOOKUP($D174, regions_lb[], COLUMN(M$1), FALSE), VLOOKUP($A174,raw_lb[],COLUMN(M$1),FALSE))</f>
        <v>3.8E-3</v>
      </c>
      <c r="N174" s="68">
        <f>IF(VLOOKUP($A174,raw_lb[],COLUMN(N$1),FALSE)=0, VLOOKUP($D174, regions_lb[], COLUMN(N$1), FALSE), VLOOKUP($A174,raw_lb[],COLUMN(N$1),FALSE))</f>
        <v>0.16309999999999999</v>
      </c>
      <c r="O174" s="67">
        <f>IF(VLOOKUP($A174,raw_lb[],COLUMN(O$1),FALSE)=0, VLOOKUP($D174, regions_lb[], COLUMN(O$1), FALSE), VLOOKUP($A174,raw_lb[],COLUMN(O$1),FALSE))</f>
        <v>0.7</v>
      </c>
      <c r="P174" s="68">
        <f>IF(VLOOKUP($A174,raw_lb[],COLUMN(P$1),FALSE)=0, VLOOKUP($D174, regions_lb[], COLUMN(P$1), FALSE), VLOOKUP($A174,raw_lb[],COLUMN(P$1),FALSE))</f>
        <v>0.05</v>
      </c>
      <c r="Q174" s="70">
        <f>IF(VLOOKUP($A174,raw_lb[],COLUMN(Q$1),FALSE)=0, VLOOKUP($D174, regions_lb[], COLUMN(Q$1), FALSE), VLOOKUP($A174,raw_lb[],COLUMN(Q$1),FALSE))</f>
        <v>1.7761168264881502</v>
      </c>
      <c r="R174" s="70">
        <f>IF(VLOOKUP($A174,raw_lb[],COLUMN(R$1),FALSE)=0, VLOOKUP($D174, regions_lb[], COLUMN(R$1), FALSE), VLOOKUP($A174,raw_lb[],COLUMN(R$1),FALSE))</f>
        <v>8.837016826488151</v>
      </c>
      <c r="S174" s="70">
        <f>IF(VLOOKUP($A174,raw_lb[],COLUMN(S$1),FALSE)=0, VLOOKUP($D174, regions_lb[], COLUMN(S$1), FALSE), VLOOKUP($A174,raw_lb[],COLUMN(S$1),FALSE))</f>
        <v>47.16513968987271</v>
      </c>
      <c r="T174" s="70">
        <f>IF(VLOOKUP($A174,raw_lb[],COLUMN(U$1)-COLUMN($A$1),FALSE)=0, VLOOKUP($D174, regions_lb[], COLUMN(U$1)-COLUMN($A$1), FALSE), VLOOKUP($A174,raw_lb[],COLUMN(U$1)-COLUMN($A$1),FALSE))</f>
        <v>51.905599300919</v>
      </c>
      <c r="U174" s="70">
        <f>IF(VLOOKUP($A174,raw_lb[],COLUMN(V$1)-COLUMN($A$1),FALSE)=0, VLOOKUP($D174, regions_lb[], COLUMN(V$1)-COLUMN($A$1), FALSE), VLOOKUP($A174,raw_lb[],COLUMN(V$1)-COLUMN($A$1),FALSE))</f>
        <v>49.728880448077646</v>
      </c>
      <c r="V174" s="70">
        <f>IF(VLOOKUP($A174,raw_lb[],COLUMN(W$1)-COLUMN($A$1),FALSE)=0, VLOOKUP($D174, regions_lb[], COLUMN(W$1)-COLUMN($A$1), FALSE), VLOOKUP($A174,raw_lb[],COLUMN(W$1)-COLUMN($A$1),FALSE))</f>
        <v>2.4598690267022949</v>
      </c>
      <c r="W174" s="70">
        <f>IF(VLOOKUP($A174,raw_lb[],COLUMN(X$1)-COLUMN($A$1),FALSE)=0, VLOOKUP($D174, regions_lb[], COLUMN(X$1)-COLUMN($A$1), FALSE), VLOOKUP($A174,raw_lb[],COLUMN(X$1)-COLUMN($A$1),FALSE))</f>
        <v>2.478869026702295</v>
      </c>
      <c r="X174" s="70">
        <f>IF(VLOOKUP($A174,raw_lb[],COLUMN(Y$1)-COLUMN($A$1),FALSE)=0, VLOOKUP($D174, regions_lb[], COLUMN(Y$1)-COLUMN($A$1), FALSE), VLOOKUP($A174,raw_lb[],COLUMN(Y$1)-COLUMN($A$1),FALSE))</f>
        <v>1.982256930739912</v>
      </c>
      <c r="Y174" s="70">
        <f>IF(VLOOKUP($A174,raw_lb[],COLUMN(Z$1)-COLUMN($A$1),FALSE)=0, VLOOKUP($D174, regions_lb[], COLUMN(Z$1)-COLUMN($A$1), FALSE), VLOOKUP($A174,raw_lb[],COLUMN(Z$1)-COLUMN($A$1),FALSE))</f>
        <v>2.001256930739912</v>
      </c>
      <c r="Z174" s="70">
        <f>IF(VLOOKUP($A174,raw_lb[],COLUMN(AA$1)-COLUMN($A$1),FALSE)=0, VLOOKUP($D174, regions_lb[], COLUMN(AA$1)-COLUMN($A$1), FALSE), VLOOKUP($A174,raw_lb[],COLUMN(AA$1)-COLUMN($A$1),FALSE))</f>
        <v>1.9947366296161702</v>
      </c>
      <c r="AA174" s="70">
        <f>IF(VLOOKUP($A174,raw_lb[],COLUMN(AB$1)-COLUMN($A$1),FALSE)=0, VLOOKUP($D174, regions_lb[], COLUMN(AB$1)-COLUMN($A$1), FALSE), VLOOKUP($A174,raw_lb[],COLUMN(AB$1)-COLUMN($A$1),FALSE))</f>
        <v>2.6244645259893944</v>
      </c>
      <c r="AB174" s="70">
        <f>IF(VLOOKUP($A174,raw_lb[],COLUMN(AC$1)-COLUMN($A$1),FALSE)=0, VLOOKUP($D174, regions_lb[], COLUMN(AC$1)-COLUMN($A$1), FALSE), VLOOKUP($A174,raw_lb[],COLUMN(AC$1)-COLUMN($A$1),FALSE))</f>
        <v>2.6434645259893945</v>
      </c>
      <c r="AC174" s="72">
        <f>IF(VLOOKUP($A174,raw_lb[],COLUMN(AD$1)-COLUMN($A$1),FALSE)=0, VLOOKUP($D174, regions_lb[], COLUMN(AD$1)-COLUMN($A$1), FALSE), VLOOKUP($A174,raw_lb[],COLUMN(AD$1)-COLUMN($A$1),FALSE))</f>
        <v>2.4569973499999946E-2</v>
      </c>
      <c r="AD174" s="72">
        <f>IF(VLOOKUP($A174,raw_lb[],COLUMN(AE$1)-COLUMN($A$1),FALSE)=0, VLOOKUP($D174, regions_lb[], COLUMN(AE$1)-COLUMN($A$1), FALSE), VLOOKUP($A174,raw_lb[],COLUMN(AE$1)-COLUMN($A$1),FALSE))</f>
        <v>7.3489583142461812E-4</v>
      </c>
      <c r="AE174" s="72">
        <f>IF(VLOOKUP($A174,raw_lb[],COLUMN(AF$1)-COLUMN($A$1),FALSE)=0, VLOOKUP($D174, regions_lb[], COLUMN(AF$1)-COLUMN($A$1), FALSE), VLOOKUP($A174,raw_lb[],COLUMN(AF$1)-COLUMN($A$1),FALSE))</f>
        <v>3.53282994340754E-4</v>
      </c>
      <c r="AF174" s="72">
        <f>IF(VLOOKUP($A174,raw_lb[],COLUMN(AG$1)-COLUMN($A$1),FALSE)=0, VLOOKUP($D174, regions_lb[], COLUMN(AG$1)-COLUMN($A$1), FALSE), VLOOKUP($A174,raw_lb[],COLUMN(AG$1)-COLUMN($A$1),FALSE))</f>
        <v>3.5403911399834289E-4</v>
      </c>
      <c r="AG174" s="72">
        <f>IF(VLOOKUP($A174,raw_lb[],COLUMN(AH$1)-COLUMN($A$1),FALSE)=0, VLOOKUP($D174, regions_lb[], COLUMN(AH$1)-COLUMN($A$1), FALSE), VLOOKUP($A174,raw_lb[],COLUMN(AH$1)-COLUMN($A$1),FALSE))</f>
        <v>8.9216923611967964E-4</v>
      </c>
      <c r="AH174" s="72">
        <f>IF(VLOOKUP($A174,raw_lb[],COLUMN(AI$1)-COLUMN($A$1),FALSE)=0, VLOOKUP($D174, regions_lb[], COLUMN(AI$1)-COLUMN($A$1), FALSE), VLOOKUP($A174,raw_lb[],COLUMN(AI$1)-COLUMN($A$1),FALSE))</f>
        <v>1.5766090376971693E-3</v>
      </c>
      <c r="AI174" s="72">
        <f>IF(VLOOKUP($A174,raw_lb[],COLUMN(AJ$1)-COLUMN($A$1),FALSE)=0, VLOOKUP($D174, regions_lb[], COLUMN(AJ$1)-COLUMN($A$1), FALSE), VLOOKUP($A174,raw_lb[],COLUMN(AJ$1)-COLUMN($A$1),FALSE))</f>
        <v>1.9941348325666431E-3</v>
      </c>
      <c r="AJ174" s="72">
        <f>IF(VLOOKUP($A174,raw_lb[],COLUMN(AK$1)-COLUMN($A$1),FALSE)=0, VLOOKUP($D174, regions_lb[], COLUMN(AK$1)-COLUMN($A$1), FALSE), VLOOKUP($A174,raw_lb[],COLUMN(AK$1)-COLUMN($A$1),FALSE))</f>
        <v>2.4312495435624918E-3</v>
      </c>
      <c r="AK174" s="72">
        <f>IF(VLOOKUP($A174,raw_lb[],COLUMN(AL$1)-COLUMN($A$1),FALSE)=0, VLOOKUP($D174, regions_lb[], COLUMN(AL$1)-COLUMN($A$1), FALSE), VLOOKUP($A174,raw_lb[],COLUMN(AL$1)-COLUMN($A$1),FALSE))</f>
        <v>2.7005141090420634E-3</v>
      </c>
      <c r="AL174" s="72">
        <f>IF(VLOOKUP($A174,raw_lb[],COLUMN(AM$1)-COLUMN($A$1),FALSE)=0, VLOOKUP($D174, regions_lb[], COLUMN(AM$1)-COLUMN($A$1), FALSE), VLOOKUP($A174,raw_lb[],COLUMN(AM$1)-COLUMN($A$1),FALSE))</f>
        <v>3.3928944065910521E-3</v>
      </c>
      <c r="AM174" s="72">
        <f>IF(VLOOKUP($A174,raw_lb[],COLUMN(AN$1)-COLUMN($A$1),FALSE)=0, VLOOKUP($D174, regions_lb[], COLUMN(AN$1)-COLUMN($A$1), FALSE), VLOOKUP($A174,raw_lb[],COLUMN(AN$1)-COLUMN($A$1),FALSE))</f>
        <v>4.5272895516323252E-3</v>
      </c>
      <c r="AN174" s="72">
        <f>IF(VLOOKUP($A174,raw_lb[],COLUMN(AO$1)-COLUMN($A$1),FALSE)=0, VLOOKUP($D174, regions_lb[], COLUMN(AO$1)-COLUMN($A$1), FALSE), VLOOKUP($A174,raw_lb[],COLUMN(AO$1)-COLUMN($A$1),FALSE))</f>
        <v>5.9932348365053911E-3</v>
      </c>
      <c r="AO174" s="72">
        <f>IF(VLOOKUP($A174,raw_lb[],COLUMN(AP$1)-COLUMN($A$1),FALSE)=0, VLOOKUP($D174, regions_lb[], COLUMN(AP$1)-COLUMN($A$1), FALSE), VLOOKUP($A174,raw_lb[],COLUMN(AP$1)-COLUMN($A$1),FALSE))</f>
        <v>8.6917426455350357E-3</v>
      </c>
      <c r="AP174" s="72">
        <f>IF(VLOOKUP($A174,raw_lb[],COLUMN(AQ$1)-COLUMN($A$1),FALSE)=0, VLOOKUP($D174, regions_lb[], COLUMN(AQ$1)-COLUMN($A$1), FALSE), VLOOKUP($A174,raw_lb[],COLUMN(AQ$1)-COLUMN($A$1),FALSE))</f>
        <v>1.2821746606886841E-2</v>
      </c>
      <c r="AQ174" s="72">
        <f>IF(VLOOKUP($A174,raw_lb[],COLUMN(AR$1)-COLUMN($A$1),FALSE)=0, VLOOKUP($D174, regions_lb[], COLUMN(AR$1)-COLUMN($A$1), FALSE), VLOOKUP($A174,raw_lb[],COLUMN(AR$1)-COLUMN($A$1),FALSE))</f>
        <v>1.8872461897233399E-2</v>
      </c>
      <c r="AR174" s="72">
        <f>IF(VLOOKUP($A174,raw_lb[],COLUMN(AS$1)-COLUMN($A$1),FALSE)=0, VLOOKUP($D174, regions_lb[], COLUMN(AS$1)-COLUMN($A$1), FALSE), VLOOKUP($A174,raw_lb[],COLUMN(AS$1)-COLUMN($A$1),FALSE))</f>
        <v>2.7365621001182817E-2</v>
      </c>
      <c r="AS174" s="82">
        <f>IF(VLOOKUP($A174,raw_lb[],COLUMN(AS$1),FALSE)=0, VLOOKUP($D174, regions_lb[], COLUMN(AS$1), FALSE), VLOOKUP($A174,raw_lb[],COLUMN(AS$1),FALSE))</f>
        <v>3.9682877766530657E-2</v>
      </c>
      <c r="AT174" s="82">
        <f>IF(VLOOKUP($A174,raw_lb[],COLUMN(AT$1),FALSE)=0, VLOOKUP($D174, regions_lb[], COLUMN(AT$1), FALSE), VLOOKUP($A174,raw_lb[],COLUMN(AT$1),FALSE))</f>
        <v>5.4862468989533467E-2</v>
      </c>
      <c r="AU174" s="82">
        <f>IF(VLOOKUP($A174,raw_lb[],COLUMN(AU$1),FALSE)=0, VLOOKUP($D174, regions_lb[], COLUMN(AU$1), FALSE), VLOOKUP($A174,raw_lb[],COLUMN(AU$1),FALSE))</f>
        <v>7.2394293508525234E-2</v>
      </c>
      <c r="AV174" s="82">
        <f>IF(VLOOKUP($A174,raw_lb[],COLUMN(AV$1),FALSE)=0, VLOOKUP($D174, regions_lb[], COLUMN(AV$1), FALSE), VLOOKUP($A174,raw_lb[],COLUMN(AV$1),FALSE))</f>
        <v>9.1059541550266548E-2</v>
      </c>
      <c r="AW174" s="82">
        <f>IF(VLOOKUP($A174,raw_lb[],COLUMN(AW$1),FALSE)=0, VLOOKUP($D174, regions_lb[], COLUMN(AW$1), FALSE), VLOOKUP($A174,raw_lb[],COLUMN(AW$1),FALSE))</f>
        <v>0.10944282173746935</v>
      </c>
      <c r="AX174" s="82">
        <f>IF(VLOOKUP($A174,raw_lb[],COLUMN(AX$1),FALSE)=0, VLOOKUP($D174, regions_lb[], COLUMN(AX$1), FALSE), VLOOKUP($A174,raw_lb[],COLUMN(AX$1),FALSE))</f>
        <v>70.120450000000005</v>
      </c>
      <c r="AY174" t="str">
        <f t="shared" si="6"/>
        <v>No</v>
      </c>
    </row>
    <row r="175" spans="1:51" x14ac:dyDescent="0.25">
      <c r="A175" s="55" t="s">
        <v>293</v>
      </c>
      <c r="B175" s="56" t="s">
        <v>294</v>
      </c>
      <c r="C175" s="56">
        <v>218</v>
      </c>
      <c r="D175" s="56" t="s">
        <v>215</v>
      </c>
      <c r="E175" s="56" t="s">
        <v>240</v>
      </c>
      <c r="F175" s="56" t="s">
        <v>217</v>
      </c>
      <c r="G175" s="56" t="s">
        <v>204</v>
      </c>
      <c r="H175" s="74"/>
      <c r="I175" s="74"/>
      <c r="J175" s="67">
        <f>IF(VLOOKUP($A175,raw_lb[],COLUMN(J$1),FALSE)=0, VLOOKUP($D175, regions_lb[], COLUMN(J$1), FALSE), VLOOKUP($A175,raw_lb[],COLUMN(J$1),FALSE))</f>
        <v>0.88634999999999986</v>
      </c>
      <c r="K175" s="77">
        <f>VLOOKUP($A175, raw_lb[], 11, FALSE)</f>
        <v>0.58899999999999997</v>
      </c>
      <c r="L175" s="77">
        <f>VLOOKUP($A175, raw_lb[], 12, FALSE)</f>
        <v>0.66499999999999992</v>
      </c>
      <c r="M175" s="77">
        <f>IF(VLOOKUP($A175,raw_lb[],COLUMN(M$1),FALSE)=0, VLOOKUP($D175, regions_lb[], COLUMN(M$1), FALSE), VLOOKUP($A175,raw_lb[],COLUMN(M$1),FALSE))</f>
        <v>4.1999999999999997E-3</v>
      </c>
      <c r="N175" s="68">
        <f>IF(VLOOKUP($A175,raw_lb[],COLUMN(N$1),FALSE)=0, VLOOKUP($D175, regions_lb[], COLUMN(N$1), FALSE), VLOOKUP($A175,raw_lb[],COLUMN(N$1),FALSE))</f>
        <v>0.16269999999999998</v>
      </c>
      <c r="O175" s="67">
        <f>IF(VLOOKUP($A175,raw_lb[],COLUMN(O$1),FALSE)=0, VLOOKUP($D175, regions_lb[], COLUMN(O$1), FALSE), VLOOKUP($A175,raw_lb[],COLUMN(O$1),FALSE))</f>
        <v>0.7</v>
      </c>
      <c r="P175" s="68">
        <f>IF(VLOOKUP($A175,raw_lb[],COLUMN(P$1),FALSE)=0, VLOOKUP($D175, regions_lb[], COLUMN(P$1), FALSE), VLOOKUP($A175,raw_lb[],COLUMN(P$1),FALSE))</f>
        <v>0.05</v>
      </c>
      <c r="Q175" s="70">
        <f>IF(VLOOKUP($A175,raw_lb[],COLUMN(Q$1),FALSE)=0, VLOOKUP($D175, regions_lb[], COLUMN(Q$1), FALSE), VLOOKUP($A175,raw_lb[],COLUMN(Q$1),FALSE))</f>
        <v>2.1174258346342603</v>
      </c>
      <c r="R175" s="70">
        <f>IF(VLOOKUP($A175,raw_lb[],COLUMN(R$1),FALSE)=0, VLOOKUP($D175, regions_lb[], COLUMN(R$1), FALSE), VLOOKUP($A175,raw_lb[],COLUMN(R$1),FALSE))</f>
        <v>9.1783258346342613</v>
      </c>
      <c r="S175" s="70">
        <f>IF(VLOOKUP($A175,raw_lb[],COLUMN(S$1),FALSE)=0, VLOOKUP($D175, regions_lb[], COLUMN(S$1), FALSE), VLOOKUP($A175,raw_lb[],COLUMN(S$1),FALSE))</f>
        <v>50.331084970063586</v>
      </c>
      <c r="T175" s="70">
        <f>IF(VLOOKUP($A175,raw_lb[],COLUMN(U$1)-COLUMN($A$1),FALSE)=0, VLOOKUP($D175, regions_lb[], COLUMN(U$1)-COLUMN($A$1), FALSE), VLOOKUP($A175,raw_lb[],COLUMN(U$1)-COLUMN($A$1),FALSE))</f>
        <v>56.541669036430285</v>
      </c>
      <c r="U175" s="70">
        <f>IF(VLOOKUP($A175,raw_lb[],COLUMN(V$1)-COLUMN($A$1),FALSE)=0, VLOOKUP($D175, regions_lb[], COLUMN(V$1)-COLUMN($A$1), FALSE), VLOOKUP($A175,raw_lb[],COLUMN(V$1)-COLUMN($A$1),FALSE))</f>
        <v>53.689900108178044</v>
      </c>
      <c r="V175" s="70">
        <f>IF(VLOOKUP($A175,raw_lb[],COLUMN(W$1)-COLUMN($A$1),FALSE)=0, VLOOKUP($D175, regions_lb[], COLUMN(W$1)-COLUMN($A$1), FALSE), VLOOKUP($A175,raw_lb[],COLUMN(W$1)-COLUMN($A$1),FALSE))</f>
        <v>1.6091070127880149</v>
      </c>
      <c r="W175" s="70">
        <f>IF(VLOOKUP($A175,raw_lb[],COLUMN(X$1)-COLUMN($A$1),FALSE)=0, VLOOKUP($D175, regions_lb[], COLUMN(X$1)-COLUMN($A$1), FALSE), VLOOKUP($A175,raw_lb[],COLUMN(X$1)-COLUMN($A$1),FALSE))</f>
        <v>1.6281070127880148</v>
      </c>
      <c r="X175" s="70">
        <f>IF(VLOOKUP($A175,raw_lb[],COLUMN(Y$1)-COLUMN($A$1),FALSE)=0, VLOOKUP($D175, regions_lb[], COLUMN(Y$1)-COLUMN($A$1), FALSE), VLOOKUP($A175,raw_lb[],COLUMN(Y$1)-COLUMN($A$1),FALSE))</f>
        <v>1.1338296284373943</v>
      </c>
      <c r="Y175" s="70">
        <f>IF(VLOOKUP($A175,raw_lb[],COLUMN(Z$1)-COLUMN($A$1),FALSE)=0, VLOOKUP($D175, regions_lb[], COLUMN(Z$1)-COLUMN($A$1), FALSE), VLOOKUP($A175,raw_lb[],COLUMN(Z$1)-COLUMN($A$1),FALSE))</f>
        <v>1.1528296284373942</v>
      </c>
      <c r="Z175" s="70">
        <f>IF(VLOOKUP($A175,raw_lb[],COLUMN(AA$1)-COLUMN($A$1),FALSE)=0, VLOOKUP($D175, regions_lb[], COLUMN(AA$1)-COLUMN($A$1), FALSE), VLOOKUP($A175,raw_lb[],COLUMN(AA$1)-COLUMN($A$1),FALSE))</f>
        <v>1.1479716747680859</v>
      </c>
      <c r="AA175" s="70">
        <f>IF(VLOOKUP($A175,raw_lb[],COLUMN(AB$1)-COLUMN($A$1),FALSE)=0, VLOOKUP($D175, regions_lb[], COLUMN(AB$1)-COLUMN($A$1), FALSE), VLOOKUP($A175,raw_lb[],COLUMN(AB$1)-COLUMN($A$1),FALSE))</f>
        <v>1.7664982591016756</v>
      </c>
      <c r="AB175" s="70">
        <f>IF(VLOOKUP($A175,raw_lb[],COLUMN(AC$1)-COLUMN($A$1),FALSE)=0, VLOOKUP($D175, regions_lb[], COLUMN(AC$1)-COLUMN($A$1), FALSE), VLOOKUP($A175,raw_lb[],COLUMN(AC$1)-COLUMN($A$1),FALSE))</f>
        <v>1.7854982591016755</v>
      </c>
      <c r="AC175" s="72">
        <f>IF(VLOOKUP($A175,raw_lb[],COLUMN(AD$1)-COLUMN($A$1),FALSE)=0, VLOOKUP($D175, regions_lb[], COLUMN(AD$1)-COLUMN($A$1), FALSE), VLOOKUP($A175,raw_lb[],COLUMN(AD$1)-COLUMN($A$1),FALSE))</f>
        <v>1.2923799999999945E-2</v>
      </c>
      <c r="AD175" s="72">
        <f>IF(VLOOKUP($A175,raw_lb[],COLUMN(AE$1)-COLUMN($A$1),FALSE)=0, VLOOKUP($D175, regions_lb[], COLUMN(AE$1)-COLUMN($A$1), FALSE), VLOOKUP($A175,raw_lb[],COLUMN(AE$1)-COLUMN($A$1),FALSE))</f>
        <v>6.5328656036723806E-4</v>
      </c>
      <c r="AE175" s="72">
        <f>IF(VLOOKUP($A175,raw_lb[],COLUMN(AF$1)-COLUMN($A$1),FALSE)=0, VLOOKUP($D175, regions_lb[], COLUMN(AF$1)-COLUMN($A$1), FALSE), VLOOKUP($A175,raw_lb[],COLUMN(AF$1)-COLUMN($A$1),FALSE))</f>
        <v>3.7401896469180587E-4</v>
      </c>
      <c r="AF175" s="72">
        <f>IF(VLOOKUP($A175,raw_lb[],COLUMN(AG$1)-COLUMN($A$1),FALSE)=0, VLOOKUP($D175, regions_lb[], COLUMN(AG$1)-COLUMN($A$1), FALSE), VLOOKUP($A175,raw_lb[],COLUMN(AG$1)-COLUMN($A$1),FALSE))</f>
        <v>4.7050310368360824E-4</v>
      </c>
      <c r="AG175" s="72">
        <f>IF(VLOOKUP($A175,raw_lb[],COLUMN(AH$1)-COLUMN($A$1),FALSE)=0, VLOOKUP($D175, regions_lb[], COLUMN(AH$1)-COLUMN($A$1), FALSE), VLOOKUP($A175,raw_lb[],COLUMN(AH$1)-COLUMN($A$1),FALSE))</f>
        <v>9.7780478667330709E-4</v>
      </c>
      <c r="AH175" s="72">
        <f>IF(VLOOKUP($A175,raw_lb[],COLUMN(AI$1)-COLUMN($A$1),FALSE)=0, VLOOKUP($D175, regions_lb[], COLUMN(AI$1)-COLUMN($A$1), FALSE), VLOOKUP($A175,raw_lb[],COLUMN(AI$1)-COLUMN($A$1),FALSE))</f>
        <v>1.5409950033425897E-3</v>
      </c>
      <c r="AI175" s="72">
        <f>IF(VLOOKUP($A175,raw_lb[],COLUMN(AJ$1)-COLUMN($A$1),FALSE)=0, VLOOKUP($D175, regions_lb[], COLUMN(AJ$1)-COLUMN($A$1), FALSE), VLOOKUP($A175,raw_lb[],COLUMN(AJ$1)-COLUMN($A$1),FALSE))</f>
        <v>1.8534081016670435E-3</v>
      </c>
      <c r="AJ175" s="72">
        <f>IF(VLOOKUP($A175,raw_lb[],COLUMN(AK$1)-COLUMN($A$1),FALSE)=0, VLOOKUP($D175, regions_lb[], COLUMN(AK$1)-COLUMN($A$1), FALSE), VLOOKUP($A175,raw_lb[],COLUMN(AK$1)-COLUMN($A$1),FALSE))</f>
        <v>1.9231592522342242E-3</v>
      </c>
      <c r="AK175" s="72">
        <f>IF(VLOOKUP($A175,raw_lb[],COLUMN(AL$1)-COLUMN($A$1),FALSE)=0, VLOOKUP($D175, regions_lb[], COLUMN(AL$1)-COLUMN($A$1), FALSE), VLOOKUP($A175,raw_lb[],COLUMN(AL$1)-COLUMN($A$1),FALSE))</f>
        <v>2.0600022006615703E-3</v>
      </c>
      <c r="AL175" s="72">
        <f>IF(VLOOKUP($A175,raw_lb[],COLUMN(AM$1)-COLUMN($A$1),FALSE)=0, VLOOKUP($D175, regions_lb[], COLUMN(AM$1)-COLUMN($A$1), FALSE), VLOOKUP($A175,raw_lb[],COLUMN(AM$1)-COLUMN($A$1),FALSE))</f>
        <v>2.5751877596852119E-3</v>
      </c>
      <c r="AM175" s="72">
        <f>IF(VLOOKUP($A175,raw_lb[],COLUMN(AN$1)-COLUMN($A$1),FALSE)=0, VLOOKUP($D175, regions_lb[], COLUMN(AN$1)-COLUMN($A$1), FALSE), VLOOKUP($A175,raw_lb[],COLUMN(AN$1)-COLUMN($A$1),FALSE))</f>
        <v>3.2782186365680611E-3</v>
      </c>
      <c r="AN175" s="72">
        <f>IF(VLOOKUP($A175,raw_lb[],COLUMN(AO$1)-COLUMN($A$1),FALSE)=0, VLOOKUP($D175, regions_lb[], COLUMN(AO$1)-COLUMN($A$1), FALSE), VLOOKUP($A175,raw_lb[],COLUMN(AO$1)-COLUMN($A$1),FALSE))</f>
        <v>4.7784204154738318E-3</v>
      </c>
      <c r="AO175" s="72">
        <f>IF(VLOOKUP($A175,raw_lb[],COLUMN(AP$1)-COLUMN($A$1),FALSE)=0, VLOOKUP($D175, regions_lb[], COLUMN(AP$1)-COLUMN($A$1), FALSE), VLOOKUP($A175,raw_lb[],COLUMN(AP$1)-COLUMN($A$1),FALSE))</f>
        <v>6.515383065888369E-3</v>
      </c>
      <c r="AP175" s="72">
        <f>IF(VLOOKUP($A175,raw_lb[],COLUMN(AQ$1)-COLUMN($A$1),FALSE)=0, VLOOKUP($D175, regions_lb[], COLUMN(AQ$1)-COLUMN($A$1), FALSE), VLOOKUP($A175,raw_lb[],COLUMN(AQ$1)-COLUMN($A$1),FALSE))</f>
        <v>9.4734881439116434E-3</v>
      </c>
      <c r="AQ175" s="72">
        <f>IF(VLOOKUP($A175,raw_lb[],COLUMN(AR$1)-COLUMN($A$1),FALSE)=0, VLOOKUP($D175, regions_lb[], COLUMN(AR$1)-COLUMN($A$1), FALSE), VLOOKUP($A175,raw_lb[],COLUMN(AR$1)-COLUMN($A$1),FALSE))</f>
        <v>1.3282573798368644E-2</v>
      </c>
      <c r="AR175" s="72">
        <f>IF(VLOOKUP($A175,raw_lb[],COLUMN(AS$1)-COLUMN($A$1),FALSE)=0, VLOOKUP($D175, regions_lb[], COLUMN(AS$1)-COLUMN($A$1), FALSE), VLOOKUP($A175,raw_lb[],COLUMN(AS$1)-COLUMN($A$1),FALSE))</f>
        <v>2.1675092761499894E-2</v>
      </c>
      <c r="AS175" s="82">
        <f>IF(VLOOKUP($A175,raw_lb[],COLUMN(AS$1),FALSE)=0, VLOOKUP($D175, regions_lb[], COLUMN(AS$1), FALSE), VLOOKUP($A175,raw_lb[],COLUMN(AS$1),FALSE))</f>
        <v>3.4696168861791263E-2</v>
      </c>
      <c r="AT175" s="82">
        <f>IF(VLOOKUP($A175,raw_lb[],COLUMN(AT$1),FALSE)=0, VLOOKUP($D175, regions_lb[], COLUMN(AT$1), FALSE), VLOOKUP($A175,raw_lb[],COLUMN(AT$1),FALSE))</f>
        <v>5.3129074960459544E-2</v>
      </c>
      <c r="AU175" s="82">
        <f>IF(VLOOKUP($A175,raw_lb[],COLUMN(AU$1),FALSE)=0, VLOOKUP($D175, regions_lb[], COLUMN(AU$1), FALSE), VLOOKUP($A175,raw_lb[],COLUMN(AU$1),FALSE))</f>
        <v>8.0870584271451162E-2</v>
      </c>
      <c r="AV175" s="82">
        <f>IF(VLOOKUP($A175,raw_lb[],COLUMN(AV$1),FALSE)=0, VLOOKUP($D175, regions_lb[], COLUMN(AV$1), FALSE), VLOOKUP($A175,raw_lb[],COLUMN(AV$1),FALSE))</f>
        <v>0.10356603485342179</v>
      </c>
      <c r="AW175" s="82">
        <f>IF(VLOOKUP($A175,raw_lb[],COLUMN(AW$1),FALSE)=0, VLOOKUP($D175, regions_lb[], COLUMN(AW$1), FALSE), VLOOKUP($A175,raw_lb[],COLUMN(AW$1),FALSE))</f>
        <v>0.13273362241408837</v>
      </c>
      <c r="AX175" s="82">
        <f>IF(VLOOKUP($A175,raw_lb[],COLUMN(AX$1),FALSE)=0, VLOOKUP($D175, regions_lb[], COLUMN(AX$1), FALSE), VLOOKUP($A175,raw_lb[],COLUMN(AX$1),FALSE))</f>
        <v>72.866900000000001</v>
      </c>
      <c r="AY175" t="str">
        <f t="shared" si="6"/>
        <v>No</v>
      </c>
    </row>
    <row r="176" spans="1:51" x14ac:dyDescent="0.25">
      <c r="A176" s="53" t="s">
        <v>295</v>
      </c>
      <c r="B176" s="54" t="s">
        <v>296</v>
      </c>
      <c r="C176" s="54">
        <v>818</v>
      </c>
      <c r="D176" s="54" t="s">
        <v>196</v>
      </c>
      <c r="E176" s="54" t="s">
        <v>197</v>
      </c>
      <c r="F176" s="54" t="s">
        <v>197</v>
      </c>
      <c r="G176" s="54" t="s">
        <v>212</v>
      </c>
      <c r="H176" s="73"/>
      <c r="I176" s="73"/>
      <c r="J176" s="67">
        <f>IF(VLOOKUP($A176,raw_lb[],COLUMN(J$1),FALSE)=0, VLOOKUP($D176, regions_lb[], COLUMN(J$1), FALSE), VLOOKUP($A176,raw_lb[],COLUMN(J$1),FALSE))</f>
        <v>0.82364999999999999</v>
      </c>
      <c r="K176" s="77">
        <f>VLOOKUP($A176, raw_lb[], 11, FALSE)</f>
        <v>0.874</v>
      </c>
      <c r="L176" s="77">
        <f>VLOOKUP($A176, raw_lb[], 12, FALSE)</f>
        <v>0.8929999999999999</v>
      </c>
      <c r="M176" s="77">
        <f>IF(VLOOKUP($A176,raw_lb[],COLUMN(M$1),FALSE)=0, VLOOKUP($D176, regions_lb[], COLUMN(M$1), FALSE), VLOOKUP($A176,raw_lb[],COLUMN(M$1),FALSE))</f>
        <v>1.3899999999999999E-2</v>
      </c>
      <c r="N176" s="68">
        <f>IF(VLOOKUP($A176,raw_lb[],COLUMN(N$1),FALSE)=0, VLOOKUP($D176, regions_lb[], COLUMN(N$1), FALSE), VLOOKUP($A176,raw_lb[],COLUMN(N$1),FALSE))</f>
        <v>0.14980000000000002</v>
      </c>
      <c r="O176" s="67">
        <f>IF(VLOOKUP($A176,raw_lb[],COLUMN(O$1),FALSE)=0, VLOOKUP($D176, regions_lb[], COLUMN(O$1), FALSE), VLOOKUP($A176,raw_lb[],COLUMN(O$1),FALSE))</f>
        <v>0.7</v>
      </c>
      <c r="P176" s="68">
        <f>IF(VLOOKUP($A176,raw_lb[],COLUMN(P$1),FALSE)=0, VLOOKUP($D176, regions_lb[], COLUMN(P$1), FALSE), VLOOKUP($A176,raw_lb[],COLUMN(P$1),FALSE))</f>
        <v>0.05</v>
      </c>
      <c r="Q176" s="70">
        <f>IF(VLOOKUP($A176,raw_lb[],COLUMN(Q$1),FALSE)=0, VLOOKUP($D176, regions_lb[], COLUMN(Q$1), FALSE), VLOOKUP($A176,raw_lb[],COLUMN(Q$1),FALSE))</f>
        <v>1.3020815871657816</v>
      </c>
      <c r="R176" s="70">
        <f>IF(VLOOKUP($A176,raw_lb[],COLUMN(R$1),FALSE)=0, VLOOKUP($D176, regions_lb[], COLUMN(R$1), FALSE), VLOOKUP($A176,raw_lb[],COLUMN(R$1),FALSE))</f>
        <v>8.362981587165784</v>
      </c>
      <c r="S176" s="70">
        <f>IF(VLOOKUP($A176,raw_lb[],COLUMN(S$1),FALSE)=0, VLOOKUP($D176, regions_lb[], COLUMN(S$1), FALSE), VLOOKUP($A176,raw_lb[],COLUMN(S$1),FALSE))</f>
        <v>43.296947842982554</v>
      </c>
      <c r="T176" s="70">
        <f>IF(VLOOKUP($A176,raw_lb[],COLUMN(U$1)-COLUMN($A$1),FALSE)=0, VLOOKUP($D176, regions_lb[], COLUMN(U$1)-COLUMN($A$1), FALSE), VLOOKUP($A176,raw_lb[],COLUMN(U$1)-COLUMN($A$1),FALSE))</f>
        <v>46.258018491038726</v>
      </c>
      <c r="U176" s="70">
        <f>IF(VLOOKUP($A176,raw_lb[],COLUMN(V$1)-COLUMN($A$1),FALSE)=0, VLOOKUP($D176, regions_lb[], COLUMN(V$1)-COLUMN($A$1), FALSE), VLOOKUP($A176,raw_lb[],COLUMN(V$1)-COLUMN($A$1),FALSE))</f>
        <v>44.905306491715322</v>
      </c>
      <c r="V176" s="70">
        <f>IF(VLOOKUP($A176,raw_lb[],COLUMN(W$1)-COLUMN($A$1),FALSE)=0, VLOOKUP($D176, regions_lb[], COLUMN(W$1)-COLUMN($A$1), FALSE), VLOOKUP($A176,raw_lb[],COLUMN(W$1)-COLUMN($A$1),FALSE))</f>
        <v>1.3025830421532136</v>
      </c>
      <c r="W176" s="70">
        <f>IF(VLOOKUP($A176,raw_lb[],COLUMN(X$1)-COLUMN($A$1),FALSE)=0, VLOOKUP($D176, regions_lb[], COLUMN(X$1)-COLUMN($A$1), FALSE), VLOOKUP($A176,raw_lb[],COLUMN(X$1)-COLUMN($A$1),FALSE))</f>
        <v>1.7585830421532136</v>
      </c>
      <c r="X176" s="70">
        <f>IF(VLOOKUP($A176,raw_lb[],COLUMN(Y$1)-COLUMN($A$1),FALSE)=0, VLOOKUP($D176, regions_lb[], COLUMN(Y$1)-COLUMN($A$1), FALSE), VLOOKUP($A176,raw_lb[],COLUMN(Y$1)-COLUMN($A$1),FALSE))</f>
        <v>0.82621199865221717</v>
      </c>
      <c r="Y176" s="70">
        <f>IF(VLOOKUP($A176,raw_lb[],COLUMN(Z$1)-COLUMN($A$1),FALSE)=0, VLOOKUP($D176, regions_lb[], COLUMN(Z$1)-COLUMN($A$1), FALSE), VLOOKUP($A176,raw_lb[],COLUMN(Z$1)-COLUMN($A$1),FALSE))</f>
        <v>1.2822119986522171</v>
      </c>
      <c r="Z176" s="70">
        <f>IF(VLOOKUP($A176,raw_lb[],COLUMN(AA$1)-COLUMN($A$1),FALSE)=0, VLOOKUP($D176, regions_lb[], COLUMN(AA$1)-COLUMN($A$1), FALSE), VLOOKUP($A176,raw_lb[],COLUMN(AA$1)-COLUMN($A$1),FALSE))</f>
        <v>1.2767836422985388</v>
      </c>
      <c r="AA176" s="70">
        <f>IF(VLOOKUP($A176,raw_lb[],COLUMN(AB$1)-COLUMN($A$1),FALSE)=0, VLOOKUP($D176, regions_lb[], COLUMN(AB$1)-COLUMN($A$1), FALSE), VLOOKUP($A176,raw_lb[],COLUMN(AB$1)-COLUMN($A$1),FALSE))</f>
        <v>1.4633490081308915</v>
      </c>
      <c r="AB176" s="70">
        <f>IF(VLOOKUP($A176,raw_lb[],COLUMN(AC$1)-COLUMN($A$1),FALSE)=0, VLOOKUP($D176, regions_lb[], COLUMN(AC$1)-COLUMN($A$1), FALSE), VLOOKUP($A176,raw_lb[],COLUMN(AC$1)-COLUMN($A$1),FALSE))</f>
        <v>1.9193490081308915</v>
      </c>
      <c r="AC176" s="72">
        <f>IF(VLOOKUP($A176,raw_lb[],COLUMN(AD$1)-COLUMN($A$1),FALSE)=0, VLOOKUP($D176, regions_lb[], COLUMN(AD$1)-COLUMN($A$1), FALSE), VLOOKUP($A176,raw_lb[],COLUMN(AD$1)-COLUMN($A$1),FALSE))</f>
        <v>1.4822850000000026E-2</v>
      </c>
      <c r="AD176" s="72">
        <f>IF(VLOOKUP($A176,raw_lb[],COLUMN(AE$1)-COLUMN($A$1),FALSE)=0, VLOOKUP($D176, regions_lb[], COLUMN(AE$1)-COLUMN($A$1), FALSE), VLOOKUP($A176,raw_lb[],COLUMN(AE$1)-COLUMN($A$1),FALSE))</f>
        <v>1.043044117363202E-3</v>
      </c>
      <c r="AE176" s="72">
        <f>IF(VLOOKUP($A176,raw_lb[],COLUMN(AF$1)-COLUMN($A$1),FALSE)=0, VLOOKUP($D176, regions_lb[], COLUMN(AF$1)-COLUMN($A$1), FALSE), VLOOKUP($A176,raw_lb[],COLUMN(AF$1)-COLUMN($A$1),FALSE))</f>
        <v>3.819294172308191E-4</v>
      </c>
      <c r="AF176" s="72">
        <f>IF(VLOOKUP($A176,raw_lb[],COLUMN(AG$1)-COLUMN($A$1),FALSE)=0, VLOOKUP($D176, regions_lb[], COLUMN(AG$1)-COLUMN($A$1), FALSE), VLOOKUP($A176,raw_lb[],COLUMN(AG$1)-COLUMN($A$1),FALSE))</f>
        <v>3.2037054232063528E-4</v>
      </c>
      <c r="AG176" s="72">
        <f>IF(VLOOKUP($A176,raw_lb[],COLUMN(AH$1)-COLUMN($A$1),FALSE)=0, VLOOKUP($D176, regions_lb[], COLUMN(AH$1)-COLUMN($A$1), FALSE), VLOOKUP($A176,raw_lb[],COLUMN(AH$1)-COLUMN($A$1),FALSE))</f>
        <v>4.6500511513891045E-4</v>
      </c>
      <c r="AH176" s="72">
        <f>IF(VLOOKUP($A176,raw_lb[],COLUMN(AI$1)-COLUMN($A$1),FALSE)=0, VLOOKUP($D176, regions_lb[], COLUMN(AI$1)-COLUMN($A$1), FALSE), VLOOKUP($A176,raw_lb[],COLUMN(AI$1)-COLUMN($A$1),FALSE))</f>
        <v>6.9787400661752415E-4</v>
      </c>
      <c r="AI176" s="72">
        <f>IF(VLOOKUP($A176,raw_lb[],COLUMN(AJ$1)-COLUMN($A$1),FALSE)=0, VLOOKUP($D176, regions_lb[], COLUMN(AJ$1)-COLUMN($A$1), FALSE), VLOOKUP($A176,raw_lb[],COLUMN(AJ$1)-COLUMN($A$1),FALSE))</f>
        <v>8.6135671549360205E-4</v>
      </c>
      <c r="AJ176" s="72">
        <f>IF(VLOOKUP($A176,raw_lb[],COLUMN(AK$1)-COLUMN($A$1),FALSE)=0, VLOOKUP($D176, regions_lb[], COLUMN(AK$1)-COLUMN($A$1), FALSE), VLOOKUP($A176,raw_lb[],COLUMN(AK$1)-COLUMN($A$1),FALSE))</f>
        <v>1.1354090665291153E-3</v>
      </c>
      <c r="AK176" s="72">
        <f>IF(VLOOKUP($A176,raw_lb[],COLUMN(AL$1)-COLUMN($A$1),FALSE)=0, VLOOKUP($D176, regions_lb[], COLUMN(AL$1)-COLUMN($A$1), FALSE), VLOOKUP($A176,raw_lb[],COLUMN(AL$1)-COLUMN($A$1),FALSE))</f>
        <v>1.3682965484051821E-3</v>
      </c>
      <c r="AL176" s="72">
        <f>IF(VLOOKUP($A176,raw_lb[],COLUMN(AM$1)-COLUMN($A$1),FALSE)=0, VLOOKUP($D176, regions_lb[], COLUMN(AM$1)-COLUMN($A$1), FALSE), VLOOKUP($A176,raw_lb[],COLUMN(AM$1)-COLUMN($A$1),FALSE))</f>
        <v>2.0493292472760815E-3</v>
      </c>
      <c r="AM176" s="72">
        <f>IF(VLOOKUP($A176,raw_lb[],COLUMN(AN$1)-COLUMN($A$1),FALSE)=0, VLOOKUP($D176, regions_lb[], COLUMN(AN$1)-COLUMN($A$1), FALSE), VLOOKUP($A176,raw_lb[],COLUMN(AN$1)-COLUMN($A$1),FALSE))</f>
        <v>4.2721438453650288E-3</v>
      </c>
      <c r="AN176" s="72">
        <f>IF(VLOOKUP($A176,raw_lb[],COLUMN(AO$1)-COLUMN($A$1),FALSE)=0, VLOOKUP($D176, regions_lb[], COLUMN(AO$1)-COLUMN($A$1), FALSE), VLOOKUP($A176,raw_lb[],COLUMN(AO$1)-COLUMN($A$1),FALSE))</f>
        <v>7.8463580161288685E-3</v>
      </c>
      <c r="AO176" s="72">
        <f>IF(VLOOKUP($A176,raw_lb[],COLUMN(AP$1)-COLUMN($A$1),FALSE)=0, VLOOKUP($D176, regions_lb[], COLUMN(AP$1)-COLUMN($A$1), FALSE), VLOOKUP($A176,raw_lb[],COLUMN(AP$1)-COLUMN($A$1),FALSE))</f>
        <v>1.0827562446868763E-2</v>
      </c>
      <c r="AP176" s="72">
        <f>IF(VLOOKUP($A176,raw_lb[],COLUMN(AQ$1)-COLUMN($A$1),FALSE)=0, VLOOKUP($D176, regions_lb[], COLUMN(AQ$1)-COLUMN($A$1), FALSE), VLOOKUP($A176,raw_lb[],COLUMN(AQ$1)-COLUMN($A$1),FALSE))</f>
        <v>1.7413991981186684E-2</v>
      </c>
      <c r="AQ176" s="72">
        <f>IF(VLOOKUP($A176,raw_lb[],COLUMN(AR$1)-COLUMN($A$1),FALSE)=0, VLOOKUP($D176, regions_lb[], COLUMN(AR$1)-COLUMN($A$1), FALSE), VLOOKUP($A176,raw_lb[],COLUMN(AR$1)-COLUMN($A$1),FALSE))</f>
        <v>2.6701482569325426E-2</v>
      </c>
      <c r="AR176" s="72">
        <f>IF(VLOOKUP($A176,raw_lb[],COLUMN(AS$1)-COLUMN($A$1),FALSE)=0, VLOOKUP($D176, regions_lb[], COLUMN(AS$1)-COLUMN($A$1), FALSE), VLOOKUP($A176,raw_lb[],COLUMN(AS$1)-COLUMN($A$1),FALSE))</f>
        <v>4.1779184070834176E-2</v>
      </c>
      <c r="AS176" s="82">
        <f>IF(VLOOKUP($A176,raw_lb[],COLUMN(AS$1),FALSE)=0, VLOOKUP($D176, regions_lb[], COLUMN(AS$1), FALSE), VLOOKUP($A176,raw_lb[],COLUMN(AS$1),FALSE))</f>
        <v>6.4005042657846026E-2</v>
      </c>
      <c r="AT176" s="82">
        <f>IF(VLOOKUP($A176,raw_lb[],COLUMN(AT$1),FALSE)=0, VLOOKUP($D176, regions_lb[], COLUMN(AT$1), FALSE), VLOOKUP($A176,raw_lb[],COLUMN(AT$1),FALSE))</f>
        <v>9.0078666046402009E-2</v>
      </c>
      <c r="AU176" s="82">
        <f>IF(VLOOKUP($A176,raw_lb[],COLUMN(AU$1),FALSE)=0, VLOOKUP($D176, regions_lb[], COLUMN(AU$1), FALSE), VLOOKUP($A176,raw_lb[],COLUMN(AU$1),FALSE))</f>
        <v>0.11838969599872376</v>
      </c>
      <c r="AV176" s="82">
        <f>IF(VLOOKUP($A176,raw_lb[],COLUMN(AV$1),FALSE)=0, VLOOKUP($D176, regions_lb[], COLUMN(AV$1), FALSE), VLOOKUP($A176,raw_lb[],COLUMN(AV$1),FALSE))</f>
        <v>0.14217502798510454</v>
      </c>
      <c r="AW176" s="82">
        <f>IF(VLOOKUP($A176,raw_lb[],COLUMN(AW$1),FALSE)=0, VLOOKUP($D176, regions_lb[], COLUMN(AW$1), FALSE), VLOOKUP($A176,raw_lb[],COLUMN(AW$1),FALSE))</f>
        <v>0.16307010765946897</v>
      </c>
      <c r="AX176" s="82">
        <f>IF(VLOOKUP($A176,raw_lb[],COLUMN(AX$1),FALSE)=0, VLOOKUP($D176, regions_lb[], COLUMN(AX$1), FALSE), VLOOKUP($A176,raw_lb[],COLUMN(AX$1),FALSE))</f>
        <v>68.15679999999999</v>
      </c>
      <c r="AY176" t="str">
        <f t="shared" si="6"/>
        <v>No</v>
      </c>
    </row>
    <row r="177" spans="1:51" x14ac:dyDescent="0.25">
      <c r="A177" s="55" t="s">
        <v>297</v>
      </c>
      <c r="B177" s="56" t="s">
        <v>298</v>
      </c>
      <c r="C177" s="56">
        <v>222</v>
      </c>
      <c r="D177" s="56" t="s">
        <v>215</v>
      </c>
      <c r="E177" s="56" t="s">
        <v>274</v>
      </c>
      <c r="F177" s="56" t="s">
        <v>217</v>
      </c>
      <c r="G177" s="56" t="s">
        <v>212</v>
      </c>
      <c r="H177" s="74"/>
      <c r="I177" s="74"/>
      <c r="J177" s="67">
        <f>IF(VLOOKUP($A177,raw_lb[],COLUMN(J$1),FALSE)=0, VLOOKUP($D177, regions_lb[], COLUMN(J$1), FALSE), VLOOKUP($A177,raw_lb[],COLUMN(J$1),FALSE))</f>
        <v>0.92624999999999991</v>
      </c>
      <c r="K177" s="77">
        <f>VLOOKUP($A177, raw_lb[], 11, FALSE)</f>
        <v>0.71249999999999991</v>
      </c>
      <c r="L177" s="77">
        <f>VLOOKUP($A177, raw_lb[], 12, FALSE)</f>
        <v>0.68399999999999994</v>
      </c>
      <c r="M177" s="77">
        <f>IF(VLOOKUP($A177,raw_lb[],COLUMN(M$1),FALSE)=0, VLOOKUP($D177, regions_lb[], COLUMN(M$1), FALSE), VLOOKUP($A177,raw_lb[],COLUMN(M$1),FALSE))</f>
        <v>1.4000000000000002E-3</v>
      </c>
      <c r="N177" s="68">
        <f>IF(VLOOKUP($A177,raw_lb[],COLUMN(N$1),FALSE)=0, VLOOKUP($D177, regions_lb[], COLUMN(N$1), FALSE), VLOOKUP($A177,raw_lb[],COLUMN(N$1),FALSE))</f>
        <v>0.16440000000000002</v>
      </c>
      <c r="O177" s="67">
        <f>IF(VLOOKUP($A177,raw_lb[],COLUMN(O$1),FALSE)=0, VLOOKUP($D177, regions_lb[], COLUMN(O$1), FALSE), VLOOKUP($A177,raw_lb[],COLUMN(O$1),FALSE))</f>
        <v>0.7</v>
      </c>
      <c r="P177" s="68">
        <f>IF(VLOOKUP($A177,raw_lb[],COLUMN(P$1),FALSE)=0, VLOOKUP($D177, regions_lb[], COLUMN(P$1), FALSE), VLOOKUP($A177,raw_lb[],COLUMN(P$1),FALSE))</f>
        <v>0.05</v>
      </c>
      <c r="Q177" s="70">
        <f>IF(VLOOKUP($A177,raw_lb[],COLUMN(Q$1),FALSE)=0, VLOOKUP($D177, regions_lb[], COLUMN(Q$1), FALSE), VLOOKUP($A177,raw_lb[],COLUMN(Q$1),FALSE))</f>
        <v>2.1174258346342603</v>
      </c>
      <c r="R177" s="70">
        <f>IF(VLOOKUP($A177,raw_lb[],COLUMN(R$1),FALSE)=0, VLOOKUP($D177, regions_lb[], COLUMN(R$1), FALSE), VLOOKUP($A177,raw_lb[],COLUMN(R$1),FALSE))</f>
        <v>9.1783258346342613</v>
      </c>
      <c r="S177" s="70">
        <f>IF(VLOOKUP($A177,raw_lb[],COLUMN(S$1),FALSE)=0, VLOOKUP($D177, regions_lb[], COLUMN(S$1), FALSE), VLOOKUP($A177,raw_lb[],COLUMN(S$1),FALSE))</f>
        <v>50.331084970063586</v>
      </c>
      <c r="T177" s="70">
        <f>IF(VLOOKUP($A177,raw_lb[],COLUMN(U$1)-COLUMN($A$1),FALSE)=0, VLOOKUP($D177, regions_lb[], COLUMN(U$1)-COLUMN($A$1), FALSE), VLOOKUP($A177,raw_lb[],COLUMN(U$1)-COLUMN($A$1),FALSE))</f>
        <v>56.541669036430285</v>
      </c>
      <c r="U177" s="70">
        <f>IF(VLOOKUP($A177,raw_lb[],COLUMN(V$1)-COLUMN($A$1),FALSE)=0, VLOOKUP($D177, regions_lb[], COLUMN(V$1)-COLUMN($A$1), FALSE), VLOOKUP($A177,raw_lb[],COLUMN(V$1)-COLUMN($A$1),FALSE))</f>
        <v>53.689900108178044</v>
      </c>
      <c r="V177" s="70">
        <f>IF(VLOOKUP($A177,raw_lb[],COLUMN(W$1)-COLUMN($A$1),FALSE)=0, VLOOKUP($D177, regions_lb[], COLUMN(W$1)-COLUMN($A$1), FALSE), VLOOKUP($A177,raw_lb[],COLUMN(W$1)-COLUMN($A$1),FALSE))</f>
        <v>1.6039856264775478</v>
      </c>
      <c r="W177" s="70">
        <f>IF(VLOOKUP($A177,raw_lb[],COLUMN(X$1)-COLUMN($A$1),FALSE)=0, VLOOKUP($D177, regions_lb[], COLUMN(X$1)-COLUMN($A$1), FALSE), VLOOKUP($A177,raw_lb[],COLUMN(X$1)-COLUMN($A$1),FALSE))</f>
        <v>1.6229856264775477</v>
      </c>
      <c r="X177" s="70">
        <f>IF(VLOOKUP($A177,raw_lb[],COLUMN(Y$1)-COLUMN($A$1),FALSE)=0, VLOOKUP($D177, regions_lb[], COLUMN(Y$1)-COLUMN($A$1), FALSE), VLOOKUP($A177,raw_lb[],COLUMN(Y$1)-COLUMN($A$1),FALSE))</f>
        <v>1.1265734011959432</v>
      </c>
      <c r="Y177" s="70">
        <f>IF(VLOOKUP($A177,raw_lb[],COLUMN(Z$1)-COLUMN($A$1),FALSE)=0, VLOOKUP($D177, regions_lb[], COLUMN(Z$1)-COLUMN($A$1), FALSE), VLOOKUP($A177,raw_lb[],COLUMN(Z$1)-COLUMN($A$1),FALSE))</f>
        <v>1.1455734011959431</v>
      </c>
      <c r="Z177" s="70">
        <f>IF(VLOOKUP($A177,raw_lb[],COLUMN(AA$1)-COLUMN($A$1),FALSE)=0, VLOOKUP($D177, regions_lb[], COLUMN(AA$1)-COLUMN($A$1), FALSE), VLOOKUP($A177,raw_lb[],COLUMN(AA$1)-COLUMN($A$1),FALSE))</f>
        <v>1.1390825120755985</v>
      </c>
      <c r="AA177" s="70">
        <f>IF(VLOOKUP($A177,raw_lb[],COLUMN(AB$1)-COLUMN($A$1),FALSE)=0, VLOOKUP($D177, regions_lb[], COLUMN(AB$1)-COLUMN($A$1), FALSE), VLOOKUP($A177,raw_lb[],COLUMN(AB$1)-COLUMN($A$1),FALSE))</f>
        <v>1.7679643819496735</v>
      </c>
      <c r="AB177" s="70">
        <f>IF(VLOOKUP($A177,raw_lb[],COLUMN(AC$1)-COLUMN($A$1),FALSE)=0, VLOOKUP($D177, regions_lb[], COLUMN(AC$1)-COLUMN($A$1), FALSE), VLOOKUP($A177,raw_lb[],COLUMN(AC$1)-COLUMN($A$1),FALSE))</f>
        <v>1.7869643819496734</v>
      </c>
      <c r="AC177" s="72">
        <f>IF(VLOOKUP($A177,raw_lb[],COLUMN(AD$1)-COLUMN($A$1),FALSE)=0, VLOOKUP($D177, regions_lb[], COLUMN(AD$1)-COLUMN($A$1), FALSE), VLOOKUP($A177,raw_lb[],COLUMN(AD$1)-COLUMN($A$1),FALSE))</f>
        <v>1.3845395000000031E-2</v>
      </c>
      <c r="AD177" s="72">
        <f>IF(VLOOKUP($A177,raw_lb[],COLUMN(AE$1)-COLUMN($A$1),FALSE)=0, VLOOKUP($D177, regions_lb[], COLUMN(AE$1)-COLUMN($A$1), FALSE), VLOOKUP($A177,raw_lb[],COLUMN(AE$1)-COLUMN($A$1),FALSE))</f>
        <v>5.584790799592202E-4</v>
      </c>
      <c r="AE177" s="72">
        <f>IF(VLOOKUP($A177,raw_lb[],COLUMN(AF$1)-COLUMN($A$1),FALSE)=0, VLOOKUP($D177, regions_lb[], COLUMN(AF$1)-COLUMN($A$1), FALSE), VLOOKUP($A177,raw_lb[],COLUMN(AF$1)-COLUMN($A$1),FALSE))</f>
        <v>2.5991368522960083E-4</v>
      </c>
      <c r="AF177" s="72">
        <f>IF(VLOOKUP($A177,raw_lb[],COLUMN(AG$1)-COLUMN($A$1),FALSE)=0, VLOOKUP($D177, regions_lb[], COLUMN(AG$1)-COLUMN($A$1), FALSE), VLOOKUP($A177,raw_lb[],COLUMN(AG$1)-COLUMN($A$1),FALSE))</f>
        <v>5.3784870581194888E-4</v>
      </c>
      <c r="AG177" s="72">
        <f>IF(VLOOKUP($A177,raw_lb[],COLUMN(AH$1)-COLUMN($A$1),FALSE)=0, VLOOKUP($D177, regions_lb[], COLUMN(AH$1)-COLUMN($A$1), FALSE), VLOOKUP($A177,raw_lb[],COLUMN(AH$1)-COLUMN($A$1),FALSE))</f>
        <v>1.4693692953268653E-3</v>
      </c>
      <c r="AH177" s="72">
        <f>IF(VLOOKUP($A177,raw_lb[],COLUMN(AI$1)-COLUMN($A$1),FALSE)=0, VLOOKUP($D177, regions_lb[], COLUMN(AI$1)-COLUMN($A$1), FALSE), VLOOKUP($A177,raw_lb[],COLUMN(AI$1)-COLUMN($A$1),FALSE))</f>
        <v>2.4394862843497467E-3</v>
      </c>
      <c r="AI177" s="72">
        <f>IF(VLOOKUP($A177,raw_lb[],COLUMN(AJ$1)-COLUMN($A$1),FALSE)=0, VLOOKUP($D177, regions_lb[], COLUMN(AJ$1)-COLUMN($A$1), FALSE), VLOOKUP($A177,raw_lb[],COLUMN(AJ$1)-COLUMN($A$1),FALSE))</f>
        <v>3.033201855350289E-3</v>
      </c>
      <c r="AJ177" s="72">
        <f>IF(VLOOKUP($A177,raw_lb[],COLUMN(AK$1)-COLUMN($A$1),FALSE)=0, VLOOKUP($D177, regions_lb[], COLUMN(AK$1)-COLUMN($A$1), FALSE), VLOOKUP($A177,raw_lb[],COLUMN(AK$1)-COLUMN($A$1),FALSE))</f>
        <v>3.1770343570390134E-3</v>
      </c>
      <c r="AK177" s="72">
        <f>IF(VLOOKUP($A177,raw_lb[],COLUMN(AL$1)-COLUMN($A$1),FALSE)=0, VLOOKUP($D177, regions_lb[], COLUMN(AL$1)-COLUMN($A$1), FALSE), VLOOKUP($A177,raw_lb[],COLUMN(AL$1)-COLUMN($A$1),FALSE))</f>
        <v>3.3283619325216104E-3</v>
      </c>
      <c r="AL177" s="72">
        <f>IF(VLOOKUP($A177,raw_lb[],COLUMN(AM$1)-COLUMN($A$1),FALSE)=0, VLOOKUP($D177, regions_lb[], COLUMN(AM$1)-COLUMN($A$1), FALSE), VLOOKUP($A177,raw_lb[],COLUMN(AM$1)-COLUMN($A$1),FALSE))</f>
        <v>3.967907063797892E-3</v>
      </c>
      <c r="AM177" s="72">
        <f>IF(VLOOKUP($A177,raw_lb[],COLUMN(AN$1)-COLUMN($A$1),FALSE)=0, VLOOKUP($D177, regions_lb[], COLUMN(AN$1)-COLUMN($A$1), FALSE), VLOOKUP($A177,raw_lb[],COLUMN(AN$1)-COLUMN($A$1),FALSE))</f>
        <v>5.0622467417907454E-3</v>
      </c>
      <c r="AN177" s="72">
        <f>IF(VLOOKUP($A177,raw_lb[],COLUMN(AO$1)-COLUMN($A$1),FALSE)=0, VLOOKUP($D177, regions_lb[], COLUMN(AO$1)-COLUMN($A$1), FALSE), VLOOKUP($A177,raw_lb[],COLUMN(AO$1)-COLUMN($A$1),FALSE))</f>
        <v>6.6521647077467756E-3</v>
      </c>
      <c r="AO177" s="72">
        <f>IF(VLOOKUP($A177,raw_lb[],COLUMN(AP$1)-COLUMN($A$1),FALSE)=0, VLOOKUP($D177, regions_lb[], COLUMN(AP$1)-COLUMN($A$1), FALSE), VLOOKUP($A177,raw_lb[],COLUMN(AP$1)-COLUMN($A$1),FALSE))</f>
        <v>8.7736311221198026E-3</v>
      </c>
      <c r="AP177" s="72">
        <f>IF(VLOOKUP($A177,raw_lb[],COLUMN(AQ$1)-COLUMN($A$1),FALSE)=0, VLOOKUP($D177, regions_lb[], COLUMN(AQ$1)-COLUMN($A$1), FALSE), VLOOKUP($A177,raw_lb[],COLUMN(AQ$1)-COLUMN($A$1),FALSE))</f>
        <v>1.1966738167851883E-2</v>
      </c>
      <c r="AQ177" s="72">
        <f>IF(VLOOKUP($A177,raw_lb[],COLUMN(AR$1)-COLUMN($A$1),FALSE)=0, VLOOKUP($D177, regions_lb[], COLUMN(AR$1)-COLUMN($A$1), FALSE), VLOOKUP($A177,raw_lb[],COLUMN(AR$1)-COLUMN($A$1),FALSE))</f>
        <v>1.7027246670130135E-2</v>
      </c>
      <c r="AR177" s="72">
        <f>IF(VLOOKUP($A177,raw_lb[],COLUMN(AS$1)-COLUMN($A$1),FALSE)=0, VLOOKUP($D177, regions_lb[], COLUMN(AS$1)-COLUMN($A$1), FALSE), VLOOKUP($A177,raw_lb[],COLUMN(AS$1)-COLUMN($A$1),FALSE))</f>
        <v>2.4682481279554792E-2</v>
      </c>
      <c r="AS177" s="82">
        <f>IF(VLOOKUP($A177,raw_lb[],COLUMN(AS$1),FALSE)=0, VLOOKUP($D177, regions_lb[], COLUMN(AS$1), FALSE), VLOOKUP($A177,raw_lb[],COLUMN(AS$1),FALSE))</f>
        <v>3.8057973537868453E-2</v>
      </c>
      <c r="AT177" s="82">
        <f>IF(VLOOKUP($A177,raw_lb[],COLUMN(AT$1),FALSE)=0, VLOOKUP($D177, regions_lb[], COLUMN(AT$1), FALSE), VLOOKUP($A177,raw_lb[],COLUMN(AT$1),FALSE))</f>
        <v>6.1627719901173356E-2</v>
      </c>
      <c r="AU177" s="82">
        <f>IF(VLOOKUP($A177,raw_lb[],COLUMN(AU$1),FALSE)=0, VLOOKUP($D177, regions_lb[], COLUMN(AU$1), FALSE), VLOOKUP($A177,raw_lb[],COLUMN(AU$1),FALSE))</f>
        <v>9.2865141078845539E-2</v>
      </c>
      <c r="AV177" s="82">
        <f>IF(VLOOKUP($A177,raw_lb[],COLUMN(AV$1),FALSE)=0, VLOOKUP($D177, regions_lb[], COLUMN(AV$1), FALSE), VLOOKUP($A177,raw_lb[],COLUMN(AV$1),FALSE))</f>
        <v>0.12664967345353384</v>
      </c>
      <c r="AW177" s="82">
        <f>IF(VLOOKUP($A177,raw_lb[],COLUMN(AW$1),FALSE)=0, VLOOKUP($D177, regions_lb[], COLUMN(AW$1), FALSE), VLOOKUP($A177,raw_lb[],COLUMN(AW$1),FALSE))</f>
        <v>0.15622839786801912</v>
      </c>
      <c r="AX177" s="82">
        <f>IF(VLOOKUP($A177,raw_lb[],COLUMN(AX$1),FALSE)=0, VLOOKUP($D177, regions_lb[], COLUMN(AX$1), FALSE), VLOOKUP($A177,raw_lb[],COLUMN(AX$1),FALSE))</f>
        <v>69.336700000000008</v>
      </c>
      <c r="AY177" t="str">
        <f t="shared" si="6"/>
        <v>No</v>
      </c>
    </row>
    <row r="178" spans="1:51" x14ac:dyDescent="0.25">
      <c r="A178" s="53" t="s">
        <v>299</v>
      </c>
      <c r="B178" s="54" t="s">
        <v>300</v>
      </c>
      <c r="C178" s="54">
        <v>226</v>
      </c>
      <c r="D178" s="54" t="s">
        <v>207</v>
      </c>
      <c r="E178" s="54" t="s">
        <v>210</v>
      </c>
      <c r="F178" s="54" t="s">
        <v>211</v>
      </c>
      <c r="G178" s="54" t="s">
        <v>204</v>
      </c>
      <c r="H178" s="73"/>
      <c r="I178" s="73"/>
      <c r="J178" s="67">
        <f>IF(VLOOKUP($A178,raw_lb[],COLUMN(J$1),FALSE)=0, VLOOKUP($D178, regions_lb[], COLUMN(J$1), FALSE), VLOOKUP($A178,raw_lb[],COLUMN(J$1),FALSE))</f>
        <v>0.63934999999999986</v>
      </c>
      <c r="K178" s="77">
        <f>VLOOKUP($A178, raw_lb[], 11, FALSE)</f>
        <v>0</v>
      </c>
      <c r="L178" s="77">
        <f>VLOOKUP($A178, raw_lb[], 12, FALSE)</f>
        <v>0.50349999999999995</v>
      </c>
      <c r="M178" s="77">
        <f>IF(VLOOKUP($A178,raw_lb[],COLUMN(M$1),FALSE)=0, VLOOKUP($D178, regions_lb[], COLUMN(M$1), FALSE), VLOOKUP($A178,raw_lb[],COLUMN(M$1),FALSE))</f>
        <v>7.4299999999999991E-2</v>
      </c>
      <c r="N178" s="68">
        <f>IF(VLOOKUP($A178,raw_lb[],COLUMN(N$1),FALSE)=0, VLOOKUP($D178, regions_lb[], COLUMN(N$1), FALSE), VLOOKUP($A178,raw_lb[],COLUMN(N$1),FALSE))</f>
        <v>0.15279999999999999</v>
      </c>
      <c r="O178" s="67">
        <f>IF(VLOOKUP($A178,raw_lb[],COLUMN(O$1),FALSE)=0, VLOOKUP($D178, regions_lb[], COLUMN(O$1), FALSE), VLOOKUP($A178,raw_lb[],COLUMN(O$1),FALSE))</f>
        <v>7.0000000000000007E-2</v>
      </c>
      <c r="P178" s="68">
        <f>IF(VLOOKUP($A178,raw_lb[],COLUMN(P$1),FALSE)=0, VLOOKUP($D178, regions_lb[], COLUMN(P$1), FALSE), VLOOKUP($A178,raw_lb[],COLUMN(P$1),FALSE))</f>
        <v>1E-3</v>
      </c>
      <c r="Q178" s="70">
        <f>IF(VLOOKUP($A178,raw_lb[],COLUMN(Q$1),FALSE)=0, VLOOKUP($D178, regions_lb[], COLUMN(Q$1), FALSE), VLOOKUP($A178,raw_lb[],COLUMN(Q$1),FALSE))</f>
        <v>0.9410219132628217</v>
      </c>
      <c r="R178" s="70">
        <f>IF(VLOOKUP($A178,raw_lb[],COLUMN(R$1),FALSE)=0, VLOOKUP($D178, regions_lb[], COLUMN(R$1), FALSE), VLOOKUP($A178,raw_lb[],COLUMN(R$1),FALSE))</f>
        <v>8.0019219132628212</v>
      </c>
      <c r="S178" s="70">
        <f>IF(VLOOKUP($A178,raw_lb[],COLUMN(S$1),FALSE)=0, VLOOKUP($D178, regions_lb[], COLUMN(S$1), FALSE), VLOOKUP($A178,raw_lb[],COLUMN(S$1),FALSE))</f>
        <v>39.586728264144917</v>
      </c>
      <c r="T178" s="70">
        <f>IF(VLOOKUP($A178,raw_lb[],COLUMN(U$1)-COLUMN($A$1),FALSE)=0, VLOOKUP($D178, regions_lb[], COLUMN(U$1)-COLUMN($A$1), FALSE), VLOOKUP($A178,raw_lb[],COLUMN(U$1)-COLUMN($A$1),FALSE))</f>
        <v>40.817527317083545</v>
      </c>
      <c r="U178" s="70">
        <f>IF(VLOOKUP($A178,raw_lb[],COLUMN(V$1)-COLUMN($A$1),FALSE)=0, VLOOKUP($D178, regions_lb[], COLUMN(V$1)-COLUMN($A$1), FALSE), VLOOKUP($A178,raw_lb[],COLUMN(V$1)-COLUMN($A$1),FALSE))</f>
        <v>40.252370407751819</v>
      </c>
      <c r="V178" s="70">
        <f>IF(VLOOKUP($A178,raw_lb[],COLUMN(W$1)-COLUMN($A$1),FALSE)=0, VLOOKUP($D178, regions_lb[], COLUMN(W$1)-COLUMN($A$1), FALSE), VLOOKUP($A178,raw_lb[],COLUMN(W$1)-COLUMN($A$1),FALSE))</f>
        <v>0.58339579179422818</v>
      </c>
      <c r="W178" s="70">
        <f>IF(VLOOKUP($A178,raw_lb[],COLUMN(X$1)-COLUMN($A$1),FALSE)=0, VLOOKUP($D178, regions_lb[], COLUMN(X$1)-COLUMN($A$1), FALSE), VLOOKUP($A178,raw_lb[],COLUMN(X$1)-COLUMN($A$1),FALSE))</f>
        <v>5.1718957917942276</v>
      </c>
      <c r="X178" s="70">
        <f>IF(VLOOKUP($A178,raw_lb[],COLUMN(Y$1)-COLUMN($A$1),FALSE)=0, VLOOKUP($D178, regions_lb[], COLUMN(Y$1)-COLUMN($A$1), FALSE), VLOOKUP($A178,raw_lb[],COLUMN(Y$1)-COLUMN($A$1),FALSE))</f>
        <v>0.10610538079399043</v>
      </c>
      <c r="Y178" s="70">
        <f>IF(VLOOKUP($A178,raw_lb[],COLUMN(Z$1)-COLUMN($A$1),FALSE)=0, VLOOKUP($D178, regions_lb[], COLUMN(Z$1)-COLUMN($A$1), FALSE), VLOOKUP($A178,raw_lb[],COLUMN(Z$1)-COLUMN($A$1),FALSE))</f>
        <v>4.6946053807939903</v>
      </c>
      <c r="Z178" s="70">
        <f>IF(VLOOKUP($A178,raw_lb[],COLUMN(AA$1)-COLUMN($A$1),FALSE)=0, VLOOKUP($D178, regions_lb[], COLUMN(AA$1)-COLUMN($A$1), FALSE), VLOOKUP($A178,raw_lb[],COLUMN(AA$1)-COLUMN($A$1),FALSE))</f>
        <v>4.6884192857380116</v>
      </c>
      <c r="AA178" s="70">
        <f>IF(VLOOKUP($A178,raw_lb[],COLUMN(AB$1)-COLUMN($A$1),FALSE)=0, VLOOKUP($D178, regions_lb[], COLUMN(AB$1)-COLUMN($A$1), FALSE), VLOOKUP($A178,raw_lb[],COLUMN(AB$1)-COLUMN($A$1),FALSE))</f>
        <v>0.74699866319813646</v>
      </c>
      <c r="AB178" s="70">
        <f>IF(VLOOKUP($A178,raw_lb[],COLUMN(AC$1)-COLUMN($A$1),FALSE)=0, VLOOKUP($D178, regions_lb[], COLUMN(AC$1)-COLUMN($A$1), FALSE), VLOOKUP($A178,raw_lb[],COLUMN(AC$1)-COLUMN($A$1),FALSE))</f>
        <v>5.3354986631981358</v>
      </c>
      <c r="AC178" s="72">
        <f>IF(VLOOKUP($A178,raw_lb[],COLUMN(AD$1)-COLUMN($A$1),FALSE)=0, VLOOKUP($D178, regions_lb[], COLUMN(AD$1)-COLUMN($A$1), FALSE), VLOOKUP($A178,raw_lb[],COLUMN(AD$1)-COLUMN($A$1),FALSE))</f>
        <v>6.2843972499999984E-2</v>
      </c>
      <c r="AD178" s="72">
        <f>IF(VLOOKUP($A178,raw_lb[],COLUMN(AE$1)-COLUMN($A$1),FALSE)=0, VLOOKUP($D178, regions_lb[], COLUMN(AE$1)-COLUMN($A$1), FALSE), VLOOKUP($A178,raw_lb[],COLUMN(AE$1)-COLUMN($A$1),FALSE))</f>
        <v>7.0325014995741616E-3</v>
      </c>
      <c r="AE178" s="72">
        <f>IF(VLOOKUP($A178,raw_lb[],COLUMN(AF$1)-COLUMN($A$1),FALSE)=0, VLOOKUP($D178, regions_lb[], COLUMN(AF$1)-COLUMN($A$1), FALSE), VLOOKUP($A178,raw_lb[],COLUMN(AF$1)-COLUMN($A$1),FALSE))</f>
        <v>2.0720160424331745E-3</v>
      </c>
      <c r="AF178" s="72">
        <f>IF(VLOOKUP($A178,raw_lb[],COLUMN(AG$1)-COLUMN($A$1),FALSE)=0, VLOOKUP($D178, regions_lb[], COLUMN(AG$1)-COLUMN($A$1), FALSE), VLOOKUP($A178,raw_lb[],COLUMN(AG$1)-COLUMN($A$1),FALSE))</f>
        <v>1.4784362864852687E-3</v>
      </c>
      <c r="AG178" s="72">
        <f>IF(VLOOKUP($A178,raw_lb[],COLUMN(AH$1)-COLUMN($A$1),FALSE)=0, VLOOKUP($D178, regions_lb[], COLUMN(AH$1)-COLUMN($A$1), FALSE), VLOOKUP($A178,raw_lb[],COLUMN(AH$1)-COLUMN($A$1),FALSE))</f>
        <v>2.1975923557773142E-3</v>
      </c>
      <c r="AH178" s="72">
        <f>IF(VLOOKUP($A178,raw_lb[],COLUMN(AI$1)-COLUMN($A$1),FALSE)=0, VLOOKUP($D178, regions_lb[], COLUMN(AI$1)-COLUMN($A$1), FALSE), VLOOKUP($A178,raw_lb[],COLUMN(AI$1)-COLUMN($A$1),FALSE))</f>
        <v>3.3062223560631492E-3</v>
      </c>
      <c r="AI178" s="72">
        <f>IF(VLOOKUP($A178,raw_lb[],COLUMN(AJ$1)-COLUMN($A$1),FALSE)=0, VLOOKUP($D178, regions_lb[], COLUMN(AJ$1)-COLUMN($A$1), FALSE), VLOOKUP($A178,raw_lb[],COLUMN(AJ$1)-COLUMN($A$1),FALSE))</f>
        <v>4.3245213329453237E-3</v>
      </c>
      <c r="AJ178" s="72">
        <f>IF(VLOOKUP($A178,raw_lb[],COLUMN(AK$1)-COLUMN($A$1),FALSE)=0, VLOOKUP($D178, regions_lb[], COLUMN(AK$1)-COLUMN($A$1), FALSE), VLOOKUP($A178,raw_lb[],COLUMN(AK$1)-COLUMN($A$1),FALSE))</f>
        <v>5.460672839493726E-3</v>
      </c>
      <c r="AK178" s="72">
        <f>IF(VLOOKUP($A178,raw_lb[],COLUMN(AL$1)-COLUMN($A$1),FALSE)=0, VLOOKUP($D178, regions_lb[], COLUMN(AL$1)-COLUMN($A$1), FALSE), VLOOKUP($A178,raw_lb[],COLUMN(AL$1)-COLUMN($A$1),FALSE))</f>
        <v>7.0529338480466372E-3</v>
      </c>
      <c r="AL178" s="72">
        <f>IF(VLOOKUP($A178,raw_lb[],COLUMN(AM$1)-COLUMN($A$1),FALSE)=0, VLOOKUP($D178, regions_lb[], COLUMN(AM$1)-COLUMN($A$1), FALSE), VLOOKUP($A178,raw_lb[],COLUMN(AM$1)-COLUMN($A$1),FALSE))</f>
        <v>8.5941830062900432E-3</v>
      </c>
      <c r="AM178" s="72">
        <f>IF(VLOOKUP($A178,raw_lb[],COLUMN(AN$1)-COLUMN($A$1),FALSE)=0, VLOOKUP($D178, regions_lb[], COLUMN(AN$1)-COLUMN($A$1), FALSE), VLOOKUP($A178,raw_lb[],COLUMN(AN$1)-COLUMN($A$1),FALSE))</f>
        <v>1.031868511665863E-2</v>
      </c>
      <c r="AN178" s="72">
        <f>IF(VLOOKUP($A178,raw_lb[],COLUMN(AO$1)-COLUMN($A$1),FALSE)=0, VLOOKUP($D178, regions_lb[], COLUMN(AO$1)-COLUMN($A$1), FALSE), VLOOKUP($A178,raw_lb[],COLUMN(AO$1)-COLUMN($A$1),FALSE))</f>
        <v>1.3291550160942842E-2</v>
      </c>
      <c r="AO178" s="72">
        <f>IF(VLOOKUP($A178,raw_lb[],COLUMN(AP$1)-COLUMN($A$1),FALSE)=0, VLOOKUP($D178, regions_lb[], COLUMN(AP$1)-COLUMN($A$1), FALSE), VLOOKUP($A178,raw_lb[],COLUMN(AP$1)-COLUMN($A$1),FALSE))</f>
        <v>1.6868396220487771E-2</v>
      </c>
      <c r="AP178" s="72">
        <f>IF(VLOOKUP($A178,raw_lb[],COLUMN(AQ$1)-COLUMN($A$1),FALSE)=0, VLOOKUP($D178, regions_lb[], COLUMN(AQ$1)-COLUMN($A$1), FALSE), VLOOKUP($A178,raw_lb[],COLUMN(AQ$1)-COLUMN($A$1),FALSE))</f>
        <v>2.3743236138277043E-2</v>
      </c>
      <c r="AQ178" s="72">
        <f>IF(VLOOKUP($A178,raw_lb[],COLUMN(AR$1)-COLUMN($A$1),FALSE)=0, VLOOKUP($D178, regions_lb[], COLUMN(AR$1)-COLUMN($A$1), FALSE), VLOOKUP($A178,raw_lb[],COLUMN(AR$1)-COLUMN($A$1),FALSE))</f>
        <v>3.4743070910664253E-2</v>
      </c>
      <c r="AR178" s="72">
        <f>IF(VLOOKUP($A178,raw_lb[],COLUMN(AS$1)-COLUMN($A$1),FALSE)=0, VLOOKUP($D178, regions_lb[], COLUMN(AS$1)-COLUMN($A$1), FALSE), VLOOKUP($A178,raw_lb[],COLUMN(AS$1)-COLUMN($A$1),FALSE))</f>
        <v>5.1841381128399672E-2</v>
      </c>
      <c r="AS178" s="82">
        <f>IF(VLOOKUP($A178,raw_lb[],COLUMN(AS$1),FALSE)=0, VLOOKUP($D178, regions_lb[], COLUMN(AS$1), FALSE), VLOOKUP($A178,raw_lb[],COLUMN(AS$1),FALSE))</f>
        <v>7.6238218589578785E-2</v>
      </c>
      <c r="AT178" s="82">
        <f>IF(VLOOKUP($A178,raw_lb[],COLUMN(AT$1),FALSE)=0, VLOOKUP($D178, regions_lb[], COLUMN(AT$1), FALSE), VLOOKUP($A178,raw_lb[],COLUMN(AT$1),FALSE))</f>
        <v>0.11013495151816302</v>
      </c>
      <c r="AU178" s="82">
        <f>IF(VLOOKUP($A178,raw_lb[],COLUMN(AU$1),FALSE)=0, VLOOKUP($D178, regions_lb[], COLUMN(AU$1), FALSE), VLOOKUP($A178,raw_lb[],COLUMN(AU$1),FALSE))</f>
        <v>0.14639352450765597</v>
      </c>
      <c r="AV178" s="82">
        <f>IF(VLOOKUP($A178,raw_lb[],COLUMN(AV$1),FALSE)=0, VLOOKUP($D178, regions_lb[], COLUMN(AV$1), FALSE), VLOOKUP($A178,raw_lb[],COLUMN(AV$1),FALSE))</f>
        <v>0.17255950588916485</v>
      </c>
      <c r="AW178" s="82">
        <f>IF(VLOOKUP($A178,raw_lb[],COLUMN(AW$1),FALSE)=0, VLOOKUP($D178, regions_lb[], COLUMN(AW$1), FALSE), VLOOKUP($A178,raw_lb[],COLUMN(AW$1),FALSE))</f>
        <v>0.17972686429455786</v>
      </c>
      <c r="AX178" s="82">
        <f>IF(VLOOKUP($A178,raw_lb[],COLUMN(AX$1),FALSE)=0, VLOOKUP($D178, regions_lb[], COLUMN(AX$1), FALSE), VLOOKUP($A178,raw_lb[],COLUMN(AX$1),FALSE))</f>
        <v>55.3337</v>
      </c>
      <c r="AY178" t="str">
        <f t="shared" si="6"/>
        <v>Yes</v>
      </c>
    </row>
    <row r="179" spans="1:51" x14ac:dyDescent="0.25">
      <c r="A179" s="55" t="s">
        <v>301</v>
      </c>
      <c r="B179" s="56" t="s">
        <v>302</v>
      </c>
      <c r="C179" s="56">
        <v>232</v>
      </c>
      <c r="D179" s="56" t="s">
        <v>207</v>
      </c>
      <c r="E179" s="56" t="s">
        <v>255</v>
      </c>
      <c r="F179" s="56" t="s">
        <v>211</v>
      </c>
      <c r="G179" s="56" t="s">
        <v>198</v>
      </c>
      <c r="H179" s="74"/>
      <c r="I179" s="74"/>
      <c r="J179" s="67">
        <f>IF(VLOOKUP($A179,raw_lb[],COLUMN(J$1),FALSE)=0, VLOOKUP($D179, regions_lb[], COLUMN(J$1), FALSE), VLOOKUP($A179,raw_lb[],COLUMN(J$1),FALSE))</f>
        <v>0.32014999999999999</v>
      </c>
      <c r="K179" s="77">
        <f>VLOOKUP($A179, raw_lb[], 11, FALSE)</f>
        <v>0</v>
      </c>
      <c r="L179" s="77">
        <f>VLOOKUP($A179, raw_lb[], 12, FALSE)</f>
        <v>0.90249999999999997</v>
      </c>
      <c r="M179" s="77">
        <f>IF(VLOOKUP($A179,raw_lb[],COLUMN(M$1),FALSE)=0, VLOOKUP($D179, regions_lb[], COLUMN(M$1), FALSE), VLOOKUP($A179,raw_lb[],COLUMN(M$1),FALSE))</f>
        <v>2.6099999999999998E-2</v>
      </c>
      <c r="N179" s="68">
        <f>IF(VLOOKUP($A179,raw_lb[],COLUMN(N$1),FALSE)=0, VLOOKUP($D179, regions_lb[], COLUMN(N$1), FALSE), VLOOKUP($A179,raw_lb[],COLUMN(N$1),FALSE))</f>
        <v>0.15560000000000002</v>
      </c>
      <c r="O179" s="67">
        <f>IF(VLOOKUP($A179,raw_lb[],COLUMN(O$1),FALSE)=0, VLOOKUP($D179, regions_lb[], COLUMN(O$1), FALSE), VLOOKUP($A179,raw_lb[],COLUMN(O$1),FALSE))</f>
        <v>7.0000000000000007E-2</v>
      </c>
      <c r="P179" s="68">
        <f>IF(VLOOKUP($A179,raw_lb[],COLUMN(P$1),FALSE)=0, VLOOKUP($D179, regions_lb[], COLUMN(P$1), FALSE), VLOOKUP($A179,raw_lb[],COLUMN(P$1),FALSE))</f>
        <v>1E-3</v>
      </c>
      <c r="Q179" s="70">
        <f>IF(VLOOKUP($A179,raw_lb[],COLUMN(Q$1),FALSE)=0, VLOOKUP($D179, regions_lb[], COLUMN(Q$1), FALSE), VLOOKUP($A179,raw_lb[],COLUMN(Q$1),FALSE))</f>
        <v>0.55798235294117704</v>
      </c>
      <c r="R179" s="70">
        <f>IF(VLOOKUP($A179,raw_lb[],COLUMN(R$1),FALSE)=0, VLOOKUP($D179, regions_lb[], COLUMN(R$1), FALSE), VLOOKUP($A179,raw_lb[],COLUMN(R$1),FALSE))</f>
        <v>7.6188823529411778</v>
      </c>
      <c r="S179" s="70">
        <f>IF(VLOOKUP($A179,raw_lb[],COLUMN(S$1),FALSE)=0, VLOOKUP($D179, regions_lb[], COLUMN(S$1), FALSE), VLOOKUP($A179,raw_lb[],COLUMN(S$1),FALSE))</f>
        <v>37.013160313507775</v>
      </c>
      <c r="T179" s="70">
        <f>IF(VLOOKUP($A179,raw_lb[],COLUMN(U$1)-COLUMN($A$1),FALSE)=0, VLOOKUP($D179, regions_lb[], COLUMN(U$1)-COLUMN($A$1), FALSE), VLOOKUP($A179,raw_lb[],COLUMN(U$1)-COLUMN($A$1),FALSE))</f>
        <v>37.103865900767993</v>
      </c>
      <c r="U179" s="70">
        <f>IF(VLOOKUP($A179,raw_lb[],COLUMN(V$1)-COLUMN($A$1),FALSE)=0, VLOOKUP($D179, regions_lb[], COLUMN(V$1)-COLUMN($A$1), FALSE), VLOOKUP($A179,raw_lb[],COLUMN(V$1)-COLUMN($A$1),FALSE))</f>
        <v>37.062215812369963</v>
      </c>
      <c r="V179" s="70">
        <f>IF(VLOOKUP($A179,raw_lb[],COLUMN(W$1)-COLUMN($A$1),FALSE)=0, VLOOKUP($D179, regions_lb[], COLUMN(W$1)-COLUMN($A$1), FALSE), VLOOKUP($A179,raw_lb[],COLUMN(W$1)-COLUMN($A$1),FALSE))</f>
        <v>1.6482717984470623</v>
      </c>
      <c r="W179" s="70">
        <f>IF(VLOOKUP($A179,raw_lb[],COLUMN(X$1)-COLUMN($A$1),FALSE)=0, VLOOKUP($D179, regions_lb[], COLUMN(X$1)-COLUMN($A$1), FALSE), VLOOKUP($A179,raw_lb[],COLUMN(X$1)-COLUMN($A$1),FALSE))</f>
        <v>6.2367717984470623</v>
      </c>
      <c r="X179" s="70">
        <f>IF(VLOOKUP($A179,raw_lb[],COLUMN(Y$1)-COLUMN($A$1),FALSE)=0, VLOOKUP($D179, regions_lb[], COLUMN(Y$1)-COLUMN($A$1), FALSE), VLOOKUP($A179,raw_lb[],COLUMN(Y$1)-COLUMN($A$1),FALSE))</f>
        <v>1.1780859729427162</v>
      </c>
      <c r="Y179" s="70">
        <f>IF(VLOOKUP($A179,raw_lb[],COLUMN(Z$1)-COLUMN($A$1),FALSE)=0, VLOOKUP($D179, regions_lb[], COLUMN(Z$1)-COLUMN($A$1), FALSE), VLOOKUP($A179,raw_lb[],COLUMN(Z$1)-COLUMN($A$1),FALSE))</f>
        <v>5.7665859729427158</v>
      </c>
      <c r="Z179" s="70">
        <f>IF(VLOOKUP($A179,raw_lb[],COLUMN(AA$1)-COLUMN($A$1),FALSE)=0, VLOOKUP($D179, regions_lb[], COLUMN(AA$1)-COLUMN($A$1), FALSE), VLOOKUP($A179,raw_lb[],COLUMN(AA$1)-COLUMN($A$1),FALSE))</f>
        <v>5.7652183214178603</v>
      </c>
      <c r="AA179" s="70">
        <f>IF(VLOOKUP($A179,raw_lb[],COLUMN(AB$1)-COLUMN($A$1),FALSE)=0, VLOOKUP($D179, regions_lb[], COLUMN(AB$1)-COLUMN($A$1), FALSE), VLOOKUP($A179,raw_lb[],COLUMN(AB$1)-COLUMN($A$1),FALSE))</f>
        <v>1.7899519488922189</v>
      </c>
      <c r="AB179" s="70">
        <f>IF(VLOOKUP($A179,raw_lb[],COLUMN(AC$1)-COLUMN($A$1),FALSE)=0, VLOOKUP($D179, regions_lb[], COLUMN(AC$1)-COLUMN($A$1), FALSE), VLOOKUP($A179,raw_lb[],COLUMN(AC$1)-COLUMN($A$1),FALSE))</f>
        <v>6.3784519488922182</v>
      </c>
      <c r="AC179" s="72">
        <f>IF(VLOOKUP($A179,raw_lb[],COLUMN(AD$1)-COLUMN($A$1),FALSE)=0, VLOOKUP($D179, regions_lb[], COLUMN(AD$1)-COLUMN($A$1), FALSE), VLOOKUP($A179,raw_lb[],COLUMN(AD$1)-COLUMN($A$1),FALSE))</f>
        <v>3.2987572000000034E-2</v>
      </c>
      <c r="AD179" s="72">
        <f>IF(VLOOKUP($A179,raw_lb[],COLUMN(AE$1)-COLUMN($A$1),FALSE)=0, VLOOKUP($D179, regions_lb[], COLUMN(AE$1)-COLUMN($A$1), FALSE), VLOOKUP($A179,raw_lb[],COLUMN(AE$1)-COLUMN($A$1),FALSE))</f>
        <v>2.354196426714068E-3</v>
      </c>
      <c r="AE179" s="72">
        <f>IF(VLOOKUP($A179,raw_lb[],COLUMN(AF$1)-COLUMN($A$1),FALSE)=0, VLOOKUP($D179, regions_lb[], COLUMN(AF$1)-COLUMN($A$1), FALSE), VLOOKUP($A179,raw_lb[],COLUMN(AF$1)-COLUMN($A$1),FALSE))</f>
        <v>7.9958970314396142E-4</v>
      </c>
      <c r="AF179" s="72">
        <f>IF(VLOOKUP($A179,raw_lb[],COLUMN(AG$1)-COLUMN($A$1),FALSE)=0, VLOOKUP($D179, regions_lb[], COLUMN(AG$1)-COLUMN($A$1), FALSE), VLOOKUP($A179,raw_lb[],COLUMN(AG$1)-COLUMN($A$1),FALSE))</f>
        <v>6.0446120225821716E-4</v>
      </c>
      <c r="AG179" s="72">
        <f>IF(VLOOKUP($A179,raw_lb[],COLUMN(AH$1)-COLUMN($A$1),FALSE)=0, VLOOKUP($D179, regions_lb[], COLUMN(AH$1)-COLUMN($A$1), FALSE), VLOOKUP($A179,raw_lb[],COLUMN(AH$1)-COLUMN($A$1),FALSE))</f>
        <v>1.1665954907118922E-3</v>
      </c>
      <c r="AH179" s="72">
        <f>IF(VLOOKUP($A179,raw_lb[],COLUMN(AI$1)-COLUMN($A$1),FALSE)=0, VLOOKUP($D179, regions_lb[], COLUMN(AI$1)-COLUMN($A$1), FALSE), VLOOKUP($A179,raw_lb[],COLUMN(AI$1)-COLUMN($A$1),FALSE))</f>
        <v>1.6585412495618913E-3</v>
      </c>
      <c r="AI179" s="72">
        <f>IF(VLOOKUP($A179,raw_lb[],COLUMN(AJ$1)-COLUMN($A$1),FALSE)=0, VLOOKUP($D179, regions_lb[], COLUMN(AJ$1)-COLUMN($A$1), FALSE), VLOOKUP($A179,raw_lb[],COLUMN(AJ$1)-COLUMN($A$1),FALSE))</f>
        <v>2.1936643721107629E-3</v>
      </c>
      <c r="AJ179" s="72">
        <f>IF(VLOOKUP($A179,raw_lb[],COLUMN(AK$1)-COLUMN($A$1),FALSE)=0, VLOOKUP($D179, regions_lb[], COLUMN(AK$1)-COLUMN($A$1), FALSE), VLOOKUP($A179,raw_lb[],COLUMN(AK$1)-COLUMN($A$1),FALSE))</f>
        <v>2.9384925047704984E-3</v>
      </c>
      <c r="AK179" s="72">
        <f>IF(VLOOKUP($A179,raw_lb[],COLUMN(AL$1)-COLUMN($A$1),FALSE)=0, VLOOKUP($D179, regions_lb[], COLUMN(AL$1)-COLUMN($A$1), FALSE), VLOOKUP($A179,raw_lb[],COLUMN(AL$1)-COLUMN($A$1),FALSE))</f>
        <v>3.8138668748455484E-3</v>
      </c>
      <c r="AL179" s="72">
        <f>IF(VLOOKUP($A179,raw_lb[],COLUMN(AM$1)-COLUMN($A$1),FALSE)=0, VLOOKUP($D179, regions_lb[], COLUMN(AM$1)-COLUMN($A$1), FALSE), VLOOKUP($A179,raw_lb[],COLUMN(AM$1)-COLUMN($A$1),FALSE))</f>
        <v>5.5136604780383737E-3</v>
      </c>
      <c r="AM179" s="72">
        <f>IF(VLOOKUP($A179,raw_lb[],COLUMN(AN$1)-COLUMN($A$1),FALSE)=0, VLOOKUP($D179, regions_lb[], COLUMN(AN$1)-COLUMN($A$1), FALSE), VLOOKUP($A179,raw_lb[],COLUMN(AN$1)-COLUMN($A$1),FALSE))</f>
        <v>7.4586259146776444E-3</v>
      </c>
      <c r="AN179" s="72">
        <f>IF(VLOOKUP($A179,raw_lb[],COLUMN(AO$1)-COLUMN($A$1),FALSE)=0, VLOOKUP($D179, regions_lb[], COLUMN(AO$1)-COLUMN($A$1), FALSE), VLOOKUP($A179,raw_lb[],COLUMN(AO$1)-COLUMN($A$1),FALSE))</f>
        <v>1.1021435694162324E-2</v>
      </c>
      <c r="AO179" s="72">
        <f>IF(VLOOKUP($A179,raw_lb[],COLUMN(AP$1)-COLUMN($A$1),FALSE)=0, VLOOKUP($D179, regions_lb[], COLUMN(AP$1)-COLUMN($A$1), FALSE), VLOOKUP($A179,raw_lb[],COLUMN(AP$1)-COLUMN($A$1),FALSE))</f>
        <v>1.597840245787617E-2</v>
      </c>
      <c r="AP179" s="72">
        <f>IF(VLOOKUP($A179,raw_lb[],COLUMN(AQ$1)-COLUMN($A$1),FALSE)=0, VLOOKUP($D179, regions_lb[], COLUMN(AQ$1)-COLUMN($A$1), FALSE), VLOOKUP($A179,raw_lb[],COLUMN(AQ$1)-COLUMN($A$1),FALSE))</f>
        <v>2.2889156730975253E-2</v>
      </c>
      <c r="AQ179" s="72">
        <f>IF(VLOOKUP($A179,raw_lb[],COLUMN(AR$1)-COLUMN($A$1),FALSE)=0, VLOOKUP($D179, regions_lb[], COLUMN(AR$1)-COLUMN($A$1), FALSE), VLOOKUP($A179,raw_lb[],COLUMN(AR$1)-COLUMN($A$1),FALSE))</f>
        <v>3.22200495428175E-2</v>
      </c>
      <c r="AR179" s="72">
        <f>IF(VLOOKUP($A179,raw_lb[],COLUMN(AS$1)-COLUMN($A$1),FALSE)=0, VLOOKUP($D179, regions_lb[], COLUMN(AS$1)-COLUMN($A$1), FALSE), VLOOKUP($A179,raw_lb[],COLUMN(AS$1)-COLUMN($A$1),FALSE))</f>
        <v>4.7625655228462363E-2</v>
      </c>
      <c r="AS179" s="82">
        <f>IF(VLOOKUP($A179,raw_lb[],COLUMN(AS$1),FALSE)=0, VLOOKUP($D179, regions_lb[], COLUMN(AS$1), FALSE), VLOOKUP($A179,raw_lb[],COLUMN(AS$1),FALSE))</f>
        <v>6.532748028156532E-2</v>
      </c>
      <c r="AT179" s="82">
        <f>IF(VLOOKUP($A179,raw_lb[],COLUMN(AT$1),FALSE)=0, VLOOKUP($D179, regions_lb[], COLUMN(AT$1), FALSE), VLOOKUP($A179,raw_lb[],COLUMN(AT$1),FALSE))</f>
        <v>9.0879935661726877E-2</v>
      </c>
      <c r="AU179" s="82">
        <f>IF(VLOOKUP($A179,raw_lb[],COLUMN(AU$1),FALSE)=0, VLOOKUP($D179, regions_lb[], COLUMN(AU$1), FALSE), VLOOKUP($A179,raw_lb[],COLUMN(AU$1),FALSE))</f>
        <v>0.11577903657424811</v>
      </c>
      <c r="AV179" s="82">
        <f>IF(VLOOKUP($A179,raw_lb[],COLUMN(AV$1),FALSE)=0, VLOOKUP($D179, regions_lb[], COLUMN(AV$1), FALSE), VLOOKUP($A179,raw_lb[],COLUMN(AV$1),FALSE))</f>
        <v>0.13632632460170516</v>
      </c>
      <c r="AW179" s="82">
        <f>IF(VLOOKUP($A179,raw_lb[],COLUMN(AW$1),FALSE)=0, VLOOKUP($D179, regions_lb[], COLUMN(AW$1), FALSE), VLOOKUP($A179,raw_lb[],COLUMN(AW$1),FALSE))</f>
        <v>0.1532700360640826</v>
      </c>
      <c r="AX179" s="82">
        <f>IF(VLOOKUP($A179,raw_lb[],COLUMN(AX$1),FALSE)=0, VLOOKUP($D179, regions_lb[], COLUMN(AX$1), FALSE), VLOOKUP($A179,raw_lb[],COLUMN(AX$1),FALSE))</f>
        <v>62.455849999999991</v>
      </c>
      <c r="AY179" t="str">
        <f t="shared" si="6"/>
        <v>Yes</v>
      </c>
    </row>
    <row r="180" spans="1:51" x14ac:dyDescent="0.25">
      <c r="A180" s="53" t="s">
        <v>303</v>
      </c>
      <c r="B180" s="54" t="s">
        <v>304</v>
      </c>
      <c r="C180" s="54">
        <v>748</v>
      </c>
      <c r="D180" s="54" t="s">
        <v>207</v>
      </c>
      <c r="E180" s="54" t="s">
        <v>245</v>
      </c>
      <c r="F180" s="54" t="s">
        <v>211</v>
      </c>
      <c r="G180" s="54" t="s">
        <v>212</v>
      </c>
      <c r="H180" s="73"/>
      <c r="I180" s="73"/>
      <c r="J180" s="67">
        <f>IF(VLOOKUP($A180,raw_lb[],COLUMN(J$1),FALSE)=0, VLOOKUP($D180, regions_lb[], COLUMN(J$1), FALSE), VLOOKUP($A180,raw_lb[],COLUMN(J$1),FALSE))</f>
        <v>0.83314999999999995</v>
      </c>
      <c r="K180" s="77">
        <f>VLOOKUP($A180, raw_lb[], 11, FALSE)</f>
        <v>0</v>
      </c>
      <c r="L180" s="77">
        <f>VLOOKUP($A180, raw_lb[], 12, FALSE)</f>
        <v>0.78849999999999998</v>
      </c>
      <c r="M180" s="77">
        <f>IF(VLOOKUP($A180,raw_lb[],COLUMN(M$1),FALSE)=0, VLOOKUP($D180, regions_lb[], COLUMN(M$1), FALSE), VLOOKUP($A180,raw_lb[],COLUMN(M$1),FALSE))</f>
        <v>3.4999999999999996E-3</v>
      </c>
      <c r="N180" s="68">
        <f>IF(VLOOKUP($A180,raw_lb[],COLUMN(N$1),FALSE)=0, VLOOKUP($D180, regions_lb[], COLUMN(N$1), FALSE), VLOOKUP($A180,raw_lb[],COLUMN(N$1),FALSE))</f>
        <v>0.15109999999999998</v>
      </c>
      <c r="O180" s="67">
        <f>IF(VLOOKUP($A180,raw_lb[],COLUMN(O$1),FALSE)=0, VLOOKUP($D180, regions_lb[], COLUMN(O$1), FALSE), VLOOKUP($A180,raw_lb[],COLUMN(O$1),FALSE))</f>
        <v>7.0000000000000007E-2</v>
      </c>
      <c r="P180" s="68">
        <f>IF(VLOOKUP($A180,raw_lb[],COLUMN(P$1),FALSE)=0, VLOOKUP($D180, regions_lb[], COLUMN(P$1), FALSE), VLOOKUP($A180,raw_lb[],COLUMN(P$1),FALSE))</f>
        <v>1E-3</v>
      </c>
      <c r="Q180" s="70">
        <f>IF(VLOOKUP($A180,raw_lb[],COLUMN(Q$1),FALSE)=0, VLOOKUP($D180, regions_lb[], COLUMN(Q$1), FALSE), VLOOKUP($A180,raw_lb[],COLUMN(Q$1),FALSE))</f>
        <v>1.363417358892439</v>
      </c>
      <c r="R180" s="70">
        <f>IF(VLOOKUP($A180,raw_lb[],COLUMN(R$1),FALSE)=0, VLOOKUP($D180, regions_lb[], COLUMN(R$1), FALSE), VLOOKUP($A180,raw_lb[],COLUMN(R$1),FALSE))</f>
        <v>8.4243173588924396</v>
      </c>
      <c r="S180" s="70">
        <f>IF(VLOOKUP($A180,raw_lb[],COLUMN(S$1),FALSE)=0, VLOOKUP($D180, regions_lb[], COLUMN(S$1), FALSE), VLOOKUP($A180,raw_lb[],COLUMN(S$1),FALSE))</f>
        <v>42.178197859136688</v>
      </c>
      <c r="T180" s="70">
        <f>IF(VLOOKUP($A180,raw_lb[],COLUMN(U$1)-COLUMN($A$1),FALSE)=0, VLOOKUP($D180, regions_lb[], COLUMN(U$1)-COLUMN($A$1), FALSE), VLOOKUP($A180,raw_lb[],COLUMN(U$1)-COLUMN($A$1),FALSE))</f>
        <v>44.537924195187848</v>
      </c>
      <c r="U180" s="70">
        <f>IF(VLOOKUP($A180,raw_lb[],COLUMN(V$1)-COLUMN($A$1),FALSE)=0, VLOOKUP($D180, regions_lb[], COLUMN(V$1)-COLUMN($A$1), FALSE), VLOOKUP($A180,raw_lb[],COLUMN(V$1)-COLUMN($A$1),FALSE))</f>
        <v>43.454387739933651</v>
      </c>
      <c r="V180" s="70">
        <f>IF(VLOOKUP($A180,raw_lb[],COLUMN(W$1)-COLUMN($A$1),FALSE)=0, VLOOKUP($D180, regions_lb[], COLUMN(W$1)-COLUMN($A$1), FALSE), VLOOKUP($A180,raw_lb[],COLUMN(W$1)-COLUMN($A$1),FALSE))</f>
        <v>3.0017711756914398</v>
      </c>
      <c r="W180" s="70">
        <f>IF(VLOOKUP($A180,raw_lb[],COLUMN(X$1)-COLUMN($A$1),FALSE)=0, VLOOKUP($D180, regions_lb[], COLUMN(X$1)-COLUMN($A$1), FALSE), VLOOKUP($A180,raw_lb[],COLUMN(X$1)-COLUMN($A$1),FALSE))</f>
        <v>7.5902711756914396</v>
      </c>
      <c r="X180" s="70">
        <f>IF(VLOOKUP($A180,raw_lb[],COLUMN(Y$1)-COLUMN($A$1),FALSE)=0, VLOOKUP($D180, regions_lb[], COLUMN(Y$1)-COLUMN($A$1), FALSE), VLOOKUP($A180,raw_lb[],COLUMN(Y$1)-COLUMN($A$1),FALSE))</f>
        <v>2.5259361948511736</v>
      </c>
      <c r="Y180" s="70">
        <f>IF(VLOOKUP($A180,raw_lb[],COLUMN(Z$1)-COLUMN($A$1),FALSE)=0, VLOOKUP($D180, regions_lb[], COLUMN(Z$1)-COLUMN($A$1), FALSE), VLOOKUP($A180,raw_lb[],COLUMN(Z$1)-COLUMN($A$1),FALSE))</f>
        <v>7.114436194851173</v>
      </c>
      <c r="Z180" s="70">
        <f>IF(VLOOKUP($A180,raw_lb[],COLUMN(AA$1)-COLUMN($A$1),FALSE)=0, VLOOKUP($D180, regions_lb[], COLUMN(AA$1)-COLUMN($A$1), FALSE), VLOOKUP($A180,raw_lb[],COLUMN(AA$1)-COLUMN($A$1),FALSE))</f>
        <v>7.1095052633559828</v>
      </c>
      <c r="AA180" s="70">
        <f>IF(VLOOKUP($A180,raw_lb[],COLUMN(AB$1)-COLUMN($A$1),FALSE)=0, VLOOKUP($D180, regions_lb[], COLUMN(AB$1)-COLUMN($A$1), FALSE), VLOOKUP($A180,raw_lb[],COLUMN(AB$1)-COLUMN($A$1),FALSE))</f>
        <v>3.1608830054588641</v>
      </c>
      <c r="AB180" s="70">
        <f>IF(VLOOKUP($A180,raw_lb[],COLUMN(AC$1)-COLUMN($A$1),FALSE)=0, VLOOKUP($D180, regions_lb[], COLUMN(AC$1)-COLUMN($A$1), FALSE), VLOOKUP($A180,raw_lb[],COLUMN(AC$1)-COLUMN($A$1),FALSE))</f>
        <v>7.7493830054588635</v>
      </c>
      <c r="AC180" s="72">
        <f>IF(VLOOKUP($A180,raw_lb[],COLUMN(AD$1)-COLUMN($A$1),FALSE)=0, VLOOKUP($D180, regions_lb[], COLUMN(AD$1)-COLUMN($A$1), FALSE), VLOOKUP($A180,raw_lb[],COLUMN(AD$1)-COLUMN($A$1),FALSE))</f>
        <v>3.9296541000000018E-2</v>
      </c>
      <c r="AD180" s="72">
        <f>IF(VLOOKUP($A180,raw_lb[],COLUMN(AE$1)-COLUMN($A$1),FALSE)=0, VLOOKUP($D180, regions_lb[], COLUMN(AE$1)-COLUMN($A$1), FALSE), VLOOKUP($A180,raw_lb[],COLUMN(AE$1)-COLUMN($A$1),FALSE))</f>
        <v>3.2356439501565501E-3</v>
      </c>
      <c r="AE180" s="72">
        <f>IF(VLOOKUP($A180,raw_lb[],COLUMN(AF$1)-COLUMN($A$1),FALSE)=0, VLOOKUP($D180, regions_lb[], COLUMN(AF$1)-COLUMN($A$1), FALSE), VLOOKUP($A180,raw_lb[],COLUMN(AF$1)-COLUMN($A$1),FALSE))</f>
        <v>9.3129185945059663E-4</v>
      </c>
      <c r="AF180" s="72">
        <f>IF(VLOOKUP($A180,raw_lb[],COLUMN(AG$1)-COLUMN($A$1),FALSE)=0, VLOOKUP($D180, regions_lb[], COLUMN(AG$1)-COLUMN($A$1), FALSE), VLOOKUP($A180,raw_lb[],COLUMN(AG$1)-COLUMN($A$1),FALSE))</f>
        <v>8.246725724544592E-4</v>
      </c>
      <c r="AG180" s="72">
        <f>IF(VLOOKUP($A180,raw_lb[],COLUMN(AH$1)-COLUMN($A$1),FALSE)=0, VLOOKUP($D180, regions_lb[], COLUMN(AH$1)-COLUMN($A$1), FALSE), VLOOKUP($A180,raw_lb[],COLUMN(AH$1)-COLUMN($A$1),FALSE))</f>
        <v>1.3738338004683525E-3</v>
      </c>
      <c r="AH180" s="72">
        <f>IF(VLOOKUP($A180,raw_lb[],COLUMN(AI$1)-COLUMN($A$1),FALSE)=0, VLOOKUP($D180, regions_lb[], COLUMN(AI$1)-COLUMN($A$1), FALSE), VLOOKUP($A180,raw_lb[],COLUMN(AI$1)-COLUMN($A$1),FALSE))</f>
        <v>2.5788590094942888E-3</v>
      </c>
      <c r="AI180" s="72">
        <f>IF(VLOOKUP($A180,raw_lb[],COLUMN(AJ$1)-COLUMN($A$1),FALSE)=0, VLOOKUP($D180, regions_lb[], COLUMN(AJ$1)-COLUMN($A$1), FALSE), VLOOKUP($A180,raw_lb[],COLUMN(AJ$1)-COLUMN($A$1),FALSE))</f>
        <v>4.8579968408584773E-3</v>
      </c>
      <c r="AJ180" s="72">
        <f>IF(VLOOKUP($A180,raw_lb[],COLUMN(AK$1)-COLUMN($A$1),FALSE)=0, VLOOKUP($D180, regions_lb[], COLUMN(AK$1)-COLUMN($A$1), FALSE), VLOOKUP($A180,raw_lb[],COLUMN(AK$1)-COLUMN($A$1),FALSE))</f>
        <v>7.4965187087157065E-3</v>
      </c>
      <c r="AK180" s="72">
        <f>IF(VLOOKUP($A180,raw_lb[],COLUMN(AL$1)-COLUMN($A$1),FALSE)=0, VLOOKUP($D180, regions_lb[], COLUMN(AL$1)-COLUMN($A$1), FALSE), VLOOKUP($A180,raw_lb[],COLUMN(AL$1)-COLUMN($A$1),FALSE))</f>
        <v>1.1251743117868637E-2</v>
      </c>
      <c r="AL180" s="72">
        <f>IF(VLOOKUP($A180,raw_lb[],COLUMN(AM$1)-COLUMN($A$1),FALSE)=0, VLOOKUP($D180, regions_lb[], COLUMN(AM$1)-COLUMN($A$1), FALSE), VLOOKUP($A180,raw_lb[],COLUMN(AM$1)-COLUMN($A$1),FALSE))</f>
        <v>1.3085864766131525E-2</v>
      </c>
      <c r="AM180" s="72">
        <f>IF(VLOOKUP($A180,raw_lb[],COLUMN(AN$1)-COLUMN($A$1),FALSE)=0, VLOOKUP($D180, regions_lb[], COLUMN(AN$1)-COLUMN($A$1), FALSE), VLOOKUP($A180,raw_lb[],COLUMN(AN$1)-COLUMN($A$1),FALSE))</f>
        <v>1.565022910591805E-2</v>
      </c>
      <c r="AN180" s="72">
        <f>IF(VLOOKUP($A180,raw_lb[],COLUMN(AO$1)-COLUMN($A$1),FALSE)=0, VLOOKUP($D180, regions_lb[], COLUMN(AO$1)-COLUMN($A$1), FALSE), VLOOKUP($A180,raw_lb[],COLUMN(AO$1)-COLUMN($A$1),FALSE))</f>
        <v>1.8232453880625457E-2</v>
      </c>
      <c r="AO180" s="72">
        <f>IF(VLOOKUP($A180,raw_lb[],COLUMN(AP$1)-COLUMN($A$1),FALSE)=0, VLOOKUP($D180, regions_lb[], COLUMN(AP$1)-COLUMN($A$1), FALSE), VLOOKUP($A180,raw_lb[],COLUMN(AP$1)-COLUMN($A$1),FALSE))</f>
        <v>2.1267433992478435E-2</v>
      </c>
      <c r="AP180" s="72">
        <f>IF(VLOOKUP($A180,raw_lb[],COLUMN(AQ$1)-COLUMN($A$1),FALSE)=0, VLOOKUP($D180, regions_lb[], COLUMN(AQ$1)-COLUMN($A$1), FALSE), VLOOKUP($A180,raw_lb[],COLUMN(AQ$1)-COLUMN($A$1),FALSE))</f>
        <v>2.5764581718567808E-2</v>
      </c>
      <c r="AQ180" s="72">
        <f>IF(VLOOKUP($A180,raw_lb[],COLUMN(AR$1)-COLUMN($A$1),FALSE)=0, VLOOKUP($D180, regions_lb[], COLUMN(AR$1)-COLUMN($A$1), FALSE), VLOOKUP($A180,raw_lb[],COLUMN(AR$1)-COLUMN($A$1),FALSE))</f>
        <v>3.3179558993921422E-2</v>
      </c>
      <c r="AR180" s="72">
        <f>IF(VLOOKUP($A180,raw_lb[],COLUMN(AS$1)-COLUMN($A$1),FALSE)=0, VLOOKUP($D180, regions_lb[], COLUMN(AS$1)-COLUMN($A$1), FALSE), VLOOKUP($A180,raw_lb[],COLUMN(AS$1)-COLUMN($A$1),FALSE))</f>
        <v>4.5345093314553109E-2</v>
      </c>
      <c r="AS180" s="82">
        <f>IF(VLOOKUP($A180,raw_lb[],COLUMN(AS$1),FALSE)=0, VLOOKUP($D180, regions_lb[], COLUMN(AS$1), FALSE), VLOOKUP($A180,raw_lb[],COLUMN(AS$1),FALSE))</f>
        <v>6.3244428377568371E-2</v>
      </c>
      <c r="AT180" s="82">
        <f>IF(VLOOKUP($A180,raw_lb[],COLUMN(AT$1),FALSE)=0, VLOOKUP($D180, regions_lb[], COLUMN(AT$1), FALSE), VLOOKUP($A180,raw_lb[],COLUMN(AT$1),FALSE))</f>
        <v>9.2618213730883553E-2</v>
      </c>
      <c r="AU180" s="82">
        <f>IF(VLOOKUP($A180,raw_lb[],COLUMN(AU$1),FALSE)=0, VLOOKUP($D180, regions_lb[], COLUMN(AU$1), FALSE), VLOOKUP($A180,raw_lb[],COLUMN(AU$1),FALSE))</f>
        <v>0.13046748184065479</v>
      </c>
      <c r="AV180" s="82">
        <f>IF(VLOOKUP($A180,raw_lb[],COLUMN(AV$1),FALSE)=0, VLOOKUP($D180, regions_lb[], COLUMN(AV$1), FALSE), VLOOKUP($A180,raw_lb[],COLUMN(AV$1),FALSE))</f>
        <v>0.1610155702387864</v>
      </c>
      <c r="AW180" s="82">
        <f>IF(VLOOKUP($A180,raw_lb[],COLUMN(AW$1),FALSE)=0, VLOOKUP($D180, regions_lb[], COLUMN(AW$1), FALSE), VLOOKUP($A180,raw_lb[],COLUMN(AW$1),FALSE))</f>
        <v>0.17383584076451813</v>
      </c>
      <c r="AX180" s="82">
        <f>IF(VLOOKUP($A180,raw_lb[],COLUMN(AX$1),FALSE)=0, VLOOKUP($D180, regions_lb[], COLUMN(AX$1), FALSE), VLOOKUP($A180,raw_lb[],COLUMN(AX$1),FALSE))</f>
        <v>56.348299999999995</v>
      </c>
      <c r="AY180" t="str">
        <f t="shared" si="6"/>
        <v>Yes</v>
      </c>
    </row>
    <row r="181" spans="1:51" x14ac:dyDescent="0.25">
      <c r="A181" s="55" t="s">
        <v>305</v>
      </c>
      <c r="B181" s="56" t="s">
        <v>306</v>
      </c>
      <c r="C181" s="56">
        <v>231</v>
      </c>
      <c r="D181" s="56" t="s">
        <v>207</v>
      </c>
      <c r="E181" s="56" t="s">
        <v>255</v>
      </c>
      <c r="F181" s="56" t="s">
        <v>211</v>
      </c>
      <c r="G181" s="56" t="s">
        <v>198</v>
      </c>
      <c r="H181" s="74"/>
      <c r="I181" s="74"/>
      <c r="J181" s="67">
        <f>IF(VLOOKUP($A181,raw_lb[],COLUMN(J$1),FALSE)=0, VLOOKUP($D181, regions_lb[], COLUMN(J$1), FALSE), VLOOKUP($A181,raw_lb[],COLUMN(J$1),FALSE))</f>
        <v>0.45124999999999998</v>
      </c>
      <c r="K181" s="77">
        <f>VLOOKUP($A181, raw_lb[], 11, FALSE)</f>
        <v>0</v>
      </c>
      <c r="L181" s="77">
        <f>VLOOKUP($A181, raw_lb[], 12, FALSE)</f>
        <v>0.67449999999999999</v>
      </c>
      <c r="M181" s="77">
        <f>IF(VLOOKUP($A181,raw_lb[],COLUMN(M$1),FALSE)=0, VLOOKUP($D181, regions_lb[], COLUMN(M$1), FALSE), VLOOKUP($A181,raw_lb[],COLUMN(M$1),FALSE))</f>
        <v>4.4299999999999999E-2</v>
      </c>
      <c r="N181" s="68">
        <f>IF(VLOOKUP($A181,raw_lb[],COLUMN(N$1),FALSE)=0, VLOOKUP($D181, regions_lb[], COLUMN(N$1), FALSE), VLOOKUP($A181,raw_lb[],COLUMN(N$1),FALSE))</f>
        <v>0.15560000000000002</v>
      </c>
      <c r="O181" s="67">
        <f>IF(VLOOKUP($A181,raw_lb[],COLUMN(O$1),FALSE)=0, VLOOKUP($D181, regions_lb[], COLUMN(O$1), FALSE), VLOOKUP($A181,raw_lb[],COLUMN(O$1),FALSE))</f>
        <v>7.0000000000000007E-2</v>
      </c>
      <c r="P181" s="68">
        <f>IF(VLOOKUP($A181,raw_lb[],COLUMN(P$1),FALSE)=0, VLOOKUP($D181, regions_lb[], COLUMN(P$1), FALSE), VLOOKUP($A181,raw_lb[],COLUMN(P$1),FALSE))</f>
        <v>1E-3</v>
      </c>
      <c r="Q181" s="70">
        <f>IF(VLOOKUP($A181,raw_lb[],COLUMN(Q$1),FALSE)=0, VLOOKUP($D181, regions_lb[], COLUMN(Q$1), FALSE), VLOOKUP($A181,raw_lb[],COLUMN(Q$1),FALSE))</f>
        <v>0.59239518855656703</v>
      </c>
      <c r="R181" s="70">
        <f>IF(VLOOKUP($A181,raw_lb[],COLUMN(R$1),FALSE)=0, VLOOKUP($D181, regions_lb[], COLUMN(R$1), FALSE), VLOOKUP($A181,raw_lb[],COLUMN(R$1),FALSE))</f>
        <v>7.6532951885565677</v>
      </c>
      <c r="S181" s="70">
        <f>IF(VLOOKUP($A181,raw_lb[],COLUMN(S$1),FALSE)=0, VLOOKUP($D181, regions_lb[], COLUMN(S$1), FALSE), VLOOKUP($A181,raw_lb[],COLUMN(S$1),FALSE))</f>
        <v>37.192150480675082</v>
      </c>
      <c r="T181" s="70">
        <f>IF(VLOOKUP($A181,raw_lb[],COLUMN(U$1)-COLUMN($A$1),FALSE)=0, VLOOKUP($D181, regions_lb[], COLUMN(U$1)-COLUMN($A$1), FALSE), VLOOKUP($A181,raw_lb[],COLUMN(U$1)-COLUMN($A$1),FALSE))</f>
        <v>37.358103515864435</v>
      </c>
      <c r="U181" s="70">
        <f>IF(VLOOKUP($A181,raw_lb[],COLUMN(V$1)-COLUMN($A$1),FALSE)=0, VLOOKUP($D181, regions_lb[], COLUMN(V$1)-COLUMN($A$1), FALSE), VLOOKUP($A181,raw_lb[],COLUMN(V$1)-COLUMN($A$1),FALSE))</f>
        <v>37.281901389905769</v>
      </c>
      <c r="V181" s="70">
        <f>IF(VLOOKUP($A181,raw_lb[],COLUMN(W$1)-COLUMN($A$1),FALSE)=0, VLOOKUP($D181, regions_lb[], COLUMN(W$1)-COLUMN($A$1), FALSE), VLOOKUP($A181,raw_lb[],COLUMN(W$1)-COLUMN($A$1),FALSE))</f>
        <v>0.70270446674397824</v>
      </c>
      <c r="W181" s="70">
        <f>IF(VLOOKUP($A181,raw_lb[],COLUMN(X$1)-COLUMN($A$1),FALSE)=0, VLOOKUP($D181, regions_lb[], COLUMN(X$1)-COLUMN($A$1), FALSE), VLOOKUP($A181,raw_lb[],COLUMN(X$1)-COLUMN($A$1),FALSE))</f>
        <v>5.2912044667439782</v>
      </c>
      <c r="X181" s="70">
        <f>IF(VLOOKUP($A181,raw_lb[],COLUMN(Y$1)-COLUMN($A$1),FALSE)=0, VLOOKUP($D181, regions_lb[], COLUMN(Y$1)-COLUMN($A$1), FALSE), VLOOKUP($A181,raw_lb[],COLUMN(Y$1)-COLUMN($A$1),FALSE))</f>
        <v>0.23145436605854927</v>
      </c>
      <c r="Y181" s="70">
        <f>IF(VLOOKUP($A181,raw_lb[],COLUMN(Z$1)-COLUMN($A$1),FALSE)=0, VLOOKUP($D181, regions_lb[], COLUMN(Z$1)-COLUMN($A$1), FALSE), VLOOKUP($A181,raw_lb[],COLUMN(Z$1)-COLUMN($A$1),FALSE))</f>
        <v>4.8199543660585489</v>
      </c>
      <c r="Z181" s="70">
        <f>IF(VLOOKUP($A181,raw_lb[],COLUMN(AA$1)-COLUMN($A$1),FALSE)=0, VLOOKUP($D181, regions_lb[], COLUMN(AA$1)-COLUMN($A$1), FALSE), VLOOKUP($A181,raw_lb[],COLUMN(AA$1)-COLUMN($A$1),FALSE))</f>
        <v>4.8179051942175457</v>
      </c>
      <c r="AA181" s="70">
        <f>IF(VLOOKUP($A181,raw_lb[],COLUMN(AB$1)-COLUMN($A$1),FALSE)=0, VLOOKUP($D181, regions_lb[], COLUMN(AB$1)-COLUMN($A$1), FALSE), VLOOKUP($A181,raw_lb[],COLUMN(AB$1)-COLUMN($A$1),FALSE))</f>
        <v>0.84766866631933357</v>
      </c>
      <c r="AB181" s="70">
        <f>IF(VLOOKUP($A181,raw_lb[],COLUMN(AC$1)-COLUMN($A$1),FALSE)=0, VLOOKUP($D181, regions_lb[], COLUMN(AC$1)-COLUMN($A$1), FALSE), VLOOKUP($A181,raw_lb[],COLUMN(AC$1)-COLUMN($A$1),FALSE))</f>
        <v>5.4361686663193334</v>
      </c>
      <c r="AC181" s="72">
        <f>IF(VLOOKUP($A181,raw_lb[],COLUMN(AD$1)-COLUMN($A$1),FALSE)=0, VLOOKUP($D181, regions_lb[], COLUMN(AD$1)-COLUMN($A$1), FALSE), VLOOKUP($A181,raw_lb[],COLUMN(AD$1)-COLUMN($A$1),FALSE))</f>
        <v>3.5162103000000049E-2</v>
      </c>
      <c r="AD181" s="72">
        <f>IF(VLOOKUP($A181,raw_lb[],COLUMN(AE$1)-COLUMN($A$1),FALSE)=0, VLOOKUP($D181, regions_lb[], COLUMN(AE$1)-COLUMN($A$1), FALSE), VLOOKUP($A181,raw_lb[],COLUMN(AE$1)-COLUMN($A$1),FALSE))</f>
        <v>4.4093999748241446E-3</v>
      </c>
      <c r="AE181" s="72">
        <f>IF(VLOOKUP($A181,raw_lb[],COLUMN(AF$1)-COLUMN($A$1),FALSE)=0, VLOOKUP($D181, regions_lb[], COLUMN(AF$1)-COLUMN($A$1), FALSE), VLOOKUP($A181,raw_lb[],COLUMN(AF$1)-COLUMN($A$1),FALSE))</f>
        <v>1.8938733745861643E-3</v>
      </c>
      <c r="AF181" s="72">
        <f>IF(VLOOKUP($A181,raw_lb[],COLUMN(AG$1)-COLUMN($A$1),FALSE)=0, VLOOKUP($D181, regions_lb[], COLUMN(AG$1)-COLUMN($A$1), FALSE), VLOOKUP($A181,raw_lb[],COLUMN(AG$1)-COLUMN($A$1),FALSE))</f>
        <v>1.4681948499645611E-3</v>
      </c>
      <c r="AG181" s="72">
        <f>IF(VLOOKUP($A181,raw_lb[],COLUMN(AH$1)-COLUMN($A$1),FALSE)=0, VLOOKUP($D181, regions_lb[], COLUMN(AH$1)-COLUMN($A$1), FALSE), VLOOKUP($A181,raw_lb[],COLUMN(AH$1)-COLUMN($A$1),FALSE))</f>
        <v>1.8098240463444058E-3</v>
      </c>
      <c r="AH181" s="72">
        <f>IF(VLOOKUP($A181,raw_lb[],COLUMN(AI$1)-COLUMN($A$1),FALSE)=0, VLOOKUP($D181, regions_lb[], COLUMN(AI$1)-COLUMN($A$1), FALSE), VLOOKUP($A181,raw_lb[],COLUMN(AI$1)-COLUMN($A$1),FALSE))</f>
        <v>2.23033264524364E-3</v>
      </c>
      <c r="AI181" s="72">
        <f>IF(VLOOKUP($A181,raw_lb[],COLUMN(AJ$1)-COLUMN($A$1),FALSE)=0, VLOOKUP($D181, regions_lb[], COLUMN(AJ$1)-COLUMN($A$1), FALSE), VLOOKUP($A181,raw_lb[],COLUMN(AJ$1)-COLUMN($A$1),FALSE))</f>
        <v>2.5742652555131289E-3</v>
      </c>
      <c r="AJ181" s="72">
        <f>IF(VLOOKUP($A181,raw_lb[],COLUMN(AK$1)-COLUMN($A$1),FALSE)=0, VLOOKUP($D181, regions_lb[], COLUMN(AK$1)-COLUMN($A$1), FALSE), VLOOKUP($A181,raw_lb[],COLUMN(AK$1)-COLUMN($A$1),FALSE))</f>
        <v>3.257865104175783E-3</v>
      </c>
      <c r="AK181" s="72">
        <f>IF(VLOOKUP($A181,raw_lb[],COLUMN(AL$1)-COLUMN($A$1),FALSE)=0, VLOOKUP($D181, regions_lb[], COLUMN(AL$1)-COLUMN($A$1), FALSE), VLOOKUP($A181,raw_lb[],COLUMN(AL$1)-COLUMN($A$1),FALSE))</f>
        <v>4.5089541624591242E-3</v>
      </c>
      <c r="AL181" s="72">
        <f>IF(VLOOKUP($A181,raw_lb[],COLUMN(AM$1)-COLUMN($A$1),FALSE)=0, VLOOKUP($D181, regions_lb[], COLUMN(AM$1)-COLUMN($A$1), FALSE), VLOOKUP($A181,raw_lb[],COLUMN(AM$1)-COLUMN($A$1),FALSE))</f>
        <v>5.4890127004894951E-3</v>
      </c>
      <c r="AM181" s="72">
        <f>IF(VLOOKUP($A181,raw_lb[],COLUMN(AN$1)-COLUMN($A$1),FALSE)=0, VLOOKUP($D181, regions_lb[], COLUMN(AN$1)-COLUMN($A$1), FALSE), VLOOKUP($A181,raw_lb[],COLUMN(AN$1)-COLUMN($A$1),FALSE))</f>
        <v>6.3964443547863507E-3</v>
      </c>
      <c r="AN181" s="72">
        <f>IF(VLOOKUP($A181,raw_lb[],COLUMN(AO$1)-COLUMN($A$1),FALSE)=0, VLOOKUP($D181, regions_lb[], COLUMN(AO$1)-COLUMN($A$1), FALSE), VLOOKUP($A181,raw_lb[],COLUMN(AO$1)-COLUMN($A$1),FALSE))</f>
        <v>8.2000472172050476E-3</v>
      </c>
      <c r="AO181" s="72">
        <f>IF(VLOOKUP($A181,raw_lb[],COLUMN(AP$1)-COLUMN($A$1),FALSE)=0, VLOOKUP($D181, regions_lb[], COLUMN(AP$1)-COLUMN($A$1), FALSE), VLOOKUP($A181,raw_lb[],COLUMN(AP$1)-COLUMN($A$1),FALSE))</f>
        <v>1.0542759618258613E-2</v>
      </c>
      <c r="AP181" s="72">
        <f>IF(VLOOKUP($A181,raw_lb[],COLUMN(AQ$1)-COLUMN($A$1),FALSE)=0, VLOOKUP($D181, regions_lb[], COLUMN(AQ$1)-COLUMN($A$1), FALSE), VLOOKUP($A181,raw_lb[],COLUMN(AQ$1)-COLUMN($A$1),FALSE))</f>
        <v>1.5923741319656827E-2</v>
      </c>
      <c r="AQ181" s="72">
        <f>IF(VLOOKUP($A181,raw_lb[],COLUMN(AR$1)-COLUMN($A$1),FALSE)=0, VLOOKUP($D181, regions_lb[], COLUMN(AR$1)-COLUMN($A$1), FALSE), VLOOKUP($A181,raw_lb[],COLUMN(AR$1)-COLUMN($A$1),FALSE))</f>
        <v>2.4647634230856311E-2</v>
      </c>
      <c r="AR181" s="72">
        <f>IF(VLOOKUP($A181,raw_lb[],COLUMN(AS$1)-COLUMN($A$1),FALSE)=0, VLOOKUP($D181, regions_lb[], COLUMN(AS$1)-COLUMN($A$1), FALSE), VLOOKUP($A181,raw_lb[],COLUMN(AS$1)-COLUMN($A$1),FALSE))</f>
        <v>3.8472241853457559E-2</v>
      </c>
      <c r="AS181" s="82">
        <f>IF(VLOOKUP($A181,raw_lb[],COLUMN(AS$1),FALSE)=0, VLOOKUP($D181, regions_lb[], COLUMN(AS$1), FALSE), VLOOKUP($A181,raw_lb[],COLUMN(AS$1),FALSE))</f>
        <v>5.8978491540945345E-2</v>
      </c>
      <c r="AT181" s="82">
        <f>IF(VLOOKUP($A181,raw_lb[],COLUMN(AT$1),FALSE)=0, VLOOKUP($D181, regions_lb[], COLUMN(AT$1), FALSE), VLOOKUP($A181,raw_lb[],COLUMN(AT$1),FALSE))</f>
        <v>8.6810322709149887E-2</v>
      </c>
      <c r="AU181" s="82">
        <f>IF(VLOOKUP($A181,raw_lb[],COLUMN(AU$1),FALSE)=0, VLOOKUP($D181, regions_lb[], COLUMN(AU$1), FALSE), VLOOKUP($A181,raw_lb[],COLUMN(AU$1),FALSE))</f>
        <v>0.11800026936319949</v>
      </c>
      <c r="AV181" s="82">
        <f>IF(VLOOKUP($A181,raw_lb[],COLUMN(AV$1),FALSE)=0, VLOOKUP($D181, regions_lb[], COLUMN(AV$1), FALSE), VLOOKUP($A181,raw_lb[],COLUMN(AV$1),FALSE))</f>
        <v>0.14546619533078509</v>
      </c>
      <c r="AW181" s="82">
        <f>IF(VLOOKUP($A181,raw_lb[],COLUMN(AW$1),FALSE)=0, VLOOKUP($D181, regions_lb[], COLUMN(AW$1), FALSE), VLOOKUP($A181,raw_lb[],COLUMN(AW$1),FALSE))</f>
        <v>0.16454652426176095</v>
      </c>
      <c r="AX181" s="82">
        <f>IF(VLOOKUP($A181,raw_lb[],COLUMN(AX$1),FALSE)=0, VLOOKUP($D181, regions_lb[], COLUMN(AX$1), FALSE), VLOOKUP($A181,raw_lb[],COLUMN(AX$1),FALSE))</f>
        <v>62.668649999999992</v>
      </c>
      <c r="AY181" t="str">
        <f t="shared" si="6"/>
        <v>Yes</v>
      </c>
    </row>
    <row r="182" spans="1:51" x14ac:dyDescent="0.25">
      <c r="A182" s="53" t="s">
        <v>307</v>
      </c>
      <c r="B182" s="54" t="s">
        <v>308</v>
      </c>
      <c r="C182" s="54">
        <v>242</v>
      </c>
      <c r="D182" s="54" t="s">
        <v>260</v>
      </c>
      <c r="E182" s="54" t="s">
        <v>309</v>
      </c>
      <c r="F182" s="54" t="s">
        <v>262</v>
      </c>
      <c r="G182" s="54" t="s">
        <v>204</v>
      </c>
      <c r="H182" s="73"/>
      <c r="I182" s="73"/>
      <c r="J182" s="67">
        <f>IF(VLOOKUP($A182,raw_lb[],COLUMN(J$1),FALSE)=0, VLOOKUP($D182, regions_lb[], COLUMN(J$1), FALSE), VLOOKUP($A182,raw_lb[],COLUMN(J$1),FALSE))</f>
        <v>0.93764999999999998</v>
      </c>
      <c r="K182" s="77">
        <f>VLOOKUP($A182, raw_lb[], 11, FALSE)</f>
        <v>0.9405</v>
      </c>
      <c r="L182" s="77">
        <f>VLOOKUP($A182, raw_lb[], 12, FALSE)</f>
        <v>0.9405</v>
      </c>
      <c r="M182" s="77">
        <f>IF(VLOOKUP($A182,raw_lb[],COLUMN(M$1),FALSE)=0, VLOOKUP($D182, regions_lb[], COLUMN(M$1), FALSE), VLOOKUP($A182,raw_lb[],COLUMN(M$1),FALSE))</f>
        <v>2.3799999999999998E-2</v>
      </c>
      <c r="N182" s="68">
        <f>IF(VLOOKUP($A182,raw_lb[],COLUMN(N$1),FALSE)=0, VLOOKUP($D182, regions_lb[], COLUMN(N$1), FALSE), VLOOKUP($A182,raw_lb[],COLUMN(N$1),FALSE))</f>
        <v>0.1832</v>
      </c>
      <c r="O182" s="67">
        <f>IF(VLOOKUP($A182,raw_lb[],COLUMN(O$1),FALSE)=0, VLOOKUP($D182, regions_lb[], COLUMN(O$1), FALSE), VLOOKUP($A182,raw_lb[],COLUMN(O$1),FALSE))</f>
        <v>0.7</v>
      </c>
      <c r="P182" s="68">
        <f>IF(VLOOKUP($A182,raw_lb[],COLUMN(P$1),FALSE)=0, VLOOKUP($D182, regions_lb[], COLUMN(P$1), FALSE), VLOOKUP($A182,raw_lb[],COLUMN(P$1),FALSE))</f>
        <v>0.05</v>
      </c>
      <c r="Q182" s="70">
        <f>IF(VLOOKUP($A182,raw_lb[],COLUMN(Q$1),FALSE)=0, VLOOKUP($D182, regions_lb[], COLUMN(Q$1), FALSE), VLOOKUP($A182,raw_lb[],COLUMN(Q$1),FALSE))</f>
        <v>1.206245101281521</v>
      </c>
      <c r="R182" s="70">
        <f>IF(VLOOKUP($A182,raw_lb[],COLUMN(R$1),FALSE)=0, VLOOKUP($D182, regions_lb[], COLUMN(R$1), FALSE), VLOOKUP($A182,raw_lb[],COLUMN(R$1),FALSE))</f>
        <v>8.2671451012815211</v>
      </c>
      <c r="S182" s="70">
        <f>IF(VLOOKUP($A182,raw_lb[],COLUMN(S$1),FALSE)=0, VLOOKUP($D182, regions_lb[], COLUMN(S$1), FALSE), VLOOKUP($A182,raw_lb[],COLUMN(S$1),FALSE))</f>
        <v>41.72065521480279</v>
      </c>
      <c r="T182" s="70">
        <f>IF(VLOOKUP($A182,raw_lb[],COLUMN(U$1)-COLUMN($A$1),FALSE)=0, VLOOKUP($D182, regions_lb[], COLUMN(U$1)-COLUMN($A$1), FALSE), VLOOKUP($A182,raw_lb[],COLUMN(U$1)-COLUMN($A$1),FALSE))</f>
        <v>43.924049262854318</v>
      </c>
      <c r="U182" s="70">
        <f>IF(VLOOKUP($A182,raw_lb[],COLUMN(V$1)-COLUMN($A$1),FALSE)=0, VLOOKUP($D182, regions_lb[], COLUMN(V$1)-COLUMN($A$1), FALSE), VLOOKUP($A182,raw_lb[],COLUMN(V$1)-COLUMN($A$1),FALSE))</f>
        <v>42.912297289805949</v>
      </c>
      <c r="V182" s="70">
        <f>IF(VLOOKUP($A182,raw_lb[],COLUMN(W$1)-COLUMN($A$1),FALSE)=0, VLOOKUP($D182, regions_lb[], COLUMN(W$1)-COLUMN($A$1), FALSE), VLOOKUP($A182,raw_lb[],COLUMN(W$1)-COLUMN($A$1),FALSE))</f>
        <v>4.5025533774667448</v>
      </c>
      <c r="W182" s="70">
        <f>IF(VLOOKUP($A182,raw_lb[],COLUMN(X$1)-COLUMN($A$1),FALSE)=0, VLOOKUP($D182, regions_lb[], COLUMN(X$1)-COLUMN($A$1), FALSE), VLOOKUP($A182,raw_lb[],COLUMN(X$1)-COLUMN($A$1),FALSE))</f>
        <v>5.1010533774667444</v>
      </c>
      <c r="X182" s="70">
        <f>IF(VLOOKUP($A182,raw_lb[],COLUMN(Y$1)-COLUMN($A$1),FALSE)=0, VLOOKUP($D182, regions_lb[], COLUMN(Y$1)-COLUMN($A$1), FALSE), VLOOKUP($A182,raw_lb[],COLUMN(Y$1)-COLUMN($A$1),FALSE))</f>
        <v>4.0283217253072356</v>
      </c>
      <c r="Y182" s="70">
        <f>IF(VLOOKUP($A182,raw_lb[],COLUMN(Z$1)-COLUMN($A$1),FALSE)=0, VLOOKUP($D182, regions_lb[], COLUMN(Z$1)-COLUMN($A$1), FALSE), VLOOKUP($A182,raw_lb[],COLUMN(Z$1)-COLUMN($A$1),FALSE))</f>
        <v>4.6268217253072352</v>
      </c>
      <c r="Z182" s="70">
        <f>IF(VLOOKUP($A182,raw_lb[],COLUMN(AA$1)-COLUMN($A$1),FALSE)=0, VLOOKUP($D182, regions_lb[], COLUMN(AA$1)-COLUMN($A$1), FALSE), VLOOKUP($A182,raw_lb[],COLUMN(AA$1)-COLUMN($A$1),FALSE))</f>
        <v>4.6229132418876562</v>
      </c>
      <c r="AA182" s="70">
        <f>IF(VLOOKUP($A182,raw_lb[],COLUMN(AB$1)-COLUMN($A$1),FALSE)=0, VLOOKUP($D182, regions_lb[], COLUMN(AB$1)-COLUMN($A$1), FALSE), VLOOKUP($A182,raw_lb[],COLUMN(AB$1)-COLUMN($A$1),FALSE))</f>
        <v>4.656717793019264</v>
      </c>
      <c r="AB182" s="70">
        <f>IF(VLOOKUP($A182,raw_lb[],COLUMN(AC$1)-COLUMN($A$1),FALSE)=0, VLOOKUP($D182, regions_lb[], COLUMN(AC$1)-COLUMN($A$1), FALSE), VLOOKUP($A182,raw_lb[],COLUMN(AC$1)-COLUMN($A$1),FALSE))</f>
        <v>5.2552177930192636</v>
      </c>
      <c r="AC182" s="72">
        <f>IF(VLOOKUP($A182,raw_lb[],COLUMN(AD$1)-COLUMN($A$1),FALSE)=0, VLOOKUP($D182, regions_lb[], COLUMN(AD$1)-COLUMN($A$1), FALSE), VLOOKUP($A182,raw_lb[],COLUMN(AD$1)-COLUMN($A$1),FALSE))</f>
        <v>1.9311115499999962E-2</v>
      </c>
      <c r="AD182" s="72">
        <f>IF(VLOOKUP($A182,raw_lb[],COLUMN(AE$1)-COLUMN($A$1),FALSE)=0, VLOOKUP($D182, regions_lb[], COLUMN(AE$1)-COLUMN($A$1), FALSE), VLOOKUP($A182,raw_lb[],COLUMN(AE$1)-COLUMN($A$1),FALSE))</f>
        <v>1.0417516972074687E-3</v>
      </c>
      <c r="AE182" s="72">
        <f>IF(VLOOKUP($A182,raw_lb[],COLUMN(AF$1)-COLUMN($A$1),FALSE)=0, VLOOKUP($D182, regions_lb[], COLUMN(AF$1)-COLUMN($A$1), FALSE), VLOOKUP($A182,raw_lb[],COLUMN(AF$1)-COLUMN($A$1),FALSE))</f>
        <v>6.918383779126664E-4</v>
      </c>
      <c r="AF182" s="72">
        <f>IF(VLOOKUP($A182,raw_lb[],COLUMN(AG$1)-COLUMN($A$1),FALSE)=0, VLOOKUP($D182, regions_lb[], COLUMN(AG$1)-COLUMN($A$1), FALSE), VLOOKUP($A182,raw_lb[],COLUMN(AG$1)-COLUMN($A$1),FALSE))</f>
        <v>6.44820929259868E-4</v>
      </c>
      <c r="AG182" s="72">
        <f>IF(VLOOKUP($A182,raw_lb[],COLUMN(AH$1)-COLUMN($A$1),FALSE)=0, VLOOKUP($D182, regions_lb[], COLUMN(AH$1)-COLUMN($A$1), FALSE), VLOOKUP($A182,raw_lb[],COLUMN(AH$1)-COLUMN($A$1),FALSE))</f>
        <v>1.4426180520434157E-3</v>
      </c>
      <c r="AH182" s="72">
        <f>IF(VLOOKUP($A182,raw_lb[],COLUMN(AI$1)-COLUMN($A$1),FALSE)=0, VLOOKUP($D182, regions_lb[], COLUMN(AI$1)-COLUMN($A$1), FALSE), VLOOKUP($A182,raw_lb[],COLUMN(AI$1)-COLUMN($A$1),FALSE))</f>
        <v>2.0485197527218306E-3</v>
      </c>
      <c r="AI182" s="72">
        <f>IF(VLOOKUP($A182,raw_lb[],COLUMN(AJ$1)-COLUMN($A$1),FALSE)=0, VLOOKUP($D182, regions_lb[], COLUMN(AJ$1)-COLUMN($A$1), FALSE), VLOOKUP($A182,raw_lb[],COLUMN(AJ$1)-COLUMN($A$1),FALSE))</f>
        <v>2.2719517559361209E-3</v>
      </c>
      <c r="AJ182" s="72">
        <f>IF(VLOOKUP($A182,raw_lb[],COLUMN(AK$1)-COLUMN($A$1),FALSE)=0, VLOOKUP($D182, regions_lb[], COLUMN(AK$1)-COLUMN($A$1), FALSE), VLOOKUP($A182,raw_lb[],COLUMN(AK$1)-COLUMN($A$1),FALSE))</f>
        <v>2.6637939674999359E-3</v>
      </c>
      <c r="AK182" s="72">
        <f>IF(VLOOKUP($A182,raw_lb[],COLUMN(AL$1)-COLUMN($A$1),FALSE)=0, VLOOKUP($D182, regions_lb[], COLUMN(AL$1)-COLUMN($A$1), FALSE), VLOOKUP($A182,raw_lb[],COLUMN(AL$1)-COLUMN($A$1),FALSE))</f>
        <v>3.4118787053580577E-3</v>
      </c>
      <c r="AL182" s="72">
        <f>IF(VLOOKUP($A182,raw_lb[],COLUMN(AM$1)-COLUMN($A$1),FALSE)=0, VLOOKUP($D182, regions_lb[], COLUMN(AM$1)-COLUMN($A$1), FALSE), VLOOKUP($A182,raw_lb[],COLUMN(AM$1)-COLUMN($A$1),FALSE))</f>
        <v>4.5968987941880438E-3</v>
      </c>
      <c r="AM182" s="72">
        <f>IF(VLOOKUP($A182,raw_lb[],COLUMN(AN$1)-COLUMN($A$1),FALSE)=0, VLOOKUP($D182, regions_lb[], COLUMN(AN$1)-COLUMN($A$1), FALSE), VLOOKUP($A182,raw_lb[],COLUMN(AN$1)-COLUMN($A$1),FALSE))</f>
        <v>6.5232681946210168E-3</v>
      </c>
      <c r="AN182" s="72">
        <f>IF(VLOOKUP($A182,raw_lb[],COLUMN(AO$1)-COLUMN($A$1),FALSE)=0, VLOOKUP($D182, regions_lb[], COLUMN(AO$1)-COLUMN($A$1), FALSE), VLOOKUP($A182,raw_lb[],COLUMN(AO$1)-COLUMN($A$1),FALSE))</f>
        <v>9.4186823787848675E-3</v>
      </c>
      <c r="AO182" s="72">
        <f>IF(VLOOKUP($A182,raw_lb[],COLUMN(AP$1)-COLUMN($A$1),FALSE)=0, VLOOKUP($D182, regions_lb[], COLUMN(AP$1)-COLUMN($A$1), FALSE), VLOOKUP($A182,raw_lb[],COLUMN(AP$1)-COLUMN($A$1),FALSE))</f>
        <v>1.3680161373499804E-2</v>
      </c>
      <c r="AP182" s="72">
        <f>IF(VLOOKUP($A182,raw_lb[],COLUMN(AQ$1)-COLUMN($A$1),FALSE)=0, VLOOKUP($D182, regions_lb[], COLUMN(AQ$1)-COLUMN($A$1), FALSE), VLOOKUP($A182,raw_lb[],COLUMN(AQ$1)-COLUMN($A$1),FALSE))</f>
        <v>2.1261964019802976E-2</v>
      </c>
      <c r="AQ182" s="72">
        <f>IF(VLOOKUP($A182,raw_lb[],COLUMN(AR$1)-COLUMN($A$1),FALSE)=0, VLOOKUP($D182, regions_lb[], COLUMN(AR$1)-COLUMN($A$1), FALSE), VLOOKUP($A182,raw_lb[],COLUMN(AR$1)-COLUMN($A$1),FALSE))</f>
        <v>3.3003889101246388E-2</v>
      </c>
      <c r="AR182" s="72">
        <f>IF(VLOOKUP($A182,raw_lb[],COLUMN(AS$1)-COLUMN($A$1),FALSE)=0, VLOOKUP($D182, regions_lb[], COLUMN(AS$1)-COLUMN($A$1), FALSE), VLOOKUP($A182,raw_lb[],COLUMN(AS$1)-COLUMN($A$1),FALSE))</f>
        <v>4.9636283591296411E-2</v>
      </c>
      <c r="AS182" s="82">
        <f>IF(VLOOKUP($A182,raw_lb[],COLUMN(AS$1),FALSE)=0, VLOOKUP($D182, regions_lb[], COLUMN(AS$1), FALSE), VLOOKUP($A182,raw_lb[],COLUMN(AS$1),FALSE))</f>
        <v>7.2421474666782212E-2</v>
      </c>
      <c r="AT182" s="82">
        <f>IF(VLOOKUP($A182,raw_lb[],COLUMN(AT$1),FALSE)=0, VLOOKUP($D182, regions_lb[], COLUMN(AT$1), FALSE), VLOOKUP($A182,raw_lb[],COLUMN(AT$1),FALSE))</f>
        <v>0.10209991821448858</v>
      </c>
      <c r="AU182" s="82">
        <f>IF(VLOOKUP($A182,raw_lb[],COLUMN(AU$1),FALSE)=0, VLOOKUP($D182, regions_lb[], COLUMN(AU$1), FALSE), VLOOKUP($A182,raw_lb[],COLUMN(AU$1),FALSE))</f>
        <v>0.13400873228131649</v>
      </c>
      <c r="AV182" s="82">
        <f>IF(VLOOKUP($A182,raw_lb[],COLUMN(AV$1),FALSE)=0, VLOOKUP($D182, regions_lb[], COLUMN(AV$1), FALSE), VLOOKUP($A182,raw_lb[],COLUMN(AV$1),FALSE))</f>
        <v>0.15902320655465324</v>
      </c>
      <c r="AW182" s="82">
        <f>IF(VLOOKUP($A182,raw_lb[],COLUMN(AW$1),FALSE)=0, VLOOKUP($D182, regions_lb[], COLUMN(AW$1), FALSE), VLOOKUP($A182,raw_lb[],COLUMN(AW$1),FALSE))</f>
        <v>0.17439283883471171</v>
      </c>
      <c r="AX182" s="82">
        <f>IF(VLOOKUP($A182,raw_lb[],COLUMN(AX$1),FALSE)=0, VLOOKUP($D182, regions_lb[], COLUMN(AX$1), FALSE), VLOOKUP($A182,raw_lb[],COLUMN(AX$1),FALSE))</f>
        <v>63.909349999999996</v>
      </c>
      <c r="AY182" t="str">
        <f t="shared" si="6"/>
        <v>No</v>
      </c>
    </row>
    <row r="183" spans="1:51" x14ac:dyDescent="0.25">
      <c r="A183" s="55" t="s">
        <v>310</v>
      </c>
      <c r="B183" s="56" t="s">
        <v>311</v>
      </c>
      <c r="C183" s="56">
        <v>266</v>
      </c>
      <c r="D183" s="56" t="s">
        <v>207</v>
      </c>
      <c r="E183" s="56" t="s">
        <v>210</v>
      </c>
      <c r="F183" s="56" t="s">
        <v>211</v>
      </c>
      <c r="G183" s="56" t="s">
        <v>204</v>
      </c>
      <c r="H183" s="74"/>
      <c r="I183" s="74"/>
      <c r="J183" s="67">
        <f>IF(VLOOKUP($A183,raw_lb[],COLUMN(J$1),FALSE)=0, VLOOKUP($D183, regions_lb[], COLUMN(J$1), FALSE), VLOOKUP($A183,raw_lb[],COLUMN(J$1),FALSE))</f>
        <v>0.8569</v>
      </c>
      <c r="K183" s="77">
        <f>VLOOKUP($A183, raw_lb[], 11, FALSE)</f>
        <v>0</v>
      </c>
      <c r="L183" s="77">
        <f>VLOOKUP($A183, raw_lb[], 12, FALSE)</f>
        <v>0.59849999999999992</v>
      </c>
      <c r="M183" s="77">
        <f>IF(VLOOKUP($A183,raw_lb[],COLUMN(M$1),FALSE)=0, VLOOKUP($D183, regions_lb[], COLUMN(M$1), FALSE), VLOOKUP($A183,raw_lb[],COLUMN(M$1),FALSE))</f>
        <v>6.4299999999999996E-2</v>
      </c>
      <c r="N183" s="68">
        <f>IF(VLOOKUP($A183,raw_lb[],COLUMN(N$1),FALSE)=0, VLOOKUP($D183, regions_lb[], COLUMN(N$1), FALSE), VLOOKUP($A183,raw_lb[],COLUMN(N$1),FALSE))</f>
        <v>0.15279999999999999</v>
      </c>
      <c r="O183" s="67">
        <f>IF(VLOOKUP($A183,raw_lb[],COLUMN(O$1),FALSE)=0, VLOOKUP($D183, regions_lb[], COLUMN(O$1), FALSE), VLOOKUP($A183,raw_lb[],COLUMN(O$1),FALSE))</f>
        <v>7.0000000000000007E-2</v>
      </c>
      <c r="P183" s="68">
        <f>IF(VLOOKUP($A183,raw_lb[],COLUMN(P$1),FALSE)=0, VLOOKUP($D183, regions_lb[], COLUMN(P$1), FALSE), VLOOKUP($A183,raw_lb[],COLUMN(P$1),FALSE))</f>
        <v>1E-3</v>
      </c>
      <c r="Q183" s="70">
        <f>IF(VLOOKUP($A183,raw_lb[],COLUMN(Q$1),FALSE)=0, VLOOKUP($D183, regions_lb[], COLUMN(Q$1), FALSE), VLOOKUP($A183,raw_lb[],COLUMN(Q$1),FALSE))</f>
        <v>2.7737743017665202</v>
      </c>
      <c r="R183" s="70">
        <f>IF(VLOOKUP($A183,raw_lb[],COLUMN(R$1),FALSE)=0, VLOOKUP($D183, regions_lb[], COLUMN(R$1), FALSE), VLOOKUP($A183,raw_lb[],COLUMN(R$1),FALSE))</f>
        <v>9.8346743017665208</v>
      </c>
      <c r="S183" s="70">
        <f>IF(VLOOKUP($A183,raw_lb[],COLUMN(S$1),FALSE)=0, VLOOKUP($D183, regions_lb[], COLUMN(S$1), FALSE), VLOOKUP($A183,raw_lb[],COLUMN(S$1),FALSE))</f>
        <v>56.6386864859805</v>
      </c>
      <c r="T183" s="70">
        <f>IF(VLOOKUP($A183,raw_lb[],COLUMN(U$1)-COLUMN($A$1),FALSE)=0, VLOOKUP($D183, regions_lb[], COLUMN(U$1)-COLUMN($A$1), FALSE), VLOOKUP($A183,raw_lb[],COLUMN(U$1)-COLUMN($A$1),FALSE))</f>
        <v>65.790550246460924</v>
      </c>
      <c r="U183" s="70">
        <f>IF(VLOOKUP($A183,raw_lb[],COLUMN(V$1)-COLUMN($A$1),FALSE)=0, VLOOKUP($D183, regions_lb[], COLUMN(V$1)-COLUMN($A$1), FALSE), VLOOKUP($A183,raw_lb[],COLUMN(V$1)-COLUMN($A$1),FALSE))</f>
        <v>61.588207853404143</v>
      </c>
      <c r="V183" s="70">
        <f>IF(VLOOKUP($A183,raw_lb[],COLUMN(W$1)-COLUMN($A$1),FALSE)=0, VLOOKUP($D183, regions_lb[], COLUMN(W$1)-COLUMN($A$1), FALSE), VLOOKUP($A183,raw_lb[],COLUMN(W$1)-COLUMN($A$1),FALSE))</f>
        <v>1.4058861679932189</v>
      </c>
      <c r="W183" s="70">
        <f>IF(VLOOKUP($A183,raw_lb[],COLUMN(X$1)-COLUMN($A$1),FALSE)=0, VLOOKUP($D183, regions_lb[], COLUMN(X$1)-COLUMN($A$1), FALSE), VLOOKUP($A183,raw_lb[],COLUMN(X$1)-COLUMN($A$1),FALSE))</f>
        <v>5.9943861679932189</v>
      </c>
      <c r="X183" s="70">
        <f>IF(VLOOKUP($A183,raw_lb[],COLUMN(Y$1)-COLUMN($A$1),FALSE)=0, VLOOKUP($D183, regions_lb[], COLUMN(Y$1)-COLUMN($A$1), FALSE), VLOOKUP($A183,raw_lb[],COLUMN(Y$1)-COLUMN($A$1),FALSE))</f>
        <v>0.92941501385222025</v>
      </c>
      <c r="Y183" s="70">
        <f>IF(VLOOKUP($A183,raw_lb[],COLUMN(Z$1)-COLUMN($A$1),FALSE)=0, VLOOKUP($D183, regions_lb[], COLUMN(Z$1)-COLUMN($A$1), FALSE), VLOOKUP($A183,raw_lb[],COLUMN(Z$1)-COLUMN($A$1),FALSE))</f>
        <v>5.5179150138522202</v>
      </c>
      <c r="Z183" s="70">
        <f>IF(VLOOKUP($A183,raw_lb[],COLUMN(AA$1)-COLUMN($A$1),FALSE)=0, VLOOKUP($D183, regions_lb[], COLUMN(AA$1)-COLUMN($A$1), FALSE), VLOOKUP($A183,raw_lb[],COLUMN(AA$1)-COLUMN($A$1),FALSE))</f>
        <v>5.5126369550540231</v>
      </c>
      <c r="AA183" s="70">
        <f>IF(VLOOKUP($A183,raw_lb[],COLUMN(AB$1)-COLUMN($A$1),FALSE)=0, VLOOKUP($D183, regions_lb[], COLUMN(AB$1)-COLUMN($A$1), FALSE), VLOOKUP($A183,raw_lb[],COLUMN(AB$1)-COLUMN($A$1),FALSE))</f>
        <v>1.5669610468029036</v>
      </c>
      <c r="AB183" s="70">
        <f>IF(VLOOKUP($A183,raw_lb[],COLUMN(AC$1)-COLUMN($A$1),FALSE)=0, VLOOKUP($D183, regions_lb[], COLUMN(AC$1)-COLUMN($A$1), FALSE), VLOOKUP($A183,raw_lb[],COLUMN(AC$1)-COLUMN($A$1),FALSE))</f>
        <v>6.1554610468029036</v>
      </c>
      <c r="AC183" s="72">
        <f>IF(VLOOKUP($A183,raw_lb[],COLUMN(AD$1)-COLUMN($A$1),FALSE)=0, VLOOKUP($D183, regions_lb[], COLUMN(AD$1)-COLUMN($A$1), FALSE), VLOOKUP($A183,raw_lb[],COLUMN(AD$1)-COLUMN($A$1),FALSE))</f>
        <v>3.3524597499999989E-2</v>
      </c>
      <c r="AD183" s="72">
        <f>IF(VLOOKUP($A183,raw_lb[],COLUMN(AE$1)-COLUMN($A$1),FALSE)=0, VLOOKUP($D183, regions_lb[], COLUMN(AE$1)-COLUMN($A$1), FALSE), VLOOKUP($A183,raw_lb[],COLUMN(AE$1)-COLUMN($A$1),FALSE))</f>
        <v>3.1181153277051476E-3</v>
      </c>
      <c r="AE183" s="72">
        <f>IF(VLOOKUP($A183,raw_lb[],COLUMN(AF$1)-COLUMN($A$1),FALSE)=0, VLOOKUP($D183, regions_lb[], COLUMN(AF$1)-COLUMN($A$1), FALSE), VLOOKUP($A183,raw_lb[],COLUMN(AF$1)-COLUMN($A$1),FALSE))</f>
        <v>1.3534280693666577E-3</v>
      </c>
      <c r="AF183" s="72">
        <f>IF(VLOOKUP($A183,raw_lb[],COLUMN(AG$1)-COLUMN($A$1),FALSE)=0, VLOOKUP($D183, regions_lb[], COLUMN(AG$1)-COLUMN($A$1), FALSE), VLOOKUP($A183,raw_lb[],COLUMN(AG$1)-COLUMN($A$1),FALSE))</f>
        <v>9.6602626120263367E-4</v>
      </c>
      <c r="AG183" s="72">
        <f>IF(VLOOKUP($A183,raw_lb[],COLUMN(AH$1)-COLUMN($A$1),FALSE)=0, VLOOKUP($D183, regions_lb[], COLUMN(AH$1)-COLUMN($A$1), FALSE), VLOOKUP($A183,raw_lb[],COLUMN(AH$1)-COLUMN($A$1),FALSE))</f>
        <v>1.5989832141181605E-3</v>
      </c>
      <c r="AH183" s="72">
        <f>IF(VLOOKUP($A183,raw_lb[],COLUMN(AI$1)-COLUMN($A$1),FALSE)=0, VLOOKUP($D183, regions_lb[], COLUMN(AI$1)-COLUMN($A$1), FALSE), VLOOKUP($A183,raw_lb[],COLUMN(AI$1)-COLUMN($A$1),FALSE))</f>
        <v>2.3295615822446995E-3</v>
      </c>
      <c r="AI183" s="72">
        <f>IF(VLOOKUP($A183,raw_lb[],COLUMN(AJ$1)-COLUMN($A$1),FALSE)=0, VLOOKUP($D183, regions_lb[], COLUMN(AJ$1)-COLUMN($A$1), FALSE), VLOOKUP($A183,raw_lb[],COLUMN(AJ$1)-COLUMN($A$1),FALSE))</f>
        <v>2.6629354840562182E-3</v>
      </c>
      <c r="AJ183" s="72">
        <f>IF(VLOOKUP($A183,raw_lb[],COLUMN(AK$1)-COLUMN($A$1),FALSE)=0, VLOOKUP($D183, regions_lb[], COLUMN(AK$1)-COLUMN($A$1), FALSE), VLOOKUP($A183,raw_lb[],COLUMN(AK$1)-COLUMN($A$1),FALSE))</f>
        <v>3.0984537592486133E-3</v>
      </c>
      <c r="AK183" s="72">
        <f>IF(VLOOKUP($A183,raw_lb[],COLUMN(AL$1)-COLUMN($A$1),FALSE)=0, VLOOKUP($D183, regions_lb[], COLUMN(AL$1)-COLUMN($A$1), FALSE), VLOOKUP($A183,raw_lb[],COLUMN(AL$1)-COLUMN($A$1),FALSE))</f>
        <v>3.7690609189939992E-3</v>
      </c>
      <c r="AL183" s="72">
        <f>IF(VLOOKUP($A183,raw_lb[],COLUMN(AM$1)-COLUMN($A$1),FALSE)=0, VLOOKUP($D183, regions_lb[], COLUMN(AM$1)-COLUMN($A$1), FALSE), VLOOKUP($A183,raw_lb[],COLUMN(AM$1)-COLUMN($A$1),FALSE))</f>
        <v>4.7902333371076062E-3</v>
      </c>
      <c r="AM183" s="72">
        <f>IF(VLOOKUP($A183,raw_lb[],COLUMN(AN$1)-COLUMN($A$1),FALSE)=0, VLOOKUP($D183, regions_lb[], COLUMN(AN$1)-COLUMN($A$1), FALSE), VLOOKUP($A183,raw_lb[],COLUMN(AN$1)-COLUMN($A$1),FALSE))</f>
        <v>6.0982895688519731E-3</v>
      </c>
      <c r="AN183" s="72">
        <f>IF(VLOOKUP($A183,raw_lb[],COLUMN(AO$1)-COLUMN($A$1),FALSE)=0, VLOOKUP($D183, regions_lb[], COLUMN(AO$1)-COLUMN($A$1), FALSE), VLOOKUP($A183,raw_lb[],COLUMN(AO$1)-COLUMN($A$1),FALSE))</f>
        <v>8.7335098192560297E-3</v>
      </c>
      <c r="AO183" s="72">
        <f>IF(VLOOKUP($A183,raw_lb[],COLUMN(AP$1)-COLUMN($A$1),FALSE)=0, VLOOKUP($D183, regions_lb[], COLUMN(AP$1)-COLUMN($A$1), FALSE), VLOOKUP($A183,raw_lb[],COLUMN(AP$1)-COLUMN($A$1),FALSE))</f>
        <v>1.1757454620929968E-2</v>
      </c>
      <c r="AP183" s="72">
        <f>IF(VLOOKUP($A183,raw_lb[],COLUMN(AQ$1)-COLUMN($A$1),FALSE)=0, VLOOKUP($D183, regions_lb[], COLUMN(AQ$1)-COLUMN($A$1), FALSE), VLOOKUP($A183,raw_lb[],COLUMN(AQ$1)-COLUMN($A$1),FALSE))</f>
        <v>1.7849342870911937E-2</v>
      </c>
      <c r="AQ183" s="72">
        <f>IF(VLOOKUP($A183,raw_lb[],COLUMN(AR$1)-COLUMN($A$1),FALSE)=0, VLOOKUP($D183, regions_lb[], COLUMN(AR$1)-COLUMN($A$1), FALSE), VLOOKUP($A183,raw_lb[],COLUMN(AR$1)-COLUMN($A$1),FALSE))</f>
        <v>2.7769974590210647E-2</v>
      </c>
      <c r="AR183" s="72">
        <f>IF(VLOOKUP($A183,raw_lb[],COLUMN(AS$1)-COLUMN($A$1),FALSE)=0, VLOOKUP($D183, regions_lb[], COLUMN(AS$1)-COLUMN($A$1), FALSE), VLOOKUP($A183,raw_lb[],COLUMN(AS$1)-COLUMN($A$1),FALSE))</f>
        <v>4.3199194108453326E-2</v>
      </c>
      <c r="AS183" s="82">
        <f>IF(VLOOKUP($A183,raw_lb[],COLUMN(AS$1),FALSE)=0, VLOOKUP($D183, regions_lb[], COLUMN(AS$1), FALSE), VLOOKUP($A183,raw_lb[],COLUMN(AS$1),FALSE))</f>
        <v>6.6241749238480446E-2</v>
      </c>
      <c r="AT183" s="82">
        <f>IF(VLOOKUP($A183,raw_lb[],COLUMN(AT$1),FALSE)=0, VLOOKUP($D183, regions_lb[], COLUMN(AT$1), FALSE), VLOOKUP($A183,raw_lb[],COLUMN(AT$1),FALSE))</f>
        <v>9.8942669141429129E-2</v>
      </c>
      <c r="AU183" s="82">
        <f>IF(VLOOKUP($A183,raw_lb[],COLUMN(AU$1),FALSE)=0, VLOOKUP($D183, regions_lb[], COLUMN(AU$1), FALSE), VLOOKUP($A183,raw_lb[],COLUMN(AU$1),FALSE))</f>
        <v>0.1369401450028716</v>
      </c>
      <c r="AV183" s="82">
        <f>IF(VLOOKUP($A183,raw_lb[],COLUMN(AV$1),FALSE)=0, VLOOKUP($D183, regions_lb[], COLUMN(AV$1), FALSE), VLOOKUP($A183,raw_lb[],COLUMN(AV$1),FALSE))</f>
        <v>0.16944594203960009</v>
      </c>
      <c r="AW183" s="82">
        <f>IF(VLOOKUP($A183,raw_lb[],COLUMN(AW$1),FALSE)=0, VLOOKUP($D183, regions_lb[], COLUMN(AW$1), FALSE), VLOOKUP($A183,raw_lb[],COLUMN(AW$1),FALSE))</f>
        <v>0.18006395109623041</v>
      </c>
      <c r="AX183" s="82">
        <f>IF(VLOOKUP($A183,raw_lb[],COLUMN(AX$1),FALSE)=0, VLOOKUP($D183, regions_lb[], COLUMN(AX$1), FALSE), VLOOKUP($A183,raw_lb[],COLUMN(AX$1),FALSE))</f>
        <v>62.756999999999998</v>
      </c>
      <c r="AY183" t="str">
        <f t="shared" si="6"/>
        <v>Yes</v>
      </c>
    </row>
    <row r="184" spans="1:51" x14ac:dyDescent="0.25">
      <c r="A184" s="53" t="s">
        <v>312</v>
      </c>
      <c r="B184" s="54" t="s">
        <v>313</v>
      </c>
      <c r="C184" s="54">
        <v>270</v>
      </c>
      <c r="D184" s="54" t="s">
        <v>207</v>
      </c>
      <c r="E184" s="54" t="s">
        <v>235</v>
      </c>
      <c r="F184" s="54" t="s">
        <v>211</v>
      </c>
      <c r="G184" s="54" t="s">
        <v>198</v>
      </c>
      <c r="H184" s="73"/>
      <c r="I184" s="73"/>
      <c r="J184" s="67">
        <f>IF(VLOOKUP($A184,raw_lb[],COLUMN(J$1),FALSE)=0, VLOOKUP($D184, regions_lb[], COLUMN(J$1), FALSE), VLOOKUP($A184,raw_lb[],COLUMN(J$1),FALSE))</f>
        <v>0.79515000000000002</v>
      </c>
      <c r="K184" s="77">
        <f>VLOOKUP($A184, raw_lb[], 11, FALSE)</f>
        <v>0</v>
      </c>
      <c r="L184" s="77">
        <f>VLOOKUP($A184, raw_lb[], 12, FALSE)</f>
        <v>0.83599999999999997</v>
      </c>
      <c r="M184" s="77">
        <f>IF(VLOOKUP($A184,raw_lb[],COLUMN(M$1),FALSE)=0, VLOOKUP($D184, regions_lb[], COLUMN(M$1), FALSE), VLOOKUP($A184,raw_lb[],COLUMN(M$1),FALSE))</f>
        <v>4.8899999999999999E-2</v>
      </c>
      <c r="N184" s="68">
        <f>IF(VLOOKUP($A184,raw_lb[],COLUMN(N$1),FALSE)=0, VLOOKUP($D184, regions_lb[], COLUMN(N$1), FALSE), VLOOKUP($A184,raw_lb[],COLUMN(N$1),FALSE))</f>
        <v>0.155</v>
      </c>
      <c r="O184" s="67">
        <f>IF(VLOOKUP($A184,raw_lb[],COLUMN(O$1),FALSE)=0, VLOOKUP($D184, regions_lb[], COLUMN(O$1), FALSE), VLOOKUP($A184,raw_lb[],COLUMN(O$1),FALSE))</f>
        <v>7.0000000000000007E-2</v>
      </c>
      <c r="P184" s="68">
        <f>IF(VLOOKUP($A184,raw_lb[],COLUMN(P$1),FALSE)=0, VLOOKUP($D184, regions_lb[], COLUMN(P$1), FALSE), VLOOKUP($A184,raw_lb[],COLUMN(P$1),FALSE))</f>
        <v>1E-3</v>
      </c>
      <c r="Q184" s="70">
        <f>IF(VLOOKUP($A184,raw_lb[],COLUMN(Q$1),FALSE)=0, VLOOKUP($D184, regions_lb[], COLUMN(Q$1), FALSE), VLOOKUP($A184,raw_lb[],COLUMN(Q$1),FALSE))</f>
        <v>0.75020613884107901</v>
      </c>
      <c r="R184" s="70">
        <f>IF(VLOOKUP($A184,raw_lb[],COLUMN(R$1),FALSE)=0, VLOOKUP($D184, regions_lb[], COLUMN(R$1), FALSE), VLOOKUP($A184,raw_lb[],COLUMN(R$1),FALSE))</f>
        <v>7.8111061388410796</v>
      </c>
      <c r="S184" s="70">
        <f>IF(VLOOKUP($A184,raw_lb[],COLUMN(S$1),FALSE)=0, VLOOKUP($D184, regions_lb[], COLUMN(S$1), FALSE), VLOOKUP($A184,raw_lb[],COLUMN(S$1),FALSE))</f>
        <v>37.97487924852976</v>
      </c>
      <c r="T184" s="70">
        <f>IF(VLOOKUP($A184,raw_lb[],COLUMN(U$1)-COLUMN($A$1),FALSE)=0, VLOOKUP($D184, regions_lb[], COLUMN(U$1)-COLUMN($A$1), FALSE), VLOOKUP($A184,raw_lb[],COLUMN(U$1)-COLUMN($A$1),FALSE))</f>
        <v>38.466080166169576</v>
      </c>
      <c r="U184" s="70">
        <f>IF(VLOOKUP($A184,raw_lb[],COLUMN(V$1)-COLUMN($A$1),FALSE)=0, VLOOKUP($D184, regions_lb[], COLUMN(V$1)-COLUMN($A$1), FALSE), VLOOKUP($A184,raw_lb[],COLUMN(V$1)-COLUMN($A$1),FALSE))</f>
        <v>38.240531087454073</v>
      </c>
      <c r="V184" s="70">
        <f>IF(VLOOKUP($A184,raw_lb[],COLUMN(W$1)-COLUMN($A$1),FALSE)=0, VLOOKUP($D184, regions_lb[], COLUMN(W$1)-COLUMN($A$1), FALSE), VLOOKUP($A184,raw_lb[],COLUMN(W$1)-COLUMN($A$1),FALSE))</f>
        <v>1.6287937587711148</v>
      </c>
      <c r="W184" s="70">
        <f>IF(VLOOKUP($A184,raw_lb[],COLUMN(X$1)-COLUMN($A$1),FALSE)=0, VLOOKUP($D184, regions_lb[], COLUMN(X$1)-COLUMN($A$1), FALSE), VLOOKUP($A184,raw_lb[],COLUMN(X$1)-COLUMN($A$1),FALSE))</f>
        <v>6.217293758771115</v>
      </c>
      <c r="X184" s="70">
        <f>IF(VLOOKUP($A184,raw_lb[],COLUMN(Y$1)-COLUMN($A$1),FALSE)=0, VLOOKUP($D184, regions_lb[], COLUMN(Y$1)-COLUMN($A$1), FALSE), VLOOKUP($A184,raw_lb[],COLUMN(Y$1)-COLUMN($A$1),FALSE))</f>
        <v>1.158141008427453</v>
      </c>
      <c r="Y184" s="70">
        <f>IF(VLOOKUP($A184,raw_lb[],COLUMN(Z$1)-COLUMN($A$1),FALSE)=0, VLOOKUP($D184, regions_lb[], COLUMN(Z$1)-COLUMN($A$1), FALSE), VLOOKUP($A184,raw_lb[],COLUMN(Z$1)-COLUMN($A$1),FALSE))</f>
        <v>5.7466410084274528</v>
      </c>
      <c r="Z184" s="70">
        <f>IF(VLOOKUP($A184,raw_lb[],COLUMN(AA$1)-COLUMN($A$1),FALSE)=0, VLOOKUP($D184, regions_lb[], COLUMN(AA$1)-COLUMN($A$1), FALSE), VLOOKUP($A184,raw_lb[],COLUMN(AA$1)-COLUMN($A$1),FALSE))</f>
        <v>5.744978873194059</v>
      </c>
      <c r="AA184" s="70">
        <f>IF(VLOOKUP($A184,raw_lb[],COLUMN(AB$1)-COLUMN($A$1),FALSE)=0, VLOOKUP($D184, regions_lb[], COLUMN(AB$1)-COLUMN($A$1), FALSE), VLOOKUP($A184,raw_lb[],COLUMN(AB$1)-COLUMN($A$1),FALSE))</f>
        <v>1.7719147058633025</v>
      </c>
      <c r="AB184" s="70">
        <f>IF(VLOOKUP($A184,raw_lb[],COLUMN(AC$1)-COLUMN($A$1),FALSE)=0, VLOOKUP($D184, regions_lb[], COLUMN(AC$1)-COLUMN($A$1), FALSE), VLOOKUP($A184,raw_lb[],COLUMN(AC$1)-COLUMN($A$1),FALSE))</f>
        <v>6.3604147058633025</v>
      </c>
      <c r="AC184" s="72">
        <f>IF(VLOOKUP($A184,raw_lb[],COLUMN(AD$1)-COLUMN($A$1),FALSE)=0, VLOOKUP($D184, regions_lb[], COLUMN(AD$1)-COLUMN($A$1), FALSE), VLOOKUP($A184,raw_lb[],COLUMN(AD$1)-COLUMN($A$1),FALSE))</f>
        <v>4.2604364999999984E-2</v>
      </c>
      <c r="AD184" s="72">
        <f>IF(VLOOKUP($A184,raw_lb[],COLUMN(AE$1)-COLUMN($A$1),FALSE)=0, VLOOKUP($D184, regions_lb[], COLUMN(AE$1)-COLUMN($A$1), FALSE), VLOOKUP($A184,raw_lb[],COLUMN(AE$1)-COLUMN($A$1),FALSE))</f>
        <v>5.7040059695129723E-3</v>
      </c>
      <c r="AE184" s="72">
        <f>IF(VLOOKUP($A184,raw_lb[],COLUMN(AF$1)-COLUMN($A$1),FALSE)=0, VLOOKUP($D184, regions_lb[], COLUMN(AF$1)-COLUMN($A$1), FALSE), VLOOKUP($A184,raw_lb[],COLUMN(AF$1)-COLUMN($A$1),FALSE))</f>
        <v>2.6773245326599093E-3</v>
      </c>
      <c r="AF184" s="72">
        <f>IF(VLOOKUP($A184,raw_lb[],COLUMN(AG$1)-COLUMN($A$1),FALSE)=0, VLOOKUP($D184, regions_lb[], COLUMN(AG$1)-COLUMN($A$1), FALSE), VLOOKUP($A184,raw_lb[],COLUMN(AG$1)-COLUMN($A$1),FALSE))</f>
        <v>1.6082463860066854E-3</v>
      </c>
      <c r="AG184" s="72">
        <f>IF(VLOOKUP($A184,raw_lb[],COLUMN(AH$1)-COLUMN($A$1),FALSE)=0, VLOOKUP($D184, regions_lb[], COLUMN(AH$1)-COLUMN($A$1), FALSE), VLOOKUP($A184,raw_lb[],COLUMN(AH$1)-COLUMN($A$1),FALSE))</f>
        <v>2.455014634454987E-3</v>
      </c>
      <c r="AH184" s="72">
        <f>IF(VLOOKUP($A184,raw_lb[],COLUMN(AI$1)-COLUMN($A$1),FALSE)=0, VLOOKUP($D184, regions_lb[], COLUMN(AI$1)-COLUMN($A$1), FALSE), VLOOKUP($A184,raw_lb[],COLUMN(AI$1)-COLUMN($A$1),FALSE))</f>
        <v>3.4584479732553313E-3</v>
      </c>
      <c r="AI184" s="72">
        <f>IF(VLOOKUP($A184,raw_lb[],COLUMN(AJ$1)-COLUMN($A$1),FALSE)=0, VLOOKUP($D184, regions_lb[], COLUMN(AJ$1)-COLUMN($A$1), FALSE), VLOOKUP($A184,raw_lb[],COLUMN(AJ$1)-COLUMN($A$1),FALSE))</f>
        <v>3.6735064328116754E-3</v>
      </c>
      <c r="AJ184" s="72">
        <f>IF(VLOOKUP($A184,raw_lb[],COLUMN(AK$1)-COLUMN($A$1),FALSE)=0, VLOOKUP($D184, regions_lb[], COLUMN(AK$1)-COLUMN($A$1), FALSE), VLOOKUP($A184,raw_lb[],COLUMN(AK$1)-COLUMN($A$1),FALSE))</f>
        <v>4.0322536433814813E-3</v>
      </c>
      <c r="AK184" s="72">
        <f>IF(VLOOKUP($A184,raw_lb[],COLUMN(AL$1)-COLUMN($A$1),FALSE)=0, VLOOKUP($D184, regions_lb[], COLUMN(AL$1)-COLUMN($A$1), FALSE), VLOOKUP($A184,raw_lb[],COLUMN(AL$1)-COLUMN($A$1),FALSE))</f>
        <v>4.6114203964473469E-3</v>
      </c>
      <c r="AL184" s="72">
        <f>IF(VLOOKUP($A184,raw_lb[],COLUMN(AM$1)-COLUMN($A$1),FALSE)=0, VLOOKUP($D184, regions_lb[], COLUMN(AM$1)-COLUMN($A$1), FALSE), VLOOKUP($A184,raw_lb[],COLUMN(AM$1)-COLUMN($A$1),FALSE))</f>
        <v>5.6573517098135297E-3</v>
      </c>
      <c r="AM184" s="72">
        <f>IF(VLOOKUP($A184,raw_lb[],COLUMN(AN$1)-COLUMN($A$1),FALSE)=0, VLOOKUP($D184, regions_lb[], COLUMN(AN$1)-COLUMN($A$1), FALSE), VLOOKUP($A184,raw_lb[],COLUMN(AN$1)-COLUMN($A$1),FALSE))</f>
        <v>7.059889517203639E-3</v>
      </c>
      <c r="AN184" s="72">
        <f>IF(VLOOKUP($A184,raw_lb[],COLUMN(AO$1)-COLUMN($A$1),FALSE)=0, VLOOKUP($D184, regions_lb[], COLUMN(AO$1)-COLUMN($A$1), FALSE), VLOOKUP($A184,raw_lb[],COLUMN(AO$1)-COLUMN($A$1),FALSE))</f>
        <v>9.8679797518720445E-3</v>
      </c>
      <c r="AO184" s="72">
        <f>IF(VLOOKUP($A184,raw_lb[],COLUMN(AP$1)-COLUMN($A$1),FALSE)=0, VLOOKUP($D184, regions_lb[], COLUMN(AP$1)-COLUMN($A$1), FALSE), VLOOKUP($A184,raw_lb[],COLUMN(AP$1)-COLUMN($A$1),FALSE))</f>
        <v>1.4072912287804128E-2</v>
      </c>
      <c r="AP184" s="72">
        <f>IF(VLOOKUP($A184,raw_lb[],COLUMN(AQ$1)-COLUMN($A$1),FALSE)=0, VLOOKUP($D184, regions_lb[], COLUMN(AQ$1)-COLUMN($A$1), FALSE), VLOOKUP($A184,raw_lb[],COLUMN(AQ$1)-COLUMN($A$1),FALSE))</f>
        <v>2.1803461821369313E-2</v>
      </c>
      <c r="AQ184" s="72">
        <f>IF(VLOOKUP($A184,raw_lb[],COLUMN(AR$1)-COLUMN($A$1),FALSE)=0, VLOOKUP($D184, regions_lb[], COLUMN(AR$1)-COLUMN($A$1), FALSE), VLOOKUP($A184,raw_lb[],COLUMN(AR$1)-COLUMN($A$1),FALSE))</f>
        <v>3.3333580204147228E-2</v>
      </c>
      <c r="AR184" s="72">
        <f>IF(VLOOKUP($A184,raw_lb[],COLUMN(AS$1)-COLUMN($A$1),FALSE)=0, VLOOKUP($D184, regions_lb[], COLUMN(AS$1)-COLUMN($A$1), FALSE), VLOOKUP($A184,raw_lb[],COLUMN(AS$1)-COLUMN($A$1),FALSE))</f>
        <v>5.3073187375583544E-2</v>
      </c>
      <c r="AS184" s="82">
        <f>IF(VLOOKUP($A184,raw_lb[],COLUMN(AS$1),FALSE)=0, VLOOKUP($D184, regions_lb[], COLUMN(AS$1), FALSE), VLOOKUP($A184,raw_lb[],COLUMN(AS$1),FALSE))</f>
        <v>8.1235876887834416E-2</v>
      </c>
      <c r="AT184" s="82">
        <f>IF(VLOOKUP($A184,raw_lb[],COLUMN(AT$1),FALSE)=0, VLOOKUP($D184, regions_lb[], COLUMN(AT$1), FALSE), VLOOKUP($A184,raw_lb[],COLUMN(AT$1),FALSE))</f>
        <v>0.11554091466714306</v>
      </c>
      <c r="AU184" s="82">
        <f>IF(VLOOKUP($A184,raw_lb[],COLUMN(AU$1),FALSE)=0, VLOOKUP($D184, regions_lb[], COLUMN(AU$1), FALSE), VLOOKUP($A184,raw_lb[],COLUMN(AU$1),FALSE))</f>
        <v>0.14686501041700345</v>
      </c>
      <c r="AV184" s="82">
        <f>IF(VLOOKUP($A184,raw_lb[],COLUMN(AV$1),FALSE)=0, VLOOKUP($D184, regions_lb[], COLUMN(AV$1), FALSE), VLOOKUP($A184,raw_lb[],COLUMN(AV$1),FALSE))</f>
        <v>0.16832994675359839</v>
      </c>
      <c r="AW184" s="82">
        <f>IF(VLOOKUP($A184,raw_lb[],COLUMN(AW$1),FALSE)=0, VLOOKUP($D184, regions_lb[], COLUMN(AW$1), FALSE), VLOOKUP($A184,raw_lb[],COLUMN(AW$1),FALSE))</f>
        <v>0.17842054837653804</v>
      </c>
      <c r="AX184" s="82">
        <f>IF(VLOOKUP($A184,raw_lb[],COLUMN(AX$1),FALSE)=0, VLOOKUP($D184, regions_lb[], COLUMN(AX$1), FALSE), VLOOKUP($A184,raw_lb[],COLUMN(AX$1),FALSE))</f>
        <v>58.459199999999996</v>
      </c>
      <c r="AY184" t="str">
        <f t="shared" si="6"/>
        <v>Yes</v>
      </c>
    </row>
    <row r="185" spans="1:51" x14ac:dyDescent="0.25">
      <c r="A185" s="55" t="s">
        <v>314</v>
      </c>
      <c r="B185" s="56" t="s">
        <v>315</v>
      </c>
      <c r="C185" s="56">
        <v>268</v>
      </c>
      <c r="D185" s="56" t="s">
        <v>201</v>
      </c>
      <c r="E185" s="56" t="s">
        <v>220</v>
      </c>
      <c r="F185" s="56" t="s">
        <v>203</v>
      </c>
      <c r="G185" s="56" t="s">
        <v>204</v>
      </c>
      <c r="H185" s="74"/>
      <c r="I185" s="74"/>
      <c r="J185" s="67">
        <f>IF(VLOOKUP($A185,raw_lb[],COLUMN(J$1),FALSE)=0, VLOOKUP($D185, regions_lb[], COLUMN(J$1), FALSE), VLOOKUP($A185,raw_lb[],COLUMN(J$1),FALSE))</f>
        <v>0.94430000000000003</v>
      </c>
      <c r="K185" s="77">
        <f>VLOOKUP($A185, raw_lb[], 11, FALSE)</f>
        <v>0.92149999999999999</v>
      </c>
      <c r="L185" s="77">
        <f>VLOOKUP($A185, raw_lb[], 12, FALSE)</f>
        <v>0.83599999999999997</v>
      </c>
      <c r="M185" s="77">
        <f>IF(VLOOKUP($A185,raw_lb[],COLUMN(M$1),FALSE)=0, VLOOKUP($D185, regions_lb[], COLUMN(M$1), FALSE), VLOOKUP($A185,raw_lb[],COLUMN(M$1),FALSE))</f>
        <v>1.37E-2</v>
      </c>
      <c r="N185" s="68">
        <f>IF(VLOOKUP($A185,raw_lb[],COLUMN(N$1),FALSE)=0, VLOOKUP($D185, regions_lb[], COLUMN(N$1), FALSE), VLOOKUP($A185,raw_lb[],COLUMN(N$1),FALSE))</f>
        <v>0.16309999999999999</v>
      </c>
      <c r="O185" s="67">
        <f>IF(VLOOKUP($A185,raw_lb[],COLUMN(O$1),FALSE)=0, VLOOKUP($D185, regions_lb[], COLUMN(O$1), FALSE), VLOOKUP($A185,raw_lb[],COLUMN(O$1),FALSE))</f>
        <v>0.7</v>
      </c>
      <c r="P185" s="68">
        <f>IF(VLOOKUP($A185,raw_lb[],COLUMN(P$1),FALSE)=0, VLOOKUP($D185, regions_lb[], COLUMN(P$1), FALSE), VLOOKUP($A185,raw_lb[],COLUMN(P$1),FALSE))</f>
        <v>0.05</v>
      </c>
      <c r="Q185" s="70">
        <f>IF(VLOOKUP($A185,raw_lb[],COLUMN(Q$1),FALSE)=0, VLOOKUP($D185, regions_lb[], COLUMN(Q$1), FALSE), VLOOKUP($A185,raw_lb[],COLUMN(Q$1),FALSE))</f>
        <v>1.1513712173754331</v>
      </c>
      <c r="R185" s="70">
        <f>IF(VLOOKUP($A185,raw_lb[],COLUMN(R$1),FALSE)=0, VLOOKUP($D185, regions_lb[], COLUMN(R$1), FALSE), VLOOKUP($A185,raw_lb[],COLUMN(R$1),FALSE))</f>
        <v>8.2122712173754344</v>
      </c>
      <c r="S185" s="70">
        <f>IF(VLOOKUP($A185,raw_lb[],COLUMN(S$1),FALSE)=0, VLOOKUP($D185, regions_lb[], COLUMN(S$1), FALSE), VLOOKUP($A185,raw_lb[],COLUMN(S$1),FALSE))</f>
        <v>41.568939493028665</v>
      </c>
      <c r="T185" s="70">
        <f>IF(VLOOKUP($A185,raw_lb[],COLUMN(U$1)-COLUMN($A$1),FALSE)=0, VLOOKUP($D185, regions_lb[], COLUMN(U$1)-COLUMN($A$1), FALSE), VLOOKUP($A185,raw_lb[],COLUMN(U$1)-COLUMN($A$1),FALSE))</f>
        <v>43.721930749203239</v>
      </c>
      <c r="U185" s="70">
        <f>IF(VLOOKUP($A185,raw_lb[],COLUMN(V$1)-COLUMN($A$1),FALSE)=0, VLOOKUP($D185, regions_lb[], COLUMN(V$1)-COLUMN($A$1), FALSE), VLOOKUP($A185,raw_lb[],COLUMN(V$1)-COLUMN($A$1),FALSE))</f>
        <v>42.733322672805471</v>
      </c>
      <c r="V185" s="70">
        <f>IF(VLOOKUP($A185,raw_lb[],COLUMN(W$1)-COLUMN($A$1),FALSE)=0, VLOOKUP($D185, regions_lb[], COLUMN(W$1)-COLUMN($A$1), FALSE), VLOOKUP($A185,raw_lb[],COLUMN(W$1)-COLUMN($A$1),FALSE))</f>
        <v>2.6668107965090204</v>
      </c>
      <c r="W185" s="70">
        <f>IF(VLOOKUP($A185,raw_lb[],COLUMN(X$1)-COLUMN($A$1),FALSE)=0, VLOOKUP($D185, regions_lb[], COLUMN(X$1)-COLUMN($A$1), FALSE), VLOOKUP($A185,raw_lb[],COLUMN(X$1)-COLUMN($A$1),FALSE))</f>
        <v>6.5333107965090207</v>
      </c>
      <c r="X185" s="70">
        <f>IF(VLOOKUP($A185,raw_lb[],COLUMN(Y$1)-COLUMN($A$1),FALSE)=0, VLOOKUP($D185, regions_lb[], COLUMN(Y$1)-COLUMN($A$1), FALSE), VLOOKUP($A185,raw_lb[],COLUMN(Y$1)-COLUMN($A$1),FALSE))</f>
        <v>2.1931039718026915</v>
      </c>
      <c r="Y185" s="70">
        <f>IF(VLOOKUP($A185,raw_lb[],COLUMN(Z$1)-COLUMN($A$1),FALSE)=0, VLOOKUP($D185, regions_lb[], COLUMN(Z$1)-COLUMN($A$1), FALSE), VLOOKUP($A185,raw_lb[],COLUMN(Z$1)-COLUMN($A$1),FALSE))</f>
        <v>6.0596039718026917</v>
      </c>
      <c r="Z185" s="70">
        <f>IF(VLOOKUP($A185,raw_lb[],COLUMN(AA$1)-COLUMN($A$1),FALSE)=0, VLOOKUP($D185, regions_lb[], COLUMN(AA$1)-COLUMN($A$1), FALSE), VLOOKUP($A185,raw_lb[],COLUMN(AA$1)-COLUMN($A$1),FALSE))</f>
        <v>6.055651859593258</v>
      </c>
      <c r="AA185" s="70">
        <f>IF(VLOOKUP($A185,raw_lb[],COLUMN(AB$1)-COLUMN($A$1),FALSE)=0, VLOOKUP($D185, regions_lb[], COLUMN(AB$1)-COLUMN($A$1), FALSE), VLOOKUP($A185,raw_lb[],COLUMN(AB$1)-COLUMN($A$1),FALSE))</f>
        <v>2.8193557444917228</v>
      </c>
      <c r="AB185" s="70">
        <f>IF(VLOOKUP($A185,raw_lb[],COLUMN(AC$1)-COLUMN($A$1),FALSE)=0, VLOOKUP($D185, regions_lb[], COLUMN(AC$1)-COLUMN($A$1), FALSE), VLOOKUP($A185,raw_lb[],COLUMN(AC$1)-COLUMN($A$1),FALSE))</f>
        <v>6.6858557444917235</v>
      </c>
      <c r="AC185" s="72">
        <f>IF(VLOOKUP($A185,raw_lb[],COLUMN(AD$1)-COLUMN($A$1),FALSE)=0, VLOOKUP($D185, regions_lb[], COLUMN(AD$1)-COLUMN($A$1), FALSE), VLOOKUP($A185,raw_lb[],COLUMN(AD$1)-COLUMN($A$1),FALSE))</f>
        <v>8.9039130000000064E-3</v>
      </c>
      <c r="AD185" s="72">
        <f>IF(VLOOKUP($A185,raw_lb[],COLUMN(AE$1)-COLUMN($A$1),FALSE)=0, VLOOKUP($D185, regions_lb[], COLUMN(AE$1)-COLUMN($A$1), FALSE), VLOOKUP($A185,raw_lb[],COLUMN(AE$1)-COLUMN($A$1),FALSE))</f>
        <v>1.8807675692738155E-4</v>
      </c>
      <c r="AE185" s="72">
        <f>IF(VLOOKUP($A185,raw_lb[],COLUMN(AF$1)-COLUMN($A$1),FALSE)=0, VLOOKUP($D185, regions_lb[], COLUMN(AF$1)-COLUMN($A$1), FALSE), VLOOKUP($A185,raw_lb[],COLUMN(AF$1)-COLUMN($A$1),FALSE))</f>
        <v>1.9698639475120862E-4</v>
      </c>
      <c r="AF185" s="72">
        <f>IF(VLOOKUP($A185,raw_lb[],COLUMN(AG$1)-COLUMN($A$1),FALSE)=0, VLOOKUP($D185, regions_lb[], COLUMN(AG$1)-COLUMN($A$1), FALSE), VLOOKUP($A185,raw_lb[],COLUMN(AG$1)-COLUMN($A$1),FALSE))</f>
        <v>2.2803456988398595E-4</v>
      </c>
      <c r="AG185" s="72">
        <f>IF(VLOOKUP($A185,raw_lb[],COLUMN(AH$1)-COLUMN($A$1),FALSE)=0, VLOOKUP($D185, regions_lb[], COLUMN(AH$1)-COLUMN($A$1), FALSE), VLOOKUP($A185,raw_lb[],COLUMN(AH$1)-COLUMN($A$1),FALSE))</f>
        <v>4.3465509218341345E-4</v>
      </c>
      <c r="AH185" s="72">
        <f>IF(VLOOKUP($A185,raw_lb[],COLUMN(AI$1)-COLUMN($A$1),FALSE)=0, VLOOKUP($D185, regions_lb[], COLUMN(AI$1)-COLUMN($A$1), FALSE), VLOOKUP($A185,raw_lb[],COLUMN(AI$1)-COLUMN($A$1),FALSE))</f>
        <v>7.2242259465784208E-4</v>
      </c>
      <c r="AI185" s="72">
        <f>IF(VLOOKUP($A185,raw_lb[],COLUMN(AJ$1)-COLUMN($A$1),FALSE)=0, VLOOKUP($D185, regions_lb[], COLUMN(AJ$1)-COLUMN($A$1), FALSE), VLOOKUP($A185,raw_lb[],COLUMN(AJ$1)-COLUMN($A$1),FALSE))</f>
        <v>8.9137162719387676E-4</v>
      </c>
      <c r="AJ185" s="72">
        <f>IF(VLOOKUP($A185,raw_lb[],COLUMN(AK$1)-COLUMN($A$1),FALSE)=0, VLOOKUP($D185, regions_lb[], COLUMN(AK$1)-COLUMN($A$1), FALSE), VLOOKUP($A185,raw_lb[],COLUMN(AK$1)-COLUMN($A$1),FALSE))</f>
        <v>1.3303069500812273E-3</v>
      </c>
      <c r="AK185" s="72">
        <f>IF(VLOOKUP($A185,raw_lb[],COLUMN(AL$1)-COLUMN($A$1),FALSE)=0, VLOOKUP($D185, regions_lb[], COLUMN(AL$1)-COLUMN($A$1), FALSE), VLOOKUP($A185,raw_lb[],COLUMN(AL$1)-COLUMN($A$1),FALSE))</f>
        <v>1.8894988651001015E-3</v>
      </c>
      <c r="AL185" s="72">
        <f>IF(VLOOKUP($A185,raw_lb[],COLUMN(AM$1)-COLUMN($A$1),FALSE)=0, VLOOKUP($D185, regions_lb[], COLUMN(AM$1)-COLUMN($A$1), FALSE), VLOOKUP($A185,raw_lb[],COLUMN(AM$1)-COLUMN($A$1),FALSE))</f>
        <v>2.9235568953067388E-3</v>
      </c>
      <c r="AM185" s="72">
        <f>IF(VLOOKUP($A185,raw_lb[],COLUMN(AN$1)-COLUMN($A$1),FALSE)=0, VLOOKUP($D185, regions_lb[], COLUMN(AN$1)-COLUMN($A$1), FALSE), VLOOKUP($A185,raw_lb[],COLUMN(AN$1)-COLUMN($A$1),FALSE))</f>
        <v>4.7825168660829802E-3</v>
      </c>
      <c r="AN185" s="72">
        <f>IF(VLOOKUP($A185,raw_lb[],COLUMN(AO$1)-COLUMN($A$1),FALSE)=0, VLOOKUP($D185, regions_lb[], COLUMN(AO$1)-COLUMN($A$1), FALSE), VLOOKUP($A185,raw_lb[],COLUMN(AO$1)-COLUMN($A$1),FALSE))</f>
        <v>7.0421947628930368E-3</v>
      </c>
      <c r="AO185" s="72">
        <f>IF(VLOOKUP($A185,raw_lb[],COLUMN(AP$1)-COLUMN($A$1),FALSE)=0, VLOOKUP($D185, regions_lb[], COLUMN(AP$1)-COLUMN($A$1), FALSE), VLOOKUP($A185,raw_lb[],COLUMN(AP$1)-COLUMN($A$1),FALSE))</f>
        <v>1.0367560802875628E-2</v>
      </c>
      <c r="AP185" s="72">
        <f>IF(VLOOKUP($A185,raw_lb[],COLUMN(AQ$1)-COLUMN($A$1),FALSE)=0, VLOOKUP($D185, regions_lb[], COLUMN(AQ$1)-COLUMN($A$1), FALSE), VLOOKUP($A185,raw_lb[],COLUMN(AQ$1)-COLUMN($A$1),FALSE))</f>
        <v>1.4949187093698E-2</v>
      </c>
      <c r="AQ185" s="72">
        <f>IF(VLOOKUP($A185,raw_lb[],COLUMN(AR$1)-COLUMN($A$1),FALSE)=0, VLOOKUP($D185, regions_lb[], COLUMN(AR$1)-COLUMN($A$1), FALSE), VLOOKUP($A185,raw_lb[],COLUMN(AR$1)-COLUMN($A$1),FALSE))</f>
        <v>2.1272350176816668E-2</v>
      </c>
      <c r="AR185" s="72">
        <f>IF(VLOOKUP($A185,raw_lb[],COLUMN(AS$1)-COLUMN($A$1),FALSE)=0, VLOOKUP($D185, regions_lb[], COLUMN(AS$1)-COLUMN($A$1), FALSE), VLOOKUP($A185,raw_lb[],COLUMN(AS$1)-COLUMN($A$1),FALSE))</f>
        <v>3.4166567753713101E-2</v>
      </c>
      <c r="AS185" s="82">
        <f>IF(VLOOKUP($A185,raw_lb[],COLUMN(AS$1),FALSE)=0, VLOOKUP($D185, regions_lb[], COLUMN(AS$1), FALSE), VLOOKUP($A185,raw_lb[],COLUMN(AS$1),FALSE))</f>
        <v>5.4617558325411424E-2</v>
      </c>
      <c r="AT185" s="82">
        <f>IF(VLOOKUP($A185,raw_lb[],COLUMN(AT$1),FALSE)=0, VLOOKUP($D185, regions_lb[], COLUMN(AT$1), FALSE), VLOOKUP($A185,raw_lb[],COLUMN(AT$1),FALSE))</f>
        <v>8.1541878884387256E-2</v>
      </c>
      <c r="AU185" s="82">
        <f>IF(VLOOKUP($A185,raw_lb[],COLUMN(AU$1),FALSE)=0, VLOOKUP($D185, regions_lb[], COLUMN(AU$1), FALSE), VLOOKUP($A185,raw_lb[],COLUMN(AU$1),FALSE))</f>
        <v>0.1124842764423932</v>
      </c>
      <c r="AV185" s="82">
        <f>IF(VLOOKUP($A185,raw_lb[],COLUMN(AV$1),FALSE)=0, VLOOKUP($D185, regions_lb[], COLUMN(AV$1), FALSE), VLOOKUP($A185,raw_lb[],COLUMN(AV$1),FALSE))</f>
        <v>0.14368059472386119</v>
      </c>
      <c r="AW185" s="82">
        <f>IF(VLOOKUP($A185,raw_lb[],COLUMN(AW$1),FALSE)=0, VLOOKUP($D185, regions_lb[], COLUMN(AW$1), FALSE), VLOOKUP($A185,raw_lb[],COLUMN(AW$1),FALSE))</f>
        <v>0.16582622208249978</v>
      </c>
      <c r="AX185" s="82">
        <f>IF(VLOOKUP($A185,raw_lb[],COLUMN(AX$1),FALSE)=0, VLOOKUP($D185, regions_lb[], COLUMN(AX$1), FALSE), VLOOKUP($A185,raw_lb[],COLUMN(AX$1),FALSE))</f>
        <v>69.843999999999994</v>
      </c>
      <c r="AY185" t="str">
        <f t="shared" si="6"/>
        <v>No</v>
      </c>
    </row>
    <row r="186" spans="1:51" x14ac:dyDescent="0.25">
      <c r="A186" s="53" t="s">
        <v>316</v>
      </c>
      <c r="B186" s="54" t="s">
        <v>317</v>
      </c>
      <c r="C186" s="54">
        <v>288</v>
      </c>
      <c r="D186" s="54" t="s">
        <v>207</v>
      </c>
      <c r="E186" s="54" t="s">
        <v>235</v>
      </c>
      <c r="F186" s="54" t="s">
        <v>211</v>
      </c>
      <c r="G186" s="54" t="s">
        <v>212</v>
      </c>
      <c r="H186" s="73"/>
      <c r="I186" s="73"/>
      <c r="J186" s="67">
        <f>IF(VLOOKUP($A186,raw_lb[],COLUMN(J$1),FALSE)=0, VLOOKUP($D186, regions_lb[], COLUMN(J$1), FALSE), VLOOKUP($A186,raw_lb[],COLUMN(J$1),FALSE))</f>
        <v>0.74004999999999999</v>
      </c>
      <c r="K186" s="77">
        <f>VLOOKUP($A186, raw_lb[], 11, FALSE)</f>
        <v>0</v>
      </c>
      <c r="L186" s="77">
        <f>VLOOKUP($A186, raw_lb[], 12, FALSE)</f>
        <v>0.8929999999999999</v>
      </c>
      <c r="M186" s="77">
        <f>IF(VLOOKUP($A186,raw_lb[],COLUMN(M$1),FALSE)=0, VLOOKUP($D186, regions_lb[], COLUMN(M$1), FALSE), VLOOKUP($A186,raw_lb[],COLUMN(M$1),FALSE))</f>
        <v>8.1099999999999992E-2</v>
      </c>
      <c r="N186" s="68">
        <f>IF(VLOOKUP($A186,raw_lb[],COLUMN(N$1),FALSE)=0, VLOOKUP($D186, regions_lb[], COLUMN(N$1), FALSE), VLOOKUP($A186,raw_lb[],COLUMN(N$1),FALSE))</f>
        <v>0.155</v>
      </c>
      <c r="O186" s="67">
        <f>IF(VLOOKUP($A186,raw_lb[],COLUMN(O$1),FALSE)=0, VLOOKUP($D186, regions_lb[], COLUMN(O$1), FALSE), VLOOKUP($A186,raw_lb[],COLUMN(O$1),FALSE))</f>
        <v>7.0000000000000007E-2</v>
      </c>
      <c r="P186" s="68">
        <f>IF(VLOOKUP($A186,raw_lb[],COLUMN(P$1),FALSE)=0, VLOOKUP($D186, regions_lb[], COLUMN(P$1), FALSE), VLOOKUP($A186,raw_lb[],COLUMN(P$1),FALSE))</f>
        <v>1E-3</v>
      </c>
      <c r="Q186" s="70">
        <f>IF(VLOOKUP($A186,raw_lb[],COLUMN(Q$1),FALSE)=0, VLOOKUP($D186, regions_lb[], COLUMN(Q$1), FALSE), VLOOKUP($A186,raw_lb[],COLUMN(Q$1),FALSE))</f>
        <v>0.73215882352941208</v>
      </c>
      <c r="R186" s="70">
        <f>IF(VLOOKUP($A186,raw_lb[],COLUMN(R$1),FALSE)=0, VLOOKUP($D186, regions_lb[], COLUMN(R$1), FALSE), VLOOKUP($A186,raw_lb[],COLUMN(R$1),FALSE))</f>
        <v>7.793058823529412</v>
      </c>
      <c r="S186" s="70">
        <f>IF(VLOOKUP($A186,raw_lb[],COLUMN(S$1),FALSE)=0, VLOOKUP($D186, regions_lb[], COLUMN(S$1), FALSE), VLOOKUP($A186,raw_lb[],COLUMN(S$1),FALSE))</f>
        <v>38.040545046332205</v>
      </c>
      <c r="T186" s="70">
        <f>IF(VLOOKUP($A186,raw_lb[],COLUMN(U$1)-COLUMN($A$1),FALSE)=0, VLOOKUP($D186, regions_lb[], COLUMN(U$1)-COLUMN($A$1), FALSE), VLOOKUP($A186,raw_lb[],COLUMN(U$1)-COLUMN($A$1),FALSE))</f>
        <v>38.57531571347856</v>
      </c>
      <c r="U186" s="70">
        <f>IF(VLOOKUP($A186,raw_lb[],COLUMN(V$1)-COLUMN($A$1),FALSE)=0, VLOOKUP($D186, regions_lb[], COLUMN(V$1)-COLUMN($A$1), FALSE), VLOOKUP($A186,raw_lb[],COLUMN(V$1)-COLUMN($A$1),FALSE))</f>
        <v>38.329760326736832</v>
      </c>
      <c r="V186" s="70">
        <f>IF(VLOOKUP($A186,raw_lb[],COLUMN(W$1)-COLUMN($A$1),FALSE)=0, VLOOKUP($D186, regions_lb[], COLUMN(W$1)-COLUMN($A$1), FALSE), VLOOKUP($A186,raw_lb[],COLUMN(W$1)-COLUMN($A$1),FALSE))</f>
        <v>1.4077169430173919</v>
      </c>
      <c r="W186" s="70">
        <f>IF(VLOOKUP($A186,raw_lb[],COLUMN(X$1)-COLUMN($A$1),FALSE)=0, VLOOKUP($D186, regions_lb[], COLUMN(X$1)-COLUMN($A$1), FALSE), VLOOKUP($A186,raw_lb[],COLUMN(X$1)-COLUMN($A$1),FALSE))</f>
        <v>5.9962169430173917</v>
      </c>
      <c r="X186" s="70">
        <f>IF(VLOOKUP($A186,raw_lb[],COLUMN(Y$1)-COLUMN($A$1),FALSE)=0, VLOOKUP($D186, regions_lb[], COLUMN(Y$1)-COLUMN($A$1), FALSE), VLOOKUP($A186,raw_lb[],COLUMN(Y$1)-COLUMN($A$1),FALSE))</f>
        <v>0.93473558739585139</v>
      </c>
      <c r="Y186" s="70">
        <f>IF(VLOOKUP($A186,raw_lb[],COLUMN(Z$1)-COLUMN($A$1),FALSE)=0, VLOOKUP($D186, regions_lb[], COLUMN(Z$1)-COLUMN($A$1), FALSE), VLOOKUP($A186,raw_lb[],COLUMN(Z$1)-COLUMN($A$1),FALSE))</f>
        <v>5.5232355873958507</v>
      </c>
      <c r="Z186" s="70">
        <f>IF(VLOOKUP($A186,raw_lb[],COLUMN(AA$1)-COLUMN($A$1),FALSE)=0, VLOOKUP($D186, regions_lb[], COLUMN(AA$1)-COLUMN($A$1), FALSE), VLOOKUP($A186,raw_lb[],COLUMN(AA$1)-COLUMN($A$1),FALSE))</f>
        <v>5.5201243129923299</v>
      </c>
      <c r="AA186" s="70">
        <f>IF(VLOOKUP($A186,raw_lb[],COLUMN(AB$1)-COLUMN($A$1),FALSE)=0, VLOOKUP($D186, regions_lb[], COLUMN(AB$1)-COLUMN($A$1), FALSE), VLOOKUP($A186,raw_lb[],COLUMN(AB$1)-COLUMN($A$1),FALSE))</f>
        <v>1.5580233006813196</v>
      </c>
      <c r="AB186" s="70">
        <f>IF(VLOOKUP($A186,raw_lb[],COLUMN(AC$1)-COLUMN($A$1),FALSE)=0, VLOOKUP($D186, regions_lb[], COLUMN(AC$1)-COLUMN($A$1), FALSE), VLOOKUP($A186,raw_lb[],COLUMN(AC$1)-COLUMN($A$1),FALSE))</f>
        <v>6.1465233006813191</v>
      </c>
      <c r="AC186" s="72">
        <f>IF(VLOOKUP($A186,raw_lb[],COLUMN(AD$1)-COLUMN($A$1),FALSE)=0, VLOOKUP($D186, regions_lb[], COLUMN(AD$1)-COLUMN($A$1), FALSE), VLOOKUP($A186,raw_lb[],COLUMN(AD$1)-COLUMN($A$1),FALSE))</f>
        <v>3.3860469999999948E-2</v>
      </c>
      <c r="AD186" s="72">
        <f>IF(VLOOKUP($A186,raw_lb[],COLUMN(AE$1)-COLUMN($A$1),FALSE)=0, VLOOKUP($D186, regions_lb[], COLUMN(AE$1)-COLUMN($A$1), FALSE), VLOOKUP($A186,raw_lb[],COLUMN(AE$1)-COLUMN($A$1),FALSE))</f>
        <v>3.942363847677233E-3</v>
      </c>
      <c r="AE186" s="72">
        <f>IF(VLOOKUP($A186,raw_lb[],COLUMN(AF$1)-COLUMN($A$1),FALSE)=0, VLOOKUP($D186, regions_lb[], COLUMN(AF$1)-COLUMN($A$1), FALSE), VLOOKUP($A186,raw_lb[],COLUMN(AF$1)-COLUMN($A$1),FALSE))</f>
        <v>2.3074746421050778E-3</v>
      </c>
      <c r="AF186" s="72">
        <f>IF(VLOOKUP($A186,raw_lb[],COLUMN(AG$1)-COLUMN($A$1),FALSE)=0, VLOOKUP($D186, regions_lb[], COLUMN(AG$1)-COLUMN($A$1), FALSE), VLOOKUP($A186,raw_lb[],COLUMN(AG$1)-COLUMN($A$1),FALSE))</f>
        <v>1.4041120422952351E-3</v>
      </c>
      <c r="AG186" s="72">
        <f>IF(VLOOKUP($A186,raw_lb[],COLUMN(AH$1)-COLUMN($A$1),FALSE)=0, VLOOKUP($D186, regions_lb[], COLUMN(AH$1)-COLUMN($A$1), FALSE), VLOOKUP($A186,raw_lb[],COLUMN(AH$1)-COLUMN($A$1),FALSE))</f>
        <v>2.1566026500828279E-3</v>
      </c>
      <c r="AH186" s="72">
        <f>IF(VLOOKUP($A186,raw_lb[],COLUMN(AI$1)-COLUMN($A$1),FALSE)=0, VLOOKUP($D186, regions_lb[], COLUMN(AI$1)-COLUMN($A$1), FALSE), VLOOKUP($A186,raw_lb[],COLUMN(AI$1)-COLUMN($A$1),FALSE))</f>
        <v>3.0367460058125517E-3</v>
      </c>
      <c r="AI186" s="72">
        <f>IF(VLOOKUP($A186,raw_lb[],COLUMN(AJ$1)-COLUMN($A$1),FALSE)=0, VLOOKUP($D186, regions_lb[], COLUMN(AJ$1)-COLUMN($A$1), FALSE), VLOOKUP($A186,raw_lb[],COLUMN(AJ$1)-COLUMN($A$1),FALSE))</f>
        <v>3.2470470817135121E-3</v>
      </c>
      <c r="AJ186" s="72">
        <f>IF(VLOOKUP($A186,raw_lb[],COLUMN(AK$1)-COLUMN($A$1),FALSE)=0, VLOOKUP($D186, regions_lb[], COLUMN(AK$1)-COLUMN($A$1), FALSE), VLOOKUP($A186,raw_lb[],COLUMN(AK$1)-COLUMN($A$1),FALSE))</f>
        <v>3.6091441365211298E-3</v>
      </c>
      <c r="AK186" s="72">
        <f>IF(VLOOKUP($A186,raw_lb[],COLUMN(AL$1)-COLUMN($A$1),FALSE)=0, VLOOKUP($D186, regions_lb[], COLUMN(AL$1)-COLUMN($A$1), FALSE), VLOOKUP($A186,raw_lb[],COLUMN(AL$1)-COLUMN($A$1),FALSE))</f>
        <v>4.164875663264127E-3</v>
      </c>
      <c r="AL186" s="72">
        <f>IF(VLOOKUP($A186,raw_lb[],COLUMN(AM$1)-COLUMN($A$1),FALSE)=0, VLOOKUP($D186, regions_lb[], COLUMN(AM$1)-COLUMN($A$1), FALSE), VLOOKUP($A186,raw_lb[],COLUMN(AM$1)-COLUMN($A$1),FALSE))</f>
        <v>5.188930369019313E-3</v>
      </c>
      <c r="AM186" s="72">
        <f>IF(VLOOKUP($A186,raw_lb[],COLUMN(AN$1)-COLUMN($A$1),FALSE)=0, VLOOKUP($D186, regions_lb[], COLUMN(AN$1)-COLUMN($A$1), FALSE), VLOOKUP($A186,raw_lb[],COLUMN(AN$1)-COLUMN($A$1),FALSE))</f>
        <v>6.5679747067226985E-3</v>
      </c>
      <c r="AN186" s="72">
        <f>IF(VLOOKUP($A186,raw_lb[],COLUMN(AO$1)-COLUMN($A$1),FALSE)=0, VLOOKUP($D186, regions_lb[], COLUMN(AO$1)-COLUMN($A$1), FALSE), VLOOKUP($A186,raw_lb[],COLUMN(AO$1)-COLUMN($A$1),FALSE))</f>
        <v>9.2935022459771574E-3</v>
      </c>
      <c r="AO186" s="72">
        <f>IF(VLOOKUP($A186,raw_lb[],COLUMN(AP$1)-COLUMN($A$1),FALSE)=0, VLOOKUP($D186, regions_lb[], COLUMN(AP$1)-COLUMN($A$1), FALSE), VLOOKUP($A186,raw_lb[],COLUMN(AP$1)-COLUMN($A$1),FALSE))</f>
        <v>1.3276652446905039E-2</v>
      </c>
      <c r="AP186" s="72">
        <f>IF(VLOOKUP($A186,raw_lb[],COLUMN(AQ$1)-COLUMN($A$1),FALSE)=0, VLOOKUP($D186, regions_lb[], COLUMN(AQ$1)-COLUMN($A$1), FALSE), VLOOKUP($A186,raw_lb[],COLUMN(AQ$1)-COLUMN($A$1),FALSE))</f>
        <v>2.0575342755666227E-2</v>
      </c>
      <c r="AQ186" s="72">
        <f>IF(VLOOKUP($A186,raw_lb[],COLUMN(AR$1)-COLUMN($A$1),FALSE)=0, VLOOKUP($D186, regions_lb[], COLUMN(AR$1)-COLUMN($A$1), FALSE), VLOOKUP($A186,raw_lb[],COLUMN(AR$1)-COLUMN($A$1),FALSE))</f>
        <v>3.1726669034350487E-2</v>
      </c>
      <c r="AR186" s="72">
        <f>IF(VLOOKUP($A186,raw_lb[],COLUMN(AS$1)-COLUMN($A$1),FALSE)=0, VLOOKUP($D186, regions_lb[], COLUMN(AS$1)-COLUMN($A$1), FALSE), VLOOKUP($A186,raw_lb[],COLUMN(AS$1)-COLUMN($A$1),FALSE))</f>
        <v>5.096114033501202E-2</v>
      </c>
      <c r="AS186" s="82">
        <f>IF(VLOOKUP($A186,raw_lb[],COLUMN(AS$1),FALSE)=0, VLOOKUP($D186, regions_lb[], COLUMN(AS$1), FALSE), VLOOKUP($A186,raw_lb[],COLUMN(AS$1),FALSE))</f>
        <v>7.8795092606656944E-2</v>
      </c>
      <c r="AT186" s="82">
        <f>IF(VLOOKUP($A186,raw_lb[],COLUMN(AT$1),FALSE)=0, VLOOKUP($D186, regions_lb[], COLUMN(AT$1), FALSE), VLOOKUP($A186,raw_lb[],COLUMN(AT$1),FALSE))</f>
        <v>0.11067434401322583</v>
      </c>
      <c r="AU186" s="82">
        <f>IF(VLOOKUP($A186,raw_lb[],COLUMN(AU$1),FALSE)=0, VLOOKUP($D186, regions_lb[], COLUMN(AU$1), FALSE), VLOOKUP($A186,raw_lb[],COLUMN(AU$1),FALSE))</f>
        <v>0.13975240939178965</v>
      </c>
      <c r="AV186" s="82">
        <f>IF(VLOOKUP($A186,raw_lb[],COLUMN(AV$1),FALSE)=0, VLOOKUP($D186, regions_lb[], COLUMN(AV$1), FALSE), VLOOKUP($A186,raw_lb[],COLUMN(AV$1),FALSE))</f>
        <v>0.1612061128961976</v>
      </c>
      <c r="AW186" s="82">
        <f>IF(VLOOKUP($A186,raw_lb[],COLUMN(AW$1),FALSE)=0, VLOOKUP($D186, regions_lb[], COLUMN(AW$1), FALSE), VLOOKUP($A186,raw_lb[],COLUMN(AW$1),FALSE))</f>
        <v>0.1758230607470728</v>
      </c>
      <c r="AX186" s="82">
        <f>IF(VLOOKUP($A186,raw_lb[],COLUMN(AX$1),FALSE)=0, VLOOKUP($D186, regions_lb[], COLUMN(AX$1), FALSE), VLOOKUP($A186,raw_lb[],COLUMN(AX$1),FALSE))</f>
        <v>60.4694</v>
      </c>
      <c r="AY186" t="str">
        <f t="shared" si="6"/>
        <v>Yes</v>
      </c>
    </row>
    <row r="187" spans="1:51" x14ac:dyDescent="0.25">
      <c r="A187" s="55" t="s">
        <v>318</v>
      </c>
      <c r="B187" s="56" t="s">
        <v>319</v>
      </c>
      <c r="C187" s="56">
        <v>308</v>
      </c>
      <c r="D187" s="56" t="s">
        <v>215</v>
      </c>
      <c r="E187" s="56" t="s">
        <v>232</v>
      </c>
      <c r="F187" s="56" t="s">
        <v>217</v>
      </c>
      <c r="G187" s="56" t="s">
        <v>204</v>
      </c>
      <c r="H187" s="74"/>
      <c r="I187" s="74"/>
      <c r="J187" s="67">
        <f>IF(VLOOKUP($A187,raw_lb[],COLUMN(J$1),FALSE)=0, VLOOKUP($D187, regions_lb[], COLUMN(J$1), FALSE), VLOOKUP($A187,raw_lb[],COLUMN(J$1),FALSE))</f>
        <v>0.91035320956407795</v>
      </c>
      <c r="K187" s="77">
        <f>VLOOKUP($A187, raw_lb[], 11, FALSE)</f>
        <v>0.874</v>
      </c>
      <c r="L187" s="77">
        <f>VLOOKUP($A187, raw_lb[], 12, FALSE)</f>
        <v>0.68399999999999994</v>
      </c>
      <c r="M187" s="77">
        <f>IF(VLOOKUP($A187,raw_lb[],COLUMN(M$1),FALSE)=0, VLOOKUP($D187, regions_lb[], COLUMN(M$1), FALSE), VLOOKUP($A187,raw_lb[],COLUMN(M$1),FALSE))</f>
        <v>3.8E-3</v>
      </c>
      <c r="N187" s="68">
        <f>IF(VLOOKUP($A187,raw_lb[],COLUMN(N$1),FALSE)=0, VLOOKUP($D187, regions_lb[], COLUMN(N$1), FALSE), VLOOKUP($A187,raw_lb[],COLUMN(N$1),FALSE))</f>
        <v>0.16309999999999999</v>
      </c>
      <c r="O187" s="67">
        <f>IF(VLOOKUP($A187,raw_lb[],COLUMN(O$1),FALSE)=0, VLOOKUP($D187, regions_lb[], COLUMN(O$1), FALSE), VLOOKUP($A187,raw_lb[],COLUMN(O$1),FALSE))</f>
        <v>0.7</v>
      </c>
      <c r="P187" s="68">
        <f>IF(VLOOKUP($A187,raw_lb[],COLUMN(P$1),FALSE)=0, VLOOKUP($D187, regions_lb[], COLUMN(P$1), FALSE), VLOOKUP($A187,raw_lb[],COLUMN(P$1),FALSE))</f>
        <v>0.05</v>
      </c>
      <c r="Q187" s="70">
        <f>IF(VLOOKUP($A187,raw_lb[],COLUMN(Q$1),FALSE)=0, VLOOKUP($D187, regions_lb[], COLUMN(Q$1), FALSE), VLOOKUP($A187,raw_lb[],COLUMN(Q$1),FALSE))</f>
        <v>2.3935408980677502</v>
      </c>
      <c r="R187" s="70">
        <f>IF(VLOOKUP($A187,raw_lb[],COLUMN(R$1),FALSE)=0, VLOOKUP($D187, regions_lb[], COLUMN(R$1), FALSE), VLOOKUP($A187,raw_lb[],COLUMN(R$1),FALSE))</f>
        <v>9.4544408980677517</v>
      </c>
      <c r="S187" s="70">
        <f>IF(VLOOKUP($A187,raw_lb[],COLUMN(S$1),FALSE)=0, VLOOKUP($D187, regions_lb[], COLUMN(S$1), FALSE), VLOOKUP($A187,raw_lb[],COLUMN(S$1),FALSE))</f>
        <v>53.670268333696797</v>
      </c>
      <c r="T187" s="70">
        <f>IF(VLOOKUP($A187,raw_lb[],COLUMN(U$1)-COLUMN($A$1),FALSE)=0, VLOOKUP($D187, regions_lb[], COLUMN(U$1)-COLUMN($A$1), FALSE), VLOOKUP($A187,raw_lb[],COLUMN(U$1)-COLUMN($A$1),FALSE))</f>
        <v>61.475072392565579</v>
      </c>
      <c r="U187" s="70">
        <f>IF(VLOOKUP($A187,raw_lb[],COLUMN(V$1)-COLUMN($A$1),FALSE)=0, VLOOKUP($D187, regions_lb[], COLUMN(V$1)-COLUMN($A$1), FALSE), VLOOKUP($A187,raw_lb[],COLUMN(V$1)-COLUMN($A$1),FALSE))</f>
        <v>57.89127134127412</v>
      </c>
      <c r="V187" s="70">
        <f>IF(VLOOKUP($A187,raw_lb[],COLUMN(W$1)-COLUMN($A$1),FALSE)=0, VLOOKUP($D187, regions_lb[], COLUMN(W$1)-COLUMN($A$1), FALSE), VLOOKUP($A187,raw_lb[],COLUMN(W$1)-COLUMN($A$1),FALSE))</f>
        <v>5.7312306965521165</v>
      </c>
      <c r="W187" s="70">
        <f>IF(VLOOKUP($A187,raw_lb[],COLUMN(X$1)-COLUMN($A$1),FALSE)=0, VLOOKUP($D187, regions_lb[], COLUMN(X$1)-COLUMN($A$1), FALSE), VLOOKUP($A187,raw_lb[],COLUMN(X$1)-COLUMN($A$1),FALSE))</f>
        <v>5.7502306965521166</v>
      </c>
      <c r="X187" s="70">
        <f>IF(VLOOKUP($A187,raw_lb[],COLUMN(Y$1)-COLUMN($A$1),FALSE)=0, VLOOKUP($D187, regions_lb[], COLUMN(Y$1)-COLUMN($A$1), FALSE), VLOOKUP($A187,raw_lb[],COLUMN(Y$1)-COLUMN($A$1),FALSE))</f>
        <v>5.2518234424162777</v>
      </c>
      <c r="Y187" s="70">
        <f>IF(VLOOKUP($A187,raw_lb[],COLUMN(Z$1)-COLUMN($A$1),FALSE)=0, VLOOKUP($D187, regions_lb[], COLUMN(Z$1)-COLUMN($A$1), FALSE), VLOOKUP($A187,raw_lb[],COLUMN(Z$1)-COLUMN($A$1),FALSE))</f>
        <v>5.2708234424162779</v>
      </c>
      <c r="Z187" s="70">
        <f>IF(VLOOKUP($A187,raw_lb[],COLUMN(AA$1)-COLUMN($A$1),FALSE)=0, VLOOKUP($D187, regions_lb[], COLUMN(AA$1)-COLUMN($A$1), FALSE), VLOOKUP($A187,raw_lb[],COLUMN(AA$1)-COLUMN($A$1),FALSE))</f>
        <v>5.2637381369128322</v>
      </c>
      <c r="AA187" s="70">
        <f>IF(VLOOKUP($A187,raw_lb[],COLUMN(AB$1)-COLUMN($A$1),FALSE)=0, VLOOKUP($D187, regions_lb[], COLUMN(AB$1)-COLUMN($A$1), FALSE), VLOOKUP($A187,raw_lb[],COLUMN(AB$1)-COLUMN($A$1),FALSE))</f>
        <v>5.9013655410601666</v>
      </c>
      <c r="AB187" s="70">
        <f>IF(VLOOKUP($A187,raw_lb[],COLUMN(AC$1)-COLUMN($A$1),FALSE)=0, VLOOKUP($D187, regions_lb[], COLUMN(AC$1)-COLUMN($A$1), FALSE), VLOOKUP($A187,raw_lb[],COLUMN(AC$1)-COLUMN($A$1),FALSE))</f>
        <v>5.9203655410601668</v>
      </c>
      <c r="AC187" s="72">
        <f>IF(VLOOKUP($A187,raw_lb[],COLUMN(AD$1)-COLUMN($A$1),FALSE)=0, VLOOKUP($D187, regions_lb[], COLUMN(AD$1)-COLUMN($A$1), FALSE), VLOOKUP($A187,raw_lb[],COLUMN(AD$1)-COLUMN($A$1),FALSE))</f>
        <v>1.4247862499999944E-2</v>
      </c>
      <c r="AD187" s="72">
        <f>IF(VLOOKUP($A187,raw_lb[],COLUMN(AE$1)-COLUMN($A$1),FALSE)=0, VLOOKUP($D187, regions_lb[], COLUMN(AE$1)-COLUMN($A$1), FALSE), VLOOKUP($A187,raw_lb[],COLUMN(AE$1)-COLUMN($A$1),FALSE))</f>
        <v>3.4898676627391332E-4</v>
      </c>
      <c r="AE187" s="72">
        <f>IF(VLOOKUP($A187,raw_lb[],COLUMN(AF$1)-COLUMN($A$1),FALSE)=0, VLOOKUP($D187, regions_lb[], COLUMN(AF$1)-COLUMN($A$1), FALSE), VLOOKUP($A187,raw_lb[],COLUMN(AF$1)-COLUMN($A$1),FALSE))</f>
        <v>3.6883636192051118E-4</v>
      </c>
      <c r="AF187" s="72">
        <f>IF(VLOOKUP($A187,raw_lb[],COLUMN(AG$1)-COLUMN($A$1),FALSE)=0, VLOOKUP($D187, regions_lb[], COLUMN(AG$1)-COLUMN($A$1), FALSE), VLOOKUP($A187,raw_lb[],COLUMN(AG$1)-COLUMN($A$1),FALSE))</f>
        <v>3.499004299464131E-4</v>
      </c>
      <c r="AG187" s="72">
        <f>IF(VLOOKUP($A187,raw_lb[],COLUMN(AH$1)-COLUMN($A$1),FALSE)=0, VLOOKUP($D187, regions_lb[], COLUMN(AH$1)-COLUMN($A$1), FALSE), VLOOKUP($A187,raw_lb[],COLUMN(AH$1)-COLUMN($A$1),FALSE))</f>
        <v>8.2157192205398427E-4</v>
      </c>
      <c r="AH187" s="72">
        <f>IF(VLOOKUP($A187,raw_lb[],COLUMN(AI$1)-COLUMN($A$1),FALSE)=0, VLOOKUP($D187, regions_lb[], COLUMN(AI$1)-COLUMN($A$1), FALSE), VLOOKUP($A187,raw_lb[],COLUMN(AI$1)-COLUMN($A$1),FALSE))</f>
        <v>1.1167280710455416E-3</v>
      </c>
      <c r="AI187" s="72">
        <f>IF(VLOOKUP($A187,raw_lb[],COLUMN(AJ$1)-COLUMN($A$1),FALSE)=0, VLOOKUP($D187, regions_lb[], COLUMN(AJ$1)-COLUMN($A$1), FALSE), VLOOKUP($A187,raw_lb[],COLUMN(AJ$1)-COLUMN($A$1),FALSE))</f>
        <v>1.198159607033851E-3</v>
      </c>
      <c r="AJ187" s="72">
        <f>IF(VLOOKUP($A187,raw_lb[],COLUMN(AK$1)-COLUMN($A$1),FALSE)=0, VLOOKUP($D187, regions_lb[], COLUMN(AK$1)-COLUMN($A$1), FALSE), VLOOKUP($A187,raw_lb[],COLUMN(AK$1)-COLUMN($A$1),FALSE))</f>
        <v>1.4336507356103622E-3</v>
      </c>
      <c r="AK187" s="72">
        <f>IF(VLOOKUP($A187,raw_lb[],COLUMN(AL$1)-COLUMN($A$1),FALSE)=0, VLOOKUP($D187, regions_lb[], COLUMN(AL$1)-COLUMN($A$1), FALSE), VLOOKUP($A187,raw_lb[],COLUMN(AL$1)-COLUMN($A$1),FALSE))</f>
        <v>1.9322705454106915E-3</v>
      </c>
      <c r="AL187" s="72">
        <f>IF(VLOOKUP($A187,raw_lb[],COLUMN(AM$1)-COLUMN($A$1),FALSE)=0, VLOOKUP($D187, regions_lb[], COLUMN(AM$1)-COLUMN($A$1), FALSE), VLOOKUP($A187,raw_lb[],COLUMN(AM$1)-COLUMN($A$1),FALSE))</f>
        <v>2.8018530101010112E-3</v>
      </c>
      <c r="AM187" s="72">
        <f>IF(VLOOKUP($A187,raw_lb[],COLUMN(AN$1)-COLUMN($A$1),FALSE)=0, VLOOKUP($D187, regions_lb[], COLUMN(AN$1)-COLUMN($A$1), FALSE), VLOOKUP($A187,raw_lb[],COLUMN(AN$1)-COLUMN($A$1),FALSE))</f>
        <v>4.3059512992896648E-3</v>
      </c>
      <c r="AN187" s="72">
        <f>IF(VLOOKUP($A187,raw_lb[],COLUMN(AO$1)-COLUMN($A$1),FALSE)=0, VLOOKUP($D187, regions_lb[], COLUMN(AO$1)-COLUMN($A$1), FALSE), VLOOKUP($A187,raw_lb[],COLUMN(AO$1)-COLUMN($A$1),FALSE))</f>
        <v>6.6188395954782436E-3</v>
      </c>
      <c r="AO187" s="72">
        <f>IF(VLOOKUP($A187,raw_lb[],COLUMN(AP$1)-COLUMN($A$1),FALSE)=0, VLOOKUP($D187, regions_lb[], COLUMN(AP$1)-COLUMN($A$1), FALSE), VLOOKUP($A187,raw_lb[],COLUMN(AP$1)-COLUMN($A$1),FALSE))</f>
        <v>1.0137431963107391E-2</v>
      </c>
      <c r="AP187" s="72">
        <f>IF(VLOOKUP($A187,raw_lb[],COLUMN(AQ$1)-COLUMN($A$1),FALSE)=0, VLOOKUP($D187, regions_lb[], COLUMN(AQ$1)-COLUMN($A$1), FALSE), VLOOKUP($A187,raw_lb[],COLUMN(AQ$1)-COLUMN($A$1),FALSE))</f>
        <v>1.5718894950576288E-2</v>
      </c>
      <c r="AQ187" s="72">
        <f>IF(VLOOKUP($A187,raw_lb[],COLUMN(AR$1)-COLUMN($A$1),FALSE)=0, VLOOKUP($D187, regions_lb[], COLUMN(AR$1)-COLUMN($A$1), FALSE), VLOOKUP($A187,raw_lb[],COLUMN(AR$1)-COLUMN($A$1),FALSE))</f>
        <v>2.411768066522493E-2</v>
      </c>
      <c r="AR187" s="72">
        <f>IF(VLOOKUP($A187,raw_lb[],COLUMN(AS$1)-COLUMN($A$1),FALSE)=0, VLOOKUP($D187, regions_lb[], COLUMN(AS$1)-COLUMN($A$1), FALSE), VLOOKUP($A187,raw_lb[],COLUMN(AS$1)-COLUMN($A$1),FALSE))</f>
        <v>3.6623710657482433E-2</v>
      </c>
      <c r="AS187" s="82">
        <f>IF(VLOOKUP($A187,raw_lb[],COLUMN(AS$1),FALSE)=0, VLOOKUP($D187, regions_lb[], COLUMN(AS$1), FALSE), VLOOKUP($A187,raw_lb[],COLUMN(AS$1),FALSE))</f>
        <v>5.605169337633116E-2</v>
      </c>
      <c r="AT187" s="82">
        <f>IF(VLOOKUP($A187,raw_lb[],COLUMN(AT$1),FALSE)=0, VLOOKUP($D187, regions_lb[], COLUMN(AT$1), FALSE), VLOOKUP($A187,raw_lb[],COLUMN(AT$1),FALSE))</f>
        <v>8.291855776175229E-2</v>
      </c>
      <c r="AU187" s="82">
        <f>IF(VLOOKUP($A187,raw_lb[],COLUMN(AU$1),FALSE)=0, VLOOKUP($D187, regions_lb[], COLUMN(AU$1), FALSE), VLOOKUP($A187,raw_lb[],COLUMN(AU$1),FALSE))</f>
        <v>0.11464038658512794</v>
      </c>
      <c r="AV187" s="82">
        <f>IF(VLOOKUP($A187,raw_lb[],COLUMN(AV$1),FALSE)=0, VLOOKUP($D187, regions_lb[], COLUMN(AV$1), FALSE), VLOOKUP($A187,raw_lb[],COLUMN(AV$1),FALSE))</f>
        <v>0.14384465882695935</v>
      </c>
      <c r="AW187" s="82">
        <f>IF(VLOOKUP($A187,raw_lb[],COLUMN(AW$1),FALSE)=0, VLOOKUP($D187, regions_lb[], COLUMN(AW$1), FALSE), VLOOKUP($A187,raw_lb[],COLUMN(AW$1),FALSE))</f>
        <v>0.16582874069224438</v>
      </c>
      <c r="AX187" s="82">
        <f>IF(VLOOKUP($A187,raw_lb[],COLUMN(AX$1),FALSE)=0, VLOOKUP($D187, regions_lb[], COLUMN(AX$1), FALSE), VLOOKUP($A187,raw_lb[],COLUMN(AX$1),FALSE))</f>
        <v>68.773349999999994</v>
      </c>
      <c r="AY187" t="str">
        <f t="shared" si="6"/>
        <v>No</v>
      </c>
    </row>
    <row r="188" spans="1:51" x14ac:dyDescent="0.25">
      <c r="A188" s="53" t="s">
        <v>320</v>
      </c>
      <c r="B188" s="54" t="s">
        <v>321</v>
      </c>
      <c r="C188" s="54">
        <v>320</v>
      </c>
      <c r="D188" s="54" t="s">
        <v>215</v>
      </c>
      <c r="E188" s="54" t="s">
        <v>274</v>
      </c>
      <c r="F188" s="54" t="s">
        <v>217</v>
      </c>
      <c r="G188" s="54" t="s">
        <v>204</v>
      </c>
      <c r="H188" s="73"/>
      <c r="I188" s="73"/>
      <c r="J188" s="67">
        <f>IF(VLOOKUP($A188,raw_lb[],COLUMN(J$1),FALSE)=0, VLOOKUP($D188, regions_lb[], COLUMN(J$1), FALSE), VLOOKUP($A188,raw_lb[],COLUMN(J$1),FALSE))</f>
        <v>0.61749999999999994</v>
      </c>
      <c r="K188" s="77">
        <f>VLOOKUP($A188, raw_lb[], 11, FALSE)</f>
        <v>0.45599999999999996</v>
      </c>
      <c r="L188" s="77">
        <f>VLOOKUP($A188, raw_lb[], 12, FALSE)</f>
        <v>0.84549999999999992</v>
      </c>
      <c r="M188" s="77">
        <f>IF(VLOOKUP($A188,raw_lb[],COLUMN(M$1),FALSE)=0, VLOOKUP($D188, regions_lb[], COLUMN(M$1), FALSE), VLOOKUP($A188,raw_lb[],COLUMN(M$1),FALSE))</f>
        <v>1.7000000000000001E-3</v>
      </c>
      <c r="N188" s="68">
        <f>IF(VLOOKUP($A188,raw_lb[],COLUMN(N$1),FALSE)=0, VLOOKUP($D188, regions_lb[], COLUMN(N$1), FALSE), VLOOKUP($A188,raw_lb[],COLUMN(N$1),FALSE))</f>
        <v>0.16440000000000002</v>
      </c>
      <c r="O188" s="67">
        <f>IF(VLOOKUP($A188,raw_lb[],COLUMN(O$1),FALSE)=0, VLOOKUP($D188, regions_lb[], COLUMN(O$1), FALSE), VLOOKUP($A188,raw_lb[],COLUMN(O$1),FALSE))</f>
        <v>0.7</v>
      </c>
      <c r="P188" s="68">
        <f>IF(VLOOKUP($A188,raw_lb[],COLUMN(P$1),FALSE)=0, VLOOKUP($D188, regions_lb[], COLUMN(P$1), FALSE), VLOOKUP($A188,raw_lb[],COLUMN(P$1),FALSE))</f>
        <v>0.05</v>
      </c>
      <c r="Q188" s="70">
        <f>IF(VLOOKUP($A188,raw_lb[],COLUMN(Q$1),FALSE)=0, VLOOKUP($D188, regions_lb[], COLUMN(Q$1), FALSE), VLOOKUP($A188,raw_lb[],COLUMN(Q$1),FALSE))</f>
        <v>1.0943539085691669</v>
      </c>
      <c r="R188" s="70">
        <f>IF(VLOOKUP($A188,raw_lb[],COLUMN(R$1),FALSE)=0, VLOOKUP($D188, regions_lb[], COLUMN(R$1), FALSE), VLOOKUP($A188,raw_lb[],COLUMN(R$1),FALSE))</f>
        <v>8.1552539085691684</v>
      </c>
      <c r="S188" s="70">
        <f>IF(VLOOKUP($A188,raw_lb[],COLUMN(S$1),FALSE)=0, VLOOKUP($D188, regions_lb[], COLUMN(S$1), FALSE), VLOOKUP($A188,raw_lb[],COLUMN(S$1),FALSE))</f>
        <v>41.112221621663934</v>
      </c>
      <c r="T188" s="70">
        <f>IF(VLOOKUP($A188,raw_lb[],COLUMN(U$1)-COLUMN($A$1),FALSE)=0, VLOOKUP($D188, regions_lb[], COLUMN(U$1)-COLUMN($A$1), FALSE), VLOOKUP($A188,raw_lb[],COLUMN(U$1)-COLUMN($A$1),FALSE))</f>
        <v>43.057182705020139</v>
      </c>
      <c r="U188" s="70">
        <f>IF(VLOOKUP($A188,raw_lb[],COLUMN(V$1)-COLUMN($A$1),FALSE)=0, VLOOKUP($D188, regions_lb[], COLUMN(V$1)-COLUMN($A$1), FALSE), VLOOKUP($A188,raw_lb[],COLUMN(V$1)-COLUMN($A$1),FALSE))</f>
        <v>42.164097686782895</v>
      </c>
      <c r="V188" s="70">
        <f>IF(VLOOKUP($A188,raw_lb[],COLUMN(W$1)-COLUMN($A$1),FALSE)=0, VLOOKUP($D188, regions_lb[], COLUMN(W$1)-COLUMN($A$1), FALSE), VLOOKUP($A188,raw_lb[],COLUMN(W$1)-COLUMN($A$1),FALSE))</f>
        <v>1.6070811504409628</v>
      </c>
      <c r="W188" s="70">
        <f>IF(VLOOKUP($A188,raw_lb[],COLUMN(X$1)-COLUMN($A$1),FALSE)=0, VLOOKUP($D188, regions_lb[], COLUMN(X$1)-COLUMN($A$1), FALSE), VLOOKUP($A188,raw_lb[],COLUMN(X$1)-COLUMN($A$1),FALSE))</f>
        <v>1.6260811504409627</v>
      </c>
      <c r="X188" s="70">
        <f>IF(VLOOKUP($A188,raw_lb[],COLUMN(Y$1)-COLUMN($A$1),FALSE)=0, VLOOKUP($D188, regions_lb[], COLUMN(Y$1)-COLUMN($A$1), FALSE), VLOOKUP($A188,raw_lb[],COLUMN(Y$1)-COLUMN($A$1),FALSE))</f>
        <v>1.1326379447038344</v>
      </c>
      <c r="Y188" s="70">
        <f>IF(VLOOKUP($A188,raw_lb[],COLUMN(Z$1)-COLUMN($A$1),FALSE)=0, VLOOKUP($D188, regions_lb[], COLUMN(Z$1)-COLUMN($A$1), FALSE), VLOOKUP($A188,raw_lb[],COLUMN(Z$1)-COLUMN($A$1),FALSE))</f>
        <v>1.1516379447038343</v>
      </c>
      <c r="Z188" s="70">
        <f>IF(VLOOKUP($A188,raw_lb[],COLUMN(AA$1)-COLUMN($A$1),FALSE)=0, VLOOKUP($D188, regions_lb[], COLUMN(AA$1)-COLUMN($A$1), FALSE), VLOOKUP($A188,raw_lb[],COLUMN(AA$1)-COLUMN($A$1),FALSE))</f>
        <v>1.1469715474550328</v>
      </c>
      <c r="AA188" s="70">
        <f>IF(VLOOKUP($A188,raw_lb[],COLUMN(AB$1)-COLUMN($A$1),FALSE)=0, VLOOKUP($D188, regions_lb[], COLUMN(AB$1)-COLUMN($A$1), FALSE), VLOOKUP($A188,raw_lb[],COLUMN(AB$1)-COLUMN($A$1),FALSE))</f>
        <v>1.7618983598901337</v>
      </c>
      <c r="AB188" s="70">
        <f>IF(VLOOKUP($A188,raw_lb[],COLUMN(AC$1)-COLUMN($A$1),FALSE)=0, VLOOKUP($D188, regions_lb[], COLUMN(AC$1)-COLUMN($A$1), FALSE), VLOOKUP($A188,raw_lb[],COLUMN(AC$1)-COLUMN($A$1),FALSE))</f>
        <v>1.7808983598901336</v>
      </c>
      <c r="AC188" s="72">
        <f>IF(VLOOKUP($A188,raw_lb[],COLUMN(AD$1)-COLUMN($A$1),FALSE)=0, VLOOKUP($D188, regions_lb[], COLUMN(AD$1)-COLUMN($A$1), FALSE), VLOOKUP($A188,raw_lb[],COLUMN(AD$1)-COLUMN($A$1),FALSE))</f>
        <v>1.9705080499999972E-2</v>
      </c>
      <c r="AD188" s="72">
        <f>IF(VLOOKUP($A188,raw_lb[],COLUMN(AE$1)-COLUMN($A$1),FALSE)=0, VLOOKUP($D188, regions_lb[], COLUMN(AE$1)-COLUMN($A$1), FALSE), VLOOKUP($A188,raw_lb[],COLUMN(AE$1)-COLUMN($A$1),FALSE))</f>
        <v>1.3000101832223328E-3</v>
      </c>
      <c r="AE188" s="72">
        <f>IF(VLOOKUP($A188,raw_lb[],COLUMN(AF$1)-COLUMN($A$1),FALSE)=0, VLOOKUP($D188, regions_lb[], COLUMN(AF$1)-COLUMN($A$1), FALSE), VLOOKUP($A188,raw_lb[],COLUMN(AF$1)-COLUMN($A$1),FALSE))</f>
        <v>3.4433023873700239E-4</v>
      </c>
      <c r="AF188" s="72">
        <f>IF(VLOOKUP($A188,raw_lb[],COLUMN(AG$1)-COLUMN($A$1),FALSE)=0, VLOOKUP($D188, regions_lb[], COLUMN(AG$1)-COLUMN($A$1), FALSE), VLOOKUP($A188,raw_lb[],COLUMN(AG$1)-COLUMN($A$1),FALSE))</f>
        <v>4.9530266784782639E-4</v>
      </c>
      <c r="AG188" s="72">
        <f>IF(VLOOKUP($A188,raw_lb[],COLUMN(AH$1)-COLUMN($A$1),FALSE)=0, VLOOKUP($D188, regions_lb[], COLUMN(AH$1)-COLUMN($A$1), FALSE), VLOOKUP($A188,raw_lb[],COLUMN(AH$1)-COLUMN($A$1),FALSE))</f>
        <v>1.0541724772765593E-3</v>
      </c>
      <c r="AH188" s="72">
        <f>IF(VLOOKUP($A188,raw_lb[],COLUMN(AI$1)-COLUMN($A$1),FALSE)=0, VLOOKUP($D188, regions_lb[], COLUMN(AI$1)-COLUMN($A$1), FALSE), VLOOKUP($A188,raw_lb[],COLUMN(AI$1)-COLUMN($A$1),FALSE))</f>
        <v>1.8053430504910801E-3</v>
      </c>
      <c r="AI188" s="72">
        <f>IF(VLOOKUP($A188,raw_lb[],COLUMN(AJ$1)-COLUMN($A$1),FALSE)=0, VLOOKUP($D188, regions_lb[], COLUMN(AJ$1)-COLUMN($A$1), FALSE), VLOOKUP($A188,raw_lb[],COLUMN(AJ$1)-COLUMN($A$1),FALSE))</f>
        <v>2.3968133086251261E-3</v>
      </c>
      <c r="AJ188" s="72">
        <f>IF(VLOOKUP($A188,raw_lb[],COLUMN(AK$1)-COLUMN($A$1),FALSE)=0, VLOOKUP($D188, regions_lb[], COLUMN(AK$1)-COLUMN($A$1), FALSE), VLOOKUP($A188,raw_lb[],COLUMN(AK$1)-COLUMN($A$1),FALSE))</f>
        <v>2.7651924105891895E-3</v>
      </c>
      <c r="AK188" s="72">
        <f>IF(VLOOKUP($A188,raw_lb[],COLUMN(AL$1)-COLUMN($A$1),FALSE)=0, VLOOKUP($D188, regions_lb[], COLUMN(AL$1)-COLUMN($A$1), FALSE), VLOOKUP($A188,raw_lb[],COLUMN(AL$1)-COLUMN($A$1),FALSE))</f>
        <v>3.0482398321419035E-3</v>
      </c>
      <c r="AL188" s="72">
        <f>IF(VLOOKUP($A188,raw_lb[],COLUMN(AM$1)-COLUMN($A$1),FALSE)=0, VLOOKUP($D188, regions_lb[], COLUMN(AM$1)-COLUMN($A$1), FALSE), VLOOKUP($A188,raw_lb[],COLUMN(AM$1)-COLUMN($A$1),FALSE))</f>
        <v>3.4611075624254419E-3</v>
      </c>
      <c r="AM188" s="72">
        <f>IF(VLOOKUP($A188,raw_lb[],COLUMN(AN$1)-COLUMN($A$1),FALSE)=0, VLOOKUP($D188, regions_lb[], COLUMN(AN$1)-COLUMN($A$1), FALSE), VLOOKUP($A188,raw_lb[],COLUMN(AN$1)-COLUMN($A$1),FALSE))</f>
        <v>4.2204185630413081E-3</v>
      </c>
      <c r="AN188" s="72">
        <f>IF(VLOOKUP($A188,raw_lb[],COLUMN(AO$1)-COLUMN($A$1),FALSE)=0, VLOOKUP($D188, regions_lb[], COLUMN(AO$1)-COLUMN($A$1), FALSE), VLOOKUP($A188,raw_lb[],COLUMN(AO$1)-COLUMN($A$1),FALSE))</f>
        <v>5.5499853841291186E-3</v>
      </c>
      <c r="AO188" s="72">
        <f>IF(VLOOKUP($A188,raw_lb[],COLUMN(AP$1)-COLUMN($A$1),FALSE)=0, VLOOKUP($D188, regions_lb[], COLUMN(AP$1)-COLUMN($A$1), FALSE), VLOOKUP($A188,raw_lb[],COLUMN(AP$1)-COLUMN($A$1),FALSE))</f>
        <v>7.7181899728539427E-3</v>
      </c>
      <c r="AP188" s="72">
        <f>IF(VLOOKUP($A188,raw_lb[],COLUMN(AQ$1)-COLUMN($A$1),FALSE)=0, VLOOKUP($D188, regions_lb[], COLUMN(AQ$1)-COLUMN($A$1), FALSE), VLOOKUP($A188,raw_lb[],COLUMN(AQ$1)-COLUMN($A$1),FALSE))</f>
        <v>1.1196805319563135E-2</v>
      </c>
      <c r="AQ188" s="72">
        <f>IF(VLOOKUP($A188,raw_lb[],COLUMN(AR$1)-COLUMN($A$1),FALSE)=0, VLOOKUP($D188, regions_lb[], COLUMN(AR$1)-COLUMN($A$1), FALSE), VLOOKUP($A188,raw_lb[],COLUMN(AR$1)-COLUMN($A$1),FALSE))</f>
        <v>1.5101961575920975E-2</v>
      </c>
      <c r="AR188" s="72">
        <f>IF(VLOOKUP($A188,raw_lb[],COLUMN(AS$1)-COLUMN($A$1),FALSE)=0, VLOOKUP($D188, regions_lb[], COLUMN(AS$1)-COLUMN($A$1), FALSE), VLOOKUP($A188,raw_lb[],COLUMN(AS$1)-COLUMN($A$1),FALSE))</f>
        <v>2.1760285323666903E-2</v>
      </c>
      <c r="AS188" s="82">
        <f>IF(VLOOKUP($A188,raw_lb[],COLUMN(AS$1),FALSE)=0, VLOOKUP($D188, regions_lb[], COLUMN(AS$1), FALSE), VLOOKUP($A188,raw_lb[],COLUMN(AS$1),FALSE))</f>
        <v>3.6318258173399523E-2</v>
      </c>
      <c r="AT188" s="82">
        <f>IF(VLOOKUP($A188,raw_lb[],COLUMN(AT$1),FALSE)=0, VLOOKUP($D188, regions_lb[], COLUMN(AT$1), FALSE), VLOOKUP($A188,raw_lb[],COLUMN(AT$1),FALSE))</f>
        <v>5.9502808751017384E-2</v>
      </c>
      <c r="AU188" s="82">
        <f>IF(VLOOKUP($A188,raw_lb[],COLUMN(AU$1),FALSE)=0, VLOOKUP($D188, regions_lb[], COLUMN(AU$1), FALSE), VLOOKUP($A188,raw_lb[],COLUMN(AU$1),FALSE))</f>
        <v>8.8628290632361093E-2</v>
      </c>
      <c r="AV188" s="82">
        <f>IF(VLOOKUP($A188,raw_lb[],COLUMN(AV$1),FALSE)=0, VLOOKUP($D188, regions_lb[], COLUMN(AV$1), FALSE), VLOOKUP($A188,raw_lb[],COLUMN(AV$1),FALSE))</f>
        <v>0.11983919123727396</v>
      </c>
      <c r="AW188" s="82">
        <f>IF(VLOOKUP($A188,raw_lb[],COLUMN(AW$1),FALSE)=0, VLOOKUP($D188, regions_lb[], COLUMN(AW$1), FALSE), VLOOKUP($A188,raw_lb[],COLUMN(AW$1),FALSE))</f>
        <v>0.14641995234470978</v>
      </c>
      <c r="AX188" s="82">
        <f>IF(VLOOKUP($A188,raw_lb[],COLUMN(AX$1),FALSE)=0, VLOOKUP($D188, regions_lb[], COLUMN(AX$1), FALSE), VLOOKUP($A188,raw_lb[],COLUMN(AX$1),FALSE))</f>
        <v>70.239199999999997</v>
      </c>
      <c r="AY188" t="str">
        <f t="shared" si="6"/>
        <v>No</v>
      </c>
    </row>
    <row r="189" spans="1:51" x14ac:dyDescent="0.25">
      <c r="A189" s="55" t="s">
        <v>322</v>
      </c>
      <c r="B189" s="56" t="s">
        <v>323</v>
      </c>
      <c r="C189" s="56">
        <v>324</v>
      </c>
      <c r="D189" s="56" t="s">
        <v>207</v>
      </c>
      <c r="E189" s="56" t="s">
        <v>235</v>
      </c>
      <c r="F189" s="56" t="s">
        <v>211</v>
      </c>
      <c r="G189" s="56" t="s">
        <v>198</v>
      </c>
      <c r="H189" s="74"/>
      <c r="I189" s="74"/>
      <c r="J189" s="67">
        <f>IF(VLOOKUP($A189,raw_lb[],COLUMN(J$1),FALSE)=0, VLOOKUP($D189, regions_lb[], COLUMN(J$1), FALSE), VLOOKUP($A189,raw_lb[],COLUMN(J$1),FALSE))</f>
        <v>0.49969999999999998</v>
      </c>
      <c r="K189" s="77">
        <f>VLOOKUP($A189, raw_lb[], 11, FALSE)</f>
        <v>0</v>
      </c>
      <c r="L189" s="77">
        <f>VLOOKUP($A189, raw_lb[], 12, FALSE)</f>
        <v>0.44649999999999995</v>
      </c>
      <c r="M189" s="77">
        <f>IF(VLOOKUP($A189,raw_lb[],COLUMN(M$1),FALSE)=0, VLOOKUP($D189, regions_lb[], COLUMN(M$1), FALSE), VLOOKUP($A189,raw_lb[],COLUMN(M$1),FALSE))</f>
        <v>0.1011</v>
      </c>
      <c r="N189" s="68">
        <f>IF(VLOOKUP($A189,raw_lb[],COLUMN(N$1),FALSE)=0, VLOOKUP($D189, regions_lb[], COLUMN(N$1), FALSE), VLOOKUP($A189,raw_lb[],COLUMN(N$1),FALSE))</f>
        <v>0.155</v>
      </c>
      <c r="O189" s="67">
        <f>IF(VLOOKUP($A189,raw_lb[],COLUMN(O$1),FALSE)=0, VLOOKUP($D189, regions_lb[], COLUMN(O$1), FALSE), VLOOKUP($A189,raw_lb[],COLUMN(O$1),FALSE))</f>
        <v>7.0000000000000007E-2</v>
      </c>
      <c r="P189" s="68">
        <f>IF(VLOOKUP($A189,raw_lb[],COLUMN(P$1),FALSE)=0, VLOOKUP($D189, regions_lb[], COLUMN(P$1), FALSE), VLOOKUP($A189,raw_lb[],COLUMN(P$1),FALSE))</f>
        <v>1E-3</v>
      </c>
      <c r="Q189" s="70">
        <f>IF(VLOOKUP($A189,raw_lb[],COLUMN(Q$1),FALSE)=0, VLOOKUP($D189, regions_lb[], COLUMN(Q$1), FALSE), VLOOKUP($A189,raw_lb[],COLUMN(Q$1),FALSE))</f>
        <v>0.62277650834403109</v>
      </c>
      <c r="R189" s="70">
        <f>IF(VLOOKUP($A189,raw_lb[],COLUMN(R$1),FALSE)=0, VLOOKUP($D189, regions_lb[], COLUMN(R$1), FALSE), VLOOKUP($A189,raw_lb[],COLUMN(R$1),FALSE))</f>
        <v>7.6836765083440319</v>
      </c>
      <c r="S189" s="70">
        <f>IF(VLOOKUP($A189,raw_lb[],COLUMN(S$1),FALSE)=0, VLOOKUP($D189, regions_lb[], COLUMN(S$1), FALSE), VLOOKUP($A189,raw_lb[],COLUMN(S$1),FALSE))</f>
        <v>37.356019990396774</v>
      </c>
      <c r="T189" s="70">
        <f>IF(VLOOKUP($A189,raw_lb[],COLUMN(U$1)-COLUMN($A$1),FALSE)=0, VLOOKUP($D189, regions_lb[], COLUMN(U$1)-COLUMN($A$1), FALSE), VLOOKUP($A189,raw_lb[],COLUMN(U$1)-COLUMN($A$1),FALSE))</f>
        <v>37.591448962881472</v>
      </c>
      <c r="U189" s="70">
        <f>IF(VLOOKUP($A189,raw_lb[],COLUMN(V$1)-COLUMN($A$1),FALSE)=0, VLOOKUP($D189, regions_lb[], COLUMN(V$1)-COLUMN($A$1), FALSE), VLOOKUP($A189,raw_lb[],COLUMN(V$1)-COLUMN($A$1),FALSE))</f>
        <v>37.483344955051017</v>
      </c>
      <c r="V189" s="70">
        <f>IF(VLOOKUP($A189,raw_lb[],COLUMN(W$1)-COLUMN($A$1),FALSE)=0, VLOOKUP($D189, regions_lb[], COLUMN(W$1)-COLUMN($A$1), FALSE), VLOOKUP($A189,raw_lb[],COLUMN(W$1)-COLUMN($A$1),FALSE))</f>
        <v>0.57160168651645338</v>
      </c>
      <c r="W189" s="70">
        <f>IF(VLOOKUP($A189,raw_lb[],COLUMN(X$1)-COLUMN($A$1),FALSE)=0, VLOOKUP($D189, regions_lb[], COLUMN(X$1)-COLUMN($A$1), FALSE), VLOOKUP($A189,raw_lb[],COLUMN(X$1)-COLUMN($A$1),FALSE))</f>
        <v>5.1601016865164535</v>
      </c>
      <c r="X189" s="70">
        <f>IF(VLOOKUP($A189,raw_lb[],COLUMN(Y$1)-COLUMN($A$1),FALSE)=0, VLOOKUP($D189, regions_lb[], COLUMN(Y$1)-COLUMN($A$1), FALSE), VLOOKUP($A189,raw_lb[],COLUMN(Y$1)-COLUMN($A$1),FALSE))</f>
        <v>9.9167671807064095E-2</v>
      </c>
      <c r="Y189" s="70">
        <f>IF(VLOOKUP($A189,raw_lb[],COLUMN(Z$1)-COLUMN($A$1),FALSE)=0, VLOOKUP($D189, regions_lb[], COLUMN(Z$1)-COLUMN($A$1), FALSE), VLOOKUP($A189,raw_lb[],COLUMN(Z$1)-COLUMN($A$1),FALSE))</f>
        <v>4.6876676718070636</v>
      </c>
      <c r="Z189" s="70">
        <f>IF(VLOOKUP($A189,raw_lb[],COLUMN(AA$1)-COLUMN($A$1),FALSE)=0, VLOOKUP($D189, regions_lb[], COLUMN(AA$1)-COLUMN($A$1), FALSE), VLOOKUP($A189,raw_lb[],COLUMN(AA$1)-COLUMN($A$1),FALSE))</f>
        <v>4.6846629043976611</v>
      </c>
      <c r="AA189" s="70">
        <f>IF(VLOOKUP($A189,raw_lb[],COLUMN(AB$1)-COLUMN($A$1),FALSE)=0, VLOOKUP($D189, regions_lb[], COLUMN(AB$1)-COLUMN($A$1), FALSE), VLOOKUP($A189,raw_lb[],COLUMN(AB$1)-COLUMN($A$1),FALSE))</f>
        <v>0.72021910650860077</v>
      </c>
      <c r="AB189" s="70">
        <f>IF(VLOOKUP($A189,raw_lb[],COLUMN(AC$1)-COLUMN($A$1),FALSE)=0, VLOOKUP($D189, regions_lb[], COLUMN(AC$1)-COLUMN($A$1), FALSE), VLOOKUP($A189,raw_lb[],COLUMN(AC$1)-COLUMN($A$1),FALSE))</f>
        <v>5.308719106508601</v>
      </c>
      <c r="AC189" s="72">
        <f>IF(VLOOKUP($A189,raw_lb[],COLUMN(AD$1)-COLUMN($A$1),FALSE)=0, VLOOKUP($D189, regions_lb[], COLUMN(AD$1)-COLUMN($A$1), FALSE), VLOOKUP($A189,raw_lb[],COLUMN(AD$1)-COLUMN($A$1),FALSE))</f>
        <v>4.9077883499999933E-2</v>
      </c>
      <c r="AD189" s="72">
        <f>IF(VLOOKUP($A189,raw_lb[],COLUMN(AE$1)-COLUMN($A$1),FALSE)=0, VLOOKUP($D189, regions_lb[], COLUMN(AE$1)-COLUMN($A$1), FALSE), VLOOKUP($A189,raw_lb[],COLUMN(AE$1)-COLUMN($A$1),FALSE))</f>
        <v>7.2848840077842899E-3</v>
      </c>
      <c r="AE189" s="72">
        <f>IF(VLOOKUP($A189,raw_lb[],COLUMN(AF$1)-COLUMN($A$1),FALSE)=0, VLOOKUP($D189, regions_lb[], COLUMN(AF$1)-COLUMN($A$1), FALSE), VLOOKUP($A189,raw_lb[],COLUMN(AF$1)-COLUMN($A$1),FALSE))</f>
        <v>2.6154610221144551E-3</v>
      </c>
      <c r="AF189" s="72">
        <f>IF(VLOOKUP($A189,raw_lb[],COLUMN(AG$1)-COLUMN($A$1),FALSE)=0, VLOOKUP($D189, regions_lb[], COLUMN(AG$1)-COLUMN($A$1), FALSE), VLOOKUP($A189,raw_lb[],COLUMN(AG$1)-COLUMN($A$1),FALSE))</f>
        <v>1.5409173338267563E-3</v>
      </c>
      <c r="AG189" s="72">
        <f>IF(VLOOKUP($A189,raw_lb[],COLUMN(AH$1)-COLUMN($A$1),FALSE)=0, VLOOKUP($D189, regions_lb[], COLUMN(AH$1)-COLUMN($A$1), FALSE), VLOOKUP($A189,raw_lb[],COLUMN(AH$1)-COLUMN($A$1),FALSE))</f>
        <v>2.3491639442683875E-3</v>
      </c>
      <c r="AH189" s="72">
        <f>IF(VLOOKUP($A189,raw_lb[],COLUMN(AI$1)-COLUMN($A$1),FALSE)=0, VLOOKUP($D189, regions_lb[], COLUMN(AI$1)-COLUMN($A$1), FALSE), VLOOKUP($A189,raw_lb[],COLUMN(AI$1)-COLUMN($A$1),FALSE))</f>
        <v>3.291842805884192E-3</v>
      </c>
      <c r="AI189" s="72">
        <f>IF(VLOOKUP($A189,raw_lb[],COLUMN(AJ$1)-COLUMN($A$1),FALSE)=0, VLOOKUP($D189, regions_lb[], COLUMN(AJ$1)-COLUMN($A$1), FALSE), VLOOKUP($A189,raw_lb[],COLUMN(AJ$1)-COLUMN($A$1),FALSE))</f>
        <v>3.5300912621697238E-3</v>
      </c>
      <c r="AJ189" s="72">
        <f>IF(VLOOKUP($A189,raw_lb[],COLUMN(AK$1)-COLUMN($A$1),FALSE)=0, VLOOKUP($D189, regions_lb[], COLUMN(AK$1)-COLUMN($A$1), FALSE), VLOOKUP($A189,raw_lb[],COLUMN(AK$1)-COLUMN($A$1),FALSE))</f>
        <v>3.8955789440060025E-3</v>
      </c>
      <c r="AK189" s="72">
        <f>IF(VLOOKUP($A189,raw_lb[],COLUMN(AL$1)-COLUMN($A$1),FALSE)=0, VLOOKUP($D189, regions_lb[], COLUMN(AL$1)-COLUMN($A$1), FALSE), VLOOKUP($A189,raw_lb[],COLUMN(AL$1)-COLUMN($A$1),FALSE))</f>
        <v>4.4742357127749944E-3</v>
      </c>
      <c r="AL189" s="72">
        <f>IF(VLOOKUP($A189,raw_lb[],COLUMN(AM$1)-COLUMN($A$1),FALSE)=0, VLOOKUP($D189, regions_lb[], COLUMN(AM$1)-COLUMN($A$1), FALSE), VLOOKUP($A189,raw_lb[],COLUMN(AM$1)-COLUMN($A$1),FALSE))</f>
        <v>5.4451483363109942E-3</v>
      </c>
      <c r="AM189" s="72">
        <f>IF(VLOOKUP($A189,raw_lb[],COLUMN(AN$1)-COLUMN($A$1),FALSE)=0, VLOOKUP($D189, regions_lb[], COLUMN(AN$1)-COLUMN($A$1), FALSE), VLOOKUP($A189,raw_lb[],COLUMN(AN$1)-COLUMN($A$1),FALSE))</f>
        <v>6.7534989390977416E-3</v>
      </c>
      <c r="AN189" s="72">
        <f>IF(VLOOKUP($A189,raw_lb[],COLUMN(AO$1)-COLUMN($A$1),FALSE)=0, VLOOKUP($D189, regions_lb[], COLUMN(AO$1)-COLUMN($A$1), FALSE), VLOOKUP($A189,raw_lb[],COLUMN(AO$1)-COLUMN($A$1),FALSE))</f>
        <v>9.4871039450819157E-3</v>
      </c>
      <c r="AO189" s="72">
        <f>IF(VLOOKUP($A189,raw_lb[],COLUMN(AP$1)-COLUMN($A$1),FALSE)=0, VLOOKUP($D189, regions_lb[], COLUMN(AP$1)-COLUMN($A$1), FALSE), VLOOKUP($A189,raw_lb[],COLUMN(AP$1)-COLUMN($A$1),FALSE))</f>
        <v>1.3530314709319946E-2</v>
      </c>
      <c r="AP189" s="72">
        <f>IF(VLOOKUP($A189,raw_lb[],COLUMN(AQ$1)-COLUMN($A$1),FALSE)=0, VLOOKUP($D189, regions_lb[], COLUMN(AQ$1)-COLUMN($A$1), FALSE), VLOOKUP($A189,raw_lb[],COLUMN(AQ$1)-COLUMN($A$1),FALSE))</f>
        <v>2.1260912018048132E-2</v>
      </c>
      <c r="AQ189" s="72">
        <f>IF(VLOOKUP($A189,raw_lb[],COLUMN(AR$1)-COLUMN($A$1),FALSE)=0, VLOOKUP($D189, regions_lb[], COLUMN(AR$1)-COLUMN($A$1), FALSE), VLOOKUP($A189,raw_lb[],COLUMN(AR$1)-COLUMN($A$1),FALSE))</f>
        <v>3.2945890162495745E-2</v>
      </c>
      <c r="AR189" s="72">
        <f>IF(VLOOKUP($A189,raw_lb[],COLUMN(AS$1)-COLUMN($A$1),FALSE)=0, VLOOKUP($D189, regions_lb[], COLUMN(AS$1)-COLUMN($A$1), FALSE), VLOOKUP($A189,raw_lb[],COLUMN(AS$1)-COLUMN($A$1),FALSE))</f>
        <v>5.2868349259400926E-2</v>
      </c>
      <c r="AS189" s="82">
        <f>IF(VLOOKUP($A189,raw_lb[],COLUMN(AS$1),FALSE)=0, VLOOKUP($D189, regions_lb[], COLUMN(AS$1), FALSE), VLOOKUP($A189,raw_lb[],COLUMN(AS$1),FALSE))</f>
        <v>8.1146062908274016E-2</v>
      </c>
      <c r="AT189" s="82">
        <f>IF(VLOOKUP($A189,raw_lb[],COLUMN(AT$1),FALSE)=0, VLOOKUP($D189, regions_lb[], COLUMN(AT$1), FALSE), VLOOKUP($A189,raw_lb[],COLUMN(AT$1),FALSE))</f>
        <v>0.11566962410009884</v>
      </c>
      <c r="AU189" s="82">
        <f>IF(VLOOKUP($A189,raw_lb[],COLUMN(AU$1),FALSE)=0, VLOOKUP($D189, regions_lb[], COLUMN(AU$1), FALSE), VLOOKUP($A189,raw_lb[],COLUMN(AU$1),FALSE))</f>
        <v>0.14699370298463021</v>
      </c>
      <c r="AV189" s="82">
        <f>IF(VLOOKUP($A189,raw_lb[],COLUMN(AV$1),FALSE)=0, VLOOKUP($D189, regions_lb[], COLUMN(AV$1), FALSE), VLOOKUP($A189,raw_lb[],COLUMN(AV$1),FALSE))</f>
        <v>0.16833654448021768</v>
      </c>
      <c r="AW189" s="82">
        <f>IF(VLOOKUP($A189,raw_lb[],COLUMN(AW$1),FALSE)=0, VLOOKUP($D189, regions_lb[], COLUMN(AW$1), FALSE), VLOOKUP($A189,raw_lb[],COLUMN(AW$1),FALSE))</f>
        <v>0.17861629641021978</v>
      </c>
      <c r="AX189" s="82">
        <f>IF(VLOOKUP($A189,raw_lb[],COLUMN(AX$1),FALSE)=0, VLOOKUP($D189, regions_lb[], COLUMN(AX$1), FALSE), VLOOKUP($A189,raw_lb[],COLUMN(AX$1),FALSE))</f>
        <v>57.991799999999998</v>
      </c>
      <c r="AY189" t="str">
        <f t="shared" si="6"/>
        <v>Yes</v>
      </c>
    </row>
    <row r="190" spans="1:51" x14ac:dyDescent="0.25">
      <c r="A190" s="53" t="s">
        <v>324</v>
      </c>
      <c r="B190" s="54" t="s">
        <v>325</v>
      </c>
      <c r="C190" s="54">
        <v>624</v>
      </c>
      <c r="D190" s="54" t="s">
        <v>207</v>
      </c>
      <c r="E190" s="54" t="s">
        <v>235</v>
      </c>
      <c r="F190" s="54" t="s">
        <v>211</v>
      </c>
      <c r="G190" s="54" t="s">
        <v>198</v>
      </c>
      <c r="H190" s="73"/>
      <c r="I190" s="73"/>
      <c r="J190" s="67">
        <f>IF(VLOOKUP($A190,raw_lb[],COLUMN(J$1),FALSE)=0, VLOOKUP($D190, regions_lb[], COLUMN(J$1), FALSE), VLOOKUP($A190,raw_lb[],COLUMN(J$1),FALSE))</f>
        <v>0.41799999999999998</v>
      </c>
      <c r="K190" s="77">
        <f>VLOOKUP($A190, raw_lb[], 11, FALSE)</f>
        <v>0</v>
      </c>
      <c r="L190" s="77">
        <f>VLOOKUP($A190, raw_lb[], 12, FALSE)</f>
        <v>0.70299999999999996</v>
      </c>
      <c r="M190" s="77">
        <f>IF(VLOOKUP($A190,raw_lb[],COLUMN(M$1),FALSE)=0, VLOOKUP($D190, regions_lb[], COLUMN(M$1), FALSE), VLOOKUP($A190,raw_lb[],COLUMN(M$1),FALSE))</f>
        <v>1.9E-2</v>
      </c>
      <c r="N190" s="68">
        <f>IF(VLOOKUP($A190,raw_lb[],COLUMN(N$1),FALSE)=0, VLOOKUP($D190, regions_lb[], COLUMN(N$1), FALSE), VLOOKUP($A190,raw_lb[],COLUMN(N$1),FALSE))</f>
        <v>0.155</v>
      </c>
      <c r="O190" s="67">
        <f>IF(VLOOKUP($A190,raw_lb[],COLUMN(O$1),FALSE)=0, VLOOKUP($D190, regions_lb[], COLUMN(O$1), FALSE), VLOOKUP($A190,raw_lb[],COLUMN(O$1),FALSE))</f>
        <v>7.0000000000000007E-2</v>
      </c>
      <c r="P190" s="68">
        <f>IF(VLOOKUP($A190,raw_lb[],COLUMN(P$1),FALSE)=0, VLOOKUP($D190, regions_lb[], COLUMN(P$1), FALSE), VLOOKUP($A190,raw_lb[],COLUMN(P$1),FALSE))</f>
        <v>1E-3</v>
      </c>
      <c r="Q190" s="70">
        <f>IF(VLOOKUP($A190,raw_lb[],COLUMN(Q$1),FALSE)=0, VLOOKUP($D190, regions_lb[], COLUMN(Q$1), FALSE), VLOOKUP($A190,raw_lb[],COLUMN(Q$1),FALSE))</f>
        <v>0.9410219132628217</v>
      </c>
      <c r="R190" s="70">
        <f>IF(VLOOKUP($A190,raw_lb[],COLUMN(R$1),FALSE)=0, VLOOKUP($D190, regions_lb[], COLUMN(R$1), FALSE), VLOOKUP($A190,raw_lb[],COLUMN(R$1),FALSE))</f>
        <v>8.0019219132628212</v>
      </c>
      <c r="S190" s="70">
        <f>IF(VLOOKUP($A190,raw_lb[],COLUMN(S$1),FALSE)=0, VLOOKUP($D190, regions_lb[], COLUMN(S$1), FALSE), VLOOKUP($A190,raw_lb[],COLUMN(S$1),FALSE))</f>
        <v>39.586728264144917</v>
      </c>
      <c r="T190" s="70">
        <f>IF(VLOOKUP($A190,raw_lb[],COLUMN(U$1)-COLUMN($A$1),FALSE)=0, VLOOKUP($D190, regions_lb[], COLUMN(U$1)-COLUMN($A$1), FALSE), VLOOKUP($A190,raw_lb[],COLUMN(U$1)-COLUMN($A$1),FALSE))</f>
        <v>40.817527317083545</v>
      </c>
      <c r="U190" s="70">
        <f>IF(VLOOKUP($A190,raw_lb[],COLUMN(V$1)-COLUMN($A$1),FALSE)=0, VLOOKUP($D190, regions_lb[], COLUMN(V$1)-COLUMN($A$1), FALSE), VLOOKUP($A190,raw_lb[],COLUMN(V$1)-COLUMN($A$1),FALSE))</f>
        <v>40.252370407751819</v>
      </c>
      <c r="V190" s="70">
        <f>IF(VLOOKUP($A190,raw_lb[],COLUMN(W$1)-COLUMN($A$1),FALSE)=0, VLOOKUP($D190, regions_lb[], COLUMN(W$1)-COLUMN($A$1), FALSE), VLOOKUP($A190,raw_lb[],COLUMN(W$1)-COLUMN($A$1),FALSE))</f>
        <v>1.7212869819294028</v>
      </c>
      <c r="W190" s="70">
        <f>IF(VLOOKUP($A190,raw_lb[],COLUMN(X$1)-COLUMN($A$1),FALSE)=0, VLOOKUP($D190, regions_lb[], COLUMN(X$1)-COLUMN($A$1), FALSE), VLOOKUP($A190,raw_lb[],COLUMN(X$1)-COLUMN($A$1),FALSE))</f>
        <v>6.3097869819294026</v>
      </c>
      <c r="X190" s="70">
        <f>IF(VLOOKUP($A190,raw_lb[],COLUMN(Y$1)-COLUMN($A$1),FALSE)=0, VLOOKUP($D190, regions_lb[], COLUMN(Y$1)-COLUMN($A$1), FALSE), VLOOKUP($A190,raw_lb[],COLUMN(Y$1)-COLUMN($A$1),FALSE))</f>
        <v>1.2507416102852695</v>
      </c>
      <c r="Y190" s="70">
        <f>IF(VLOOKUP($A190,raw_lb[],COLUMN(Z$1)-COLUMN($A$1),FALSE)=0, VLOOKUP($D190, regions_lb[], COLUMN(Z$1)-COLUMN($A$1), FALSE), VLOOKUP($A190,raw_lb[],COLUMN(Z$1)-COLUMN($A$1),FALSE))</f>
        <v>5.8392416102852689</v>
      </c>
      <c r="Z190" s="70">
        <f>IF(VLOOKUP($A190,raw_lb[],COLUMN(AA$1)-COLUMN($A$1),FALSE)=0, VLOOKUP($D190, regions_lb[], COLUMN(AA$1)-COLUMN($A$1), FALSE), VLOOKUP($A190,raw_lb[],COLUMN(AA$1)-COLUMN($A$1),FALSE))</f>
        <v>5.8376030251816067</v>
      </c>
      <c r="AA190" s="70">
        <f>IF(VLOOKUP($A190,raw_lb[],COLUMN(AB$1)-COLUMN($A$1),FALSE)=0, VLOOKUP($D190, regions_lb[], COLUMN(AB$1)-COLUMN($A$1), FALSE), VLOOKUP($A190,raw_lb[],COLUMN(AB$1)-COLUMN($A$1),FALSE))</f>
        <v>1.8640765890344735</v>
      </c>
      <c r="AB190" s="70">
        <f>IF(VLOOKUP($A190,raw_lb[],COLUMN(AC$1)-COLUMN($A$1),FALSE)=0, VLOOKUP($D190, regions_lb[], COLUMN(AC$1)-COLUMN($A$1), FALSE), VLOOKUP($A190,raw_lb[],COLUMN(AC$1)-COLUMN($A$1),FALSE))</f>
        <v>6.4525765890344733</v>
      </c>
      <c r="AC190" s="72">
        <f>IF(VLOOKUP($A190,raw_lb[],COLUMN(AD$1)-COLUMN($A$1),FALSE)=0, VLOOKUP($D190, regions_lb[], COLUMN(AD$1)-COLUMN($A$1), FALSE), VLOOKUP($A190,raw_lb[],COLUMN(AD$1)-COLUMN($A$1),FALSE))</f>
        <v>5.4280187999999979E-2</v>
      </c>
      <c r="AD190" s="72">
        <f>IF(VLOOKUP($A190,raw_lb[],COLUMN(AE$1)-COLUMN($A$1),FALSE)=0, VLOOKUP($D190, regions_lb[], COLUMN(AE$1)-COLUMN($A$1), FALSE), VLOOKUP($A190,raw_lb[],COLUMN(AE$1)-COLUMN($A$1),FALSE))</f>
        <v>6.3784592832027255E-3</v>
      </c>
      <c r="AE190" s="72">
        <f>IF(VLOOKUP($A190,raw_lb[],COLUMN(AF$1)-COLUMN($A$1),FALSE)=0, VLOOKUP($D190, regions_lb[], COLUMN(AF$1)-COLUMN($A$1), FALSE), VLOOKUP($A190,raw_lb[],COLUMN(AF$1)-COLUMN($A$1),FALSE))</f>
        <v>2.5100441310075871E-3</v>
      </c>
      <c r="AF190" s="72">
        <f>IF(VLOOKUP($A190,raw_lb[],COLUMN(AG$1)-COLUMN($A$1),FALSE)=0, VLOOKUP($D190, regions_lb[], COLUMN(AG$1)-COLUMN($A$1), FALSE), VLOOKUP($A190,raw_lb[],COLUMN(AG$1)-COLUMN($A$1),FALSE))</f>
        <v>1.7653610223655695E-3</v>
      </c>
      <c r="AG190" s="72">
        <f>IF(VLOOKUP($A190,raw_lb[],COLUMN(AH$1)-COLUMN($A$1),FALSE)=0, VLOOKUP($D190, regions_lb[], COLUMN(AH$1)-COLUMN($A$1), FALSE), VLOOKUP($A190,raw_lb[],COLUMN(AH$1)-COLUMN($A$1),FALSE))</f>
        <v>2.6205185958456468E-3</v>
      </c>
      <c r="AH190" s="72">
        <f>IF(VLOOKUP($A190,raw_lb[],COLUMN(AI$1)-COLUMN($A$1),FALSE)=0, VLOOKUP($D190, regions_lb[], COLUMN(AI$1)-COLUMN($A$1), FALSE), VLOOKUP($A190,raw_lb[],COLUMN(AI$1)-COLUMN($A$1),FALSE))</f>
        <v>3.8639883269384065E-3</v>
      </c>
      <c r="AI190" s="72">
        <f>IF(VLOOKUP($A190,raw_lb[],COLUMN(AJ$1)-COLUMN($A$1),FALSE)=0, VLOOKUP($D190, regions_lb[], COLUMN(AJ$1)-COLUMN($A$1), FALSE), VLOOKUP($A190,raw_lb[],COLUMN(AJ$1)-COLUMN($A$1),FALSE))</f>
        <v>4.8825981662353277E-3</v>
      </c>
      <c r="AJ190" s="72">
        <f>IF(VLOOKUP($A190,raw_lb[],COLUMN(AK$1)-COLUMN($A$1),FALSE)=0, VLOOKUP($D190, regions_lb[], COLUMN(AK$1)-COLUMN($A$1), FALSE), VLOOKUP($A190,raw_lb[],COLUMN(AK$1)-COLUMN($A$1),FALSE))</f>
        <v>5.9657099155428573E-3</v>
      </c>
      <c r="AK190" s="72">
        <f>IF(VLOOKUP($A190,raw_lb[],COLUMN(AL$1)-COLUMN($A$1),FALSE)=0, VLOOKUP($D190, regions_lb[], COLUMN(AL$1)-COLUMN($A$1), FALSE), VLOOKUP($A190,raw_lb[],COLUMN(AL$1)-COLUMN($A$1),FALSE))</f>
        <v>7.4527575879289789E-3</v>
      </c>
      <c r="AL190" s="72">
        <f>IF(VLOOKUP($A190,raw_lb[],COLUMN(AM$1)-COLUMN($A$1),FALSE)=0, VLOOKUP($D190, regions_lb[], COLUMN(AM$1)-COLUMN($A$1), FALSE), VLOOKUP($A190,raw_lb[],COLUMN(AM$1)-COLUMN($A$1),FALSE))</f>
        <v>9.0333540197626433E-3</v>
      </c>
      <c r="AM190" s="72">
        <f>IF(VLOOKUP($A190,raw_lb[],COLUMN(AN$1)-COLUMN($A$1),FALSE)=0, VLOOKUP($D190, regions_lb[], COLUMN(AN$1)-COLUMN($A$1), FALSE), VLOOKUP($A190,raw_lb[],COLUMN(AN$1)-COLUMN($A$1),FALSE))</f>
        <v>1.083185133686196E-2</v>
      </c>
      <c r="AN190" s="72">
        <f>IF(VLOOKUP($A190,raw_lb[],COLUMN(AO$1)-COLUMN($A$1),FALSE)=0, VLOOKUP($D190, regions_lb[], COLUMN(AO$1)-COLUMN($A$1), FALSE), VLOOKUP($A190,raw_lb[],COLUMN(AO$1)-COLUMN($A$1),FALSE))</f>
        <v>1.41014984561626E-2</v>
      </c>
      <c r="AO190" s="72">
        <f>IF(VLOOKUP($A190,raw_lb[],COLUMN(AP$1)-COLUMN($A$1),FALSE)=0, VLOOKUP($D190, regions_lb[], COLUMN(AP$1)-COLUMN($A$1), FALSE), VLOOKUP($A190,raw_lb[],COLUMN(AP$1)-COLUMN($A$1),FALSE))</f>
        <v>1.7932651662926315E-2</v>
      </c>
      <c r="AP190" s="72">
        <f>IF(VLOOKUP($A190,raw_lb[],COLUMN(AQ$1)-COLUMN($A$1),FALSE)=0, VLOOKUP($D190, regions_lb[], COLUMN(AQ$1)-COLUMN($A$1), FALSE), VLOOKUP($A190,raw_lb[],COLUMN(AQ$1)-COLUMN($A$1),FALSE))</f>
        <v>2.5244433152075946E-2</v>
      </c>
      <c r="AQ190" s="72">
        <f>IF(VLOOKUP($A190,raw_lb[],COLUMN(AR$1)-COLUMN($A$1),FALSE)=0, VLOOKUP($D190, regions_lb[], COLUMN(AR$1)-COLUMN($A$1), FALSE), VLOOKUP($A190,raw_lb[],COLUMN(AR$1)-COLUMN($A$1),FALSE))</f>
        <v>3.6891059563204813E-2</v>
      </c>
      <c r="AR190" s="72">
        <f>IF(VLOOKUP($A190,raw_lb[],COLUMN(AS$1)-COLUMN($A$1),FALSE)=0, VLOOKUP($D190, regions_lb[], COLUMN(AS$1)-COLUMN($A$1), FALSE), VLOOKUP($A190,raw_lb[],COLUMN(AS$1)-COLUMN($A$1),FALSE))</f>
        <v>5.4910446938156561E-2</v>
      </c>
      <c r="AS190" s="82">
        <f>IF(VLOOKUP($A190,raw_lb[],COLUMN(AS$1),FALSE)=0, VLOOKUP($D190, regions_lb[], COLUMN(AS$1), FALSE), VLOOKUP($A190,raw_lb[],COLUMN(AS$1),FALSE))</f>
        <v>8.0257890686713601E-2</v>
      </c>
      <c r="AT190" s="82">
        <f>IF(VLOOKUP($A190,raw_lb[],COLUMN(AT$1),FALSE)=0, VLOOKUP($D190, regions_lb[], COLUMN(AT$1), FALSE), VLOOKUP($A190,raw_lb[],COLUMN(AT$1),FALSE))</f>
        <v>0.11472913908092124</v>
      </c>
      <c r="AU190" s="82">
        <f>IF(VLOOKUP($A190,raw_lb[],COLUMN(AU$1),FALSE)=0, VLOOKUP($D190, regions_lb[], COLUMN(AU$1), FALSE), VLOOKUP($A190,raw_lb[],COLUMN(AU$1),FALSE))</f>
        <v>0.15050121704684408</v>
      </c>
      <c r="AV190" s="82">
        <f>IF(VLOOKUP($A190,raw_lb[],COLUMN(AV$1),FALSE)=0, VLOOKUP($D190, regions_lb[], COLUMN(AV$1), FALSE), VLOOKUP($A190,raw_lb[],COLUMN(AV$1),FALSE))</f>
        <v>0.17507744438665621</v>
      </c>
      <c r="AW190" s="82">
        <f>IF(VLOOKUP($A190,raw_lb[],COLUMN(AW$1),FALSE)=0, VLOOKUP($D190, regions_lb[], COLUMN(AW$1), FALSE), VLOOKUP($A190,raw_lb[],COLUMN(AW$1),FALSE))</f>
        <v>0.18034935240873903</v>
      </c>
      <c r="AX190" s="82">
        <f>IF(VLOOKUP($A190,raw_lb[],COLUMN(AX$1),FALSE)=0, VLOOKUP($D190, regions_lb[], COLUMN(AX$1), FALSE), VLOOKUP($A190,raw_lb[],COLUMN(AX$1),FALSE))</f>
        <v>54.928049999999999</v>
      </c>
      <c r="AY190" t="str">
        <f t="shared" si="6"/>
        <v>Yes</v>
      </c>
    </row>
    <row r="191" spans="1:51" x14ac:dyDescent="0.25">
      <c r="A191" s="55" t="s">
        <v>326</v>
      </c>
      <c r="B191" s="56" t="s">
        <v>327</v>
      </c>
      <c r="C191" s="56">
        <v>328</v>
      </c>
      <c r="D191" s="56" t="s">
        <v>215</v>
      </c>
      <c r="E191" s="56" t="s">
        <v>232</v>
      </c>
      <c r="F191" s="56" t="s">
        <v>217</v>
      </c>
      <c r="G191" s="56" t="s">
        <v>204</v>
      </c>
      <c r="H191" s="74"/>
      <c r="I191" s="74"/>
      <c r="J191" s="67">
        <f>IF(VLOOKUP($A191,raw_lb[],COLUMN(J$1),FALSE)=0, VLOOKUP($D191, regions_lb[], COLUMN(J$1), FALSE), VLOOKUP($A191,raw_lb[],COLUMN(J$1),FALSE))</f>
        <v>0.88065000000000004</v>
      </c>
      <c r="K191" s="77">
        <f>VLOOKUP($A191, raw_lb[], 11, FALSE)</f>
        <v>0.66499999999999992</v>
      </c>
      <c r="L191" s="77">
        <f>VLOOKUP($A191, raw_lb[], 12, FALSE)</f>
        <v>0.9405</v>
      </c>
      <c r="M191" s="77">
        <f>IF(VLOOKUP($A191,raw_lb[],COLUMN(M$1),FALSE)=0, VLOOKUP($D191, regions_lb[], COLUMN(M$1), FALSE), VLOOKUP($A191,raw_lb[],COLUMN(M$1),FALSE))</f>
        <v>4.0000000000000001E-3</v>
      </c>
      <c r="N191" s="68">
        <f>IF(VLOOKUP($A191,raw_lb[],COLUMN(N$1),FALSE)=0, VLOOKUP($D191, regions_lb[], COLUMN(N$1), FALSE), VLOOKUP($A191,raw_lb[],COLUMN(N$1),FALSE))</f>
        <v>0.16309999999999999</v>
      </c>
      <c r="O191" s="67">
        <f>IF(VLOOKUP($A191,raw_lb[],COLUMN(O$1),FALSE)=0, VLOOKUP($D191, regions_lb[], COLUMN(O$1), FALSE), VLOOKUP($A191,raw_lb[],COLUMN(O$1),FALSE))</f>
        <v>0.7</v>
      </c>
      <c r="P191" s="68">
        <f>IF(VLOOKUP($A191,raw_lb[],COLUMN(P$1),FALSE)=0, VLOOKUP($D191, regions_lb[], COLUMN(P$1), FALSE), VLOOKUP($A191,raw_lb[],COLUMN(P$1),FALSE))</f>
        <v>0.05</v>
      </c>
      <c r="Q191" s="70">
        <f>IF(VLOOKUP($A191,raw_lb[],COLUMN(Q$1),FALSE)=0, VLOOKUP($D191, regions_lb[], COLUMN(Q$1), FALSE), VLOOKUP($A191,raw_lb[],COLUMN(Q$1),FALSE))</f>
        <v>1.411996551724138</v>
      </c>
      <c r="R191" s="70">
        <f>IF(VLOOKUP($A191,raw_lb[],COLUMN(R$1),FALSE)=0, VLOOKUP($D191, regions_lb[], COLUMN(R$1), FALSE), VLOOKUP($A191,raw_lb[],COLUMN(R$1),FALSE))</f>
        <v>8.4728965517241388</v>
      </c>
      <c r="S191" s="70">
        <f>IF(VLOOKUP($A191,raw_lb[],COLUMN(S$1),FALSE)=0, VLOOKUP($D191, regions_lb[], COLUMN(S$1), FALSE), VLOOKUP($A191,raw_lb[],COLUMN(S$1),FALSE))</f>
        <v>42.349042810308951</v>
      </c>
      <c r="T191" s="70">
        <f>IF(VLOOKUP($A191,raw_lb[],COLUMN(U$1)-COLUMN($A$1),FALSE)=0, VLOOKUP($D191, regions_lb[], COLUMN(U$1)-COLUMN($A$1), FALSE), VLOOKUP($A191,raw_lb[],COLUMN(U$1)-COLUMN($A$1),FALSE))</f>
        <v>44.772404200247827</v>
      </c>
      <c r="U191" s="70">
        <f>IF(VLOOKUP($A191,raw_lb[],COLUMN(V$1)-COLUMN($A$1),FALSE)=0, VLOOKUP($D191, regions_lb[], COLUMN(V$1)-COLUMN($A$1), FALSE), VLOOKUP($A191,raw_lb[],COLUMN(V$1)-COLUMN($A$1),FALSE))</f>
        <v>43.659647873322072</v>
      </c>
      <c r="V191" s="70">
        <f>IF(VLOOKUP($A191,raw_lb[],COLUMN(W$1)-COLUMN($A$1),FALSE)=0, VLOOKUP($D191, regions_lb[], COLUMN(W$1)-COLUMN($A$1), FALSE), VLOOKUP($A191,raw_lb[],COLUMN(W$1)-COLUMN($A$1),FALSE))</f>
        <v>3.8497602549306582</v>
      </c>
      <c r="W191" s="70">
        <f>IF(VLOOKUP($A191,raw_lb[],COLUMN(X$1)-COLUMN($A$1),FALSE)=0, VLOOKUP($D191, regions_lb[], COLUMN(X$1)-COLUMN($A$1), FALSE), VLOOKUP($A191,raw_lb[],COLUMN(X$1)-COLUMN($A$1),FALSE))</f>
        <v>3.8687602549306583</v>
      </c>
      <c r="X191" s="70">
        <f>IF(VLOOKUP($A191,raw_lb[],COLUMN(Y$1)-COLUMN($A$1),FALSE)=0, VLOOKUP($D191, regions_lb[], COLUMN(Y$1)-COLUMN($A$1), FALSE), VLOOKUP($A191,raw_lb[],COLUMN(Y$1)-COLUMN($A$1),FALSE))</f>
        <v>3.3727323591095373</v>
      </c>
      <c r="Y191" s="70">
        <f>IF(VLOOKUP($A191,raw_lb[],COLUMN(Z$1)-COLUMN($A$1),FALSE)=0, VLOOKUP($D191, regions_lb[], COLUMN(Z$1)-COLUMN($A$1), FALSE), VLOOKUP($A191,raw_lb[],COLUMN(Z$1)-COLUMN($A$1),FALSE))</f>
        <v>3.3917323591095374</v>
      </c>
      <c r="Z191" s="70">
        <f>IF(VLOOKUP($A191,raw_lb[],COLUMN(AA$1)-COLUMN($A$1),FALSE)=0, VLOOKUP($D191, regions_lb[], COLUMN(AA$1)-COLUMN($A$1), FALSE), VLOOKUP($A191,raw_lb[],COLUMN(AA$1)-COLUMN($A$1),FALSE))</f>
        <v>3.3857334081653785</v>
      </c>
      <c r="AA191" s="70">
        <f>IF(VLOOKUP($A191,raw_lb[],COLUMN(AB$1)-COLUMN($A$1),FALSE)=0, VLOOKUP($D191, regions_lb[], COLUMN(AB$1)-COLUMN($A$1), FALSE), VLOOKUP($A191,raw_lb[],COLUMN(AB$1)-COLUMN($A$1),FALSE))</f>
        <v>4.0125530794961488</v>
      </c>
      <c r="AB191" s="70">
        <f>IF(VLOOKUP($A191,raw_lb[],COLUMN(AC$1)-COLUMN($A$1),FALSE)=0, VLOOKUP($D191, regions_lb[], COLUMN(AC$1)-COLUMN($A$1), FALSE), VLOOKUP($A191,raw_lb[],COLUMN(AC$1)-COLUMN($A$1),FALSE))</f>
        <v>4.0315530794961489</v>
      </c>
      <c r="AC191" s="72">
        <f>IF(VLOOKUP($A191,raw_lb[],COLUMN(AD$1)-COLUMN($A$1),FALSE)=0, VLOOKUP($D191, regions_lb[], COLUMN(AD$1)-COLUMN($A$1), FALSE), VLOOKUP($A191,raw_lb[],COLUMN(AD$1)-COLUMN($A$1),FALSE))</f>
        <v>2.5432554500000041E-2</v>
      </c>
      <c r="AD191" s="72">
        <f>IF(VLOOKUP($A191,raw_lb[],COLUMN(AE$1)-COLUMN($A$1),FALSE)=0, VLOOKUP($D191, regions_lb[], COLUMN(AE$1)-COLUMN($A$1), FALSE), VLOOKUP($A191,raw_lb[],COLUMN(AE$1)-COLUMN($A$1),FALSE))</f>
        <v>1.3488779602504196E-3</v>
      </c>
      <c r="AE191" s="72">
        <f>IF(VLOOKUP($A191,raw_lb[],COLUMN(AF$1)-COLUMN($A$1),FALSE)=0, VLOOKUP($D191, regions_lb[], COLUMN(AF$1)-COLUMN($A$1), FALSE), VLOOKUP($A191,raw_lb[],COLUMN(AF$1)-COLUMN($A$1),FALSE))</f>
        <v>8.9838431057430999E-4</v>
      </c>
      <c r="AF191" s="72">
        <f>IF(VLOOKUP($A191,raw_lb[],COLUMN(AG$1)-COLUMN($A$1),FALSE)=0, VLOOKUP($D191, regions_lb[], COLUMN(AG$1)-COLUMN($A$1), FALSE), VLOOKUP($A191,raw_lb[],COLUMN(AG$1)-COLUMN($A$1),FALSE))</f>
        <v>7.3346792080115344E-4</v>
      </c>
      <c r="AG191" s="72">
        <f>IF(VLOOKUP($A191,raw_lb[],COLUMN(AH$1)-COLUMN($A$1),FALSE)=0, VLOOKUP($D191, regions_lb[], COLUMN(AH$1)-COLUMN($A$1), FALSE), VLOOKUP($A191,raw_lb[],COLUMN(AH$1)-COLUMN($A$1),FALSE))</f>
        <v>1.6392921416879963E-3</v>
      </c>
      <c r="AH191" s="72">
        <f>IF(VLOOKUP($A191,raw_lb[],COLUMN(AI$1)-COLUMN($A$1),FALSE)=0, VLOOKUP($D191, regions_lb[], COLUMN(AI$1)-COLUMN($A$1), FALSE), VLOOKUP($A191,raw_lb[],COLUMN(AI$1)-COLUMN($A$1),FALSE))</f>
        <v>2.6731378382595546E-3</v>
      </c>
      <c r="AI191" s="72">
        <f>IF(VLOOKUP($A191,raw_lb[],COLUMN(AJ$1)-COLUMN($A$1),FALSE)=0, VLOOKUP($D191, regions_lb[], COLUMN(AJ$1)-COLUMN($A$1), FALSE), VLOOKUP($A191,raw_lb[],COLUMN(AJ$1)-COLUMN($A$1),FALSE))</f>
        <v>3.3401634510571271E-3</v>
      </c>
      <c r="AJ191" s="72">
        <f>IF(VLOOKUP($A191,raw_lb[],COLUMN(AK$1)-COLUMN($A$1),FALSE)=0, VLOOKUP($D191, regions_lb[], COLUMN(AK$1)-COLUMN($A$1), FALSE), VLOOKUP($A191,raw_lb[],COLUMN(AK$1)-COLUMN($A$1),FALSE))</f>
        <v>3.587777785448405E-3</v>
      </c>
      <c r="AK191" s="72">
        <f>IF(VLOOKUP($A191,raw_lb[],COLUMN(AL$1)-COLUMN($A$1),FALSE)=0, VLOOKUP($D191, regions_lb[], COLUMN(AL$1)-COLUMN($A$1), FALSE), VLOOKUP($A191,raw_lb[],COLUMN(AL$1)-COLUMN($A$1),FALSE))</f>
        <v>4.1709101841110744E-3</v>
      </c>
      <c r="AL191" s="72">
        <f>IF(VLOOKUP($A191,raw_lb[],COLUMN(AM$1)-COLUMN($A$1),FALSE)=0, VLOOKUP($D191, regions_lb[], COLUMN(AM$1)-COLUMN($A$1), FALSE), VLOOKUP($A191,raw_lb[],COLUMN(AM$1)-COLUMN($A$1),FALSE))</f>
        <v>4.7600355410731179E-3</v>
      </c>
      <c r="AM191" s="72">
        <f>IF(VLOOKUP($A191,raw_lb[],COLUMN(AN$1)-COLUMN($A$1),FALSE)=0, VLOOKUP($D191, regions_lb[], COLUMN(AN$1)-COLUMN($A$1), FALSE), VLOOKUP($A191,raw_lb[],COLUMN(AN$1)-COLUMN($A$1),FALSE))</f>
        <v>5.6855445486840286E-3</v>
      </c>
      <c r="AN191" s="72">
        <f>IF(VLOOKUP($A191,raw_lb[],COLUMN(AO$1)-COLUMN($A$1),FALSE)=0, VLOOKUP($D191, regions_lb[], COLUMN(AO$1)-COLUMN($A$1), FALSE), VLOOKUP($A191,raw_lb[],COLUMN(AO$1)-COLUMN($A$1),FALSE))</f>
        <v>1.0408046411438027E-2</v>
      </c>
      <c r="AO191" s="72">
        <f>IF(VLOOKUP($A191,raw_lb[],COLUMN(AP$1)-COLUMN($A$1),FALSE)=0, VLOOKUP($D191, regions_lb[], COLUMN(AP$1)-COLUMN($A$1), FALSE), VLOOKUP($A191,raw_lb[],COLUMN(AP$1)-COLUMN($A$1),FALSE))</f>
        <v>1.1912816261913439E-2</v>
      </c>
      <c r="AP191" s="72">
        <f>IF(VLOOKUP($A191,raw_lb[],COLUMN(AQ$1)-COLUMN($A$1),FALSE)=0, VLOOKUP($D191, regions_lb[], COLUMN(AQ$1)-COLUMN($A$1), FALSE), VLOOKUP($A191,raw_lb[],COLUMN(AQ$1)-COLUMN($A$1),FALSE))</f>
        <v>1.6518627991128972E-2</v>
      </c>
      <c r="AQ191" s="72">
        <f>IF(VLOOKUP($A191,raw_lb[],COLUMN(AR$1)-COLUMN($A$1),FALSE)=0, VLOOKUP($D191, regions_lb[], COLUMN(AR$1)-COLUMN($A$1), FALSE), VLOOKUP($A191,raw_lb[],COLUMN(AR$1)-COLUMN($A$1),FALSE))</f>
        <v>2.1811842252690485E-2</v>
      </c>
      <c r="AR191" s="72">
        <f>IF(VLOOKUP($A191,raw_lb[],COLUMN(AS$1)-COLUMN($A$1),FALSE)=0, VLOOKUP($D191, regions_lb[], COLUMN(AS$1)-COLUMN($A$1), FALSE), VLOOKUP($A191,raw_lb[],COLUMN(AS$1)-COLUMN($A$1),FALSE))</f>
        <v>2.9339403379639962E-2</v>
      </c>
      <c r="AS191" s="82">
        <f>IF(VLOOKUP($A191,raw_lb[],COLUMN(AS$1),FALSE)=0, VLOOKUP($D191, regions_lb[], COLUMN(AS$1), FALSE), VLOOKUP($A191,raw_lb[],COLUMN(AS$1),FALSE))</f>
        <v>4.437799726488096E-2</v>
      </c>
      <c r="AT191" s="82">
        <f>IF(VLOOKUP($A191,raw_lb[],COLUMN(AT$1),FALSE)=0, VLOOKUP($D191, regions_lb[], COLUMN(AT$1), FALSE), VLOOKUP($A191,raw_lb[],COLUMN(AT$1),FALSE))</f>
        <v>5.676019434638583E-2</v>
      </c>
      <c r="AU191" s="82">
        <f>IF(VLOOKUP($A191,raw_lb[],COLUMN(AU$1),FALSE)=0, VLOOKUP($D191, regions_lb[], COLUMN(AU$1), FALSE), VLOOKUP($A191,raw_lb[],COLUMN(AU$1),FALSE))</f>
        <v>7.4769691525443174E-2</v>
      </c>
      <c r="AV191" s="82">
        <f>IF(VLOOKUP($A191,raw_lb[],COLUMN(AV$1),FALSE)=0, VLOOKUP($D191, regions_lb[], COLUMN(AV$1), FALSE), VLOOKUP($A191,raw_lb[],COLUMN(AV$1),FALSE))</f>
        <v>9.417813447461669E-2</v>
      </c>
      <c r="AW191" s="82">
        <f>IF(VLOOKUP($A191,raw_lb[],COLUMN(AW$1),FALSE)=0, VLOOKUP($D191, regions_lb[], COLUMN(AW$1), FALSE), VLOOKUP($A191,raw_lb[],COLUMN(AW$1),FALSE))</f>
        <v>0.11376314473843613</v>
      </c>
      <c r="AX191" s="82">
        <f>IF(VLOOKUP($A191,raw_lb[],COLUMN(AX$1),FALSE)=0, VLOOKUP($D191, regions_lb[], COLUMN(AX$1), FALSE), VLOOKUP($A191,raw_lb[],COLUMN(AX$1),FALSE))</f>
        <v>66.227349999999987</v>
      </c>
      <c r="AY191" t="str">
        <f t="shared" si="6"/>
        <v>No</v>
      </c>
    </row>
    <row r="192" spans="1:51" x14ac:dyDescent="0.25">
      <c r="A192" s="53" t="s">
        <v>328</v>
      </c>
      <c r="B192" s="54" t="s">
        <v>329</v>
      </c>
      <c r="C192" s="54">
        <v>332</v>
      </c>
      <c r="D192" s="54" t="s">
        <v>215</v>
      </c>
      <c r="E192" s="54" t="s">
        <v>232</v>
      </c>
      <c r="F192" s="54" t="s">
        <v>217</v>
      </c>
      <c r="G192" s="54" t="s">
        <v>198</v>
      </c>
      <c r="H192" s="73"/>
      <c r="I192" s="73"/>
      <c r="J192" s="67">
        <f>IF(VLOOKUP($A192,raw_lb[],COLUMN(J$1),FALSE)=0, VLOOKUP($D192, regions_lb[], COLUMN(J$1), FALSE), VLOOKUP($A192,raw_lb[],COLUMN(J$1),FALSE))</f>
        <v>0.37429999999999997</v>
      </c>
      <c r="K192" s="77">
        <f>VLOOKUP($A192, raw_lb[], 11, FALSE)</f>
        <v>0</v>
      </c>
      <c r="L192" s="77">
        <f>VLOOKUP($A192, raw_lb[], 12, FALSE)</f>
        <v>0.48449999999999999</v>
      </c>
      <c r="M192" s="77">
        <f>IF(VLOOKUP($A192,raw_lb[],COLUMN(M$1),FALSE)=0, VLOOKUP($D192, regions_lb[], COLUMN(M$1), FALSE), VLOOKUP($A192,raw_lb[],COLUMN(M$1),FALSE))</f>
        <v>2.4300000000000002E-2</v>
      </c>
      <c r="N192" s="68">
        <f>IF(VLOOKUP($A192,raw_lb[],COLUMN(N$1),FALSE)=0, VLOOKUP($D192, regions_lb[], COLUMN(N$1), FALSE), VLOOKUP($A192,raw_lb[],COLUMN(N$1),FALSE))</f>
        <v>0.16309999999999999</v>
      </c>
      <c r="O192" s="67">
        <f>IF(VLOOKUP($A192,raw_lb[],COLUMN(O$1),FALSE)=0, VLOOKUP($D192, regions_lb[], COLUMN(O$1), FALSE), VLOOKUP($A192,raw_lb[],COLUMN(O$1),FALSE))</f>
        <v>0.7</v>
      </c>
      <c r="P192" s="68">
        <f>IF(VLOOKUP($A192,raw_lb[],COLUMN(P$1),FALSE)=0, VLOOKUP($D192, regions_lb[], COLUMN(P$1), FALSE), VLOOKUP($A192,raw_lb[],COLUMN(P$1),FALSE))</f>
        <v>0.05</v>
      </c>
      <c r="Q192" s="70">
        <f>IF(VLOOKUP($A192,raw_lb[],COLUMN(Q$1),FALSE)=0, VLOOKUP($D192, regions_lb[], COLUMN(Q$1), FALSE), VLOOKUP($A192,raw_lb[],COLUMN(Q$1),FALSE))</f>
        <v>0.73211576576576598</v>
      </c>
      <c r="R192" s="70">
        <f>IF(VLOOKUP($A192,raw_lb[],COLUMN(R$1),FALSE)=0, VLOOKUP($D192, regions_lb[], COLUMN(R$1), FALSE), VLOOKUP($A192,raw_lb[],COLUMN(R$1),FALSE))</f>
        <v>7.7930157657657659</v>
      </c>
      <c r="S192" s="70">
        <f>IF(VLOOKUP($A192,raw_lb[],COLUMN(S$1),FALSE)=0, VLOOKUP($D192, regions_lb[], COLUMN(S$1), FALSE), VLOOKUP($A192,raw_lb[],COLUMN(S$1),FALSE))</f>
        <v>37.881508999631137</v>
      </c>
      <c r="T192" s="70">
        <f>IF(VLOOKUP($A192,raw_lb[],COLUMN(U$1)-COLUMN($A$1),FALSE)=0, VLOOKUP($D192, regions_lb[], COLUMN(U$1)-COLUMN($A$1), FALSE), VLOOKUP($A192,raw_lb[],COLUMN(U$1)-COLUMN($A$1),FALSE))</f>
        <v>38.333529373022969</v>
      </c>
      <c r="U192" s="70">
        <f>IF(VLOOKUP($A192,raw_lb[],COLUMN(V$1)-COLUMN($A$1),FALSE)=0, VLOOKUP($D192, regions_lb[], COLUMN(V$1)-COLUMN($A$1), FALSE), VLOOKUP($A192,raw_lb[],COLUMN(V$1)-COLUMN($A$1),FALSE))</f>
        <v>38.125971172054939</v>
      </c>
      <c r="V192" s="70">
        <f>IF(VLOOKUP($A192,raw_lb[],COLUMN(W$1)-COLUMN($A$1),FALSE)=0, VLOOKUP($D192, regions_lb[], COLUMN(W$1)-COLUMN($A$1), FALSE), VLOOKUP($A192,raw_lb[],COLUMN(W$1)-COLUMN($A$1),FALSE))</f>
        <v>0.77421281376281292</v>
      </c>
      <c r="W192" s="70">
        <f>IF(VLOOKUP($A192,raw_lb[],COLUMN(X$1)-COLUMN($A$1),FALSE)=0, VLOOKUP($D192, regions_lb[], COLUMN(X$1)-COLUMN($A$1), FALSE), VLOOKUP($A192,raw_lb[],COLUMN(X$1)-COLUMN($A$1),FALSE))</f>
        <v>0.79321281376281294</v>
      </c>
      <c r="X192" s="70">
        <f>IF(VLOOKUP($A192,raw_lb[],COLUMN(Y$1)-COLUMN($A$1),FALSE)=0, VLOOKUP($D192, regions_lb[], COLUMN(Y$1)-COLUMN($A$1), FALSE), VLOOKUP($A192,raw_lb[],COLUMN(Y$1)-COLUMN($A$1),FALSE))</f>
        <v>0.30322362901080502</v>
      </c>
      <c r="Y192" s="70">
        <f>IF(VLOOKUP($A192,raw_lb[],COLUMN(Z$1)-COLUMN($A$1),FALSE)=0, VLOOKUP($D192, regions_lb[], COLUMN(Z$1)-COLUMN($A$1), FALSE), VLOOKUP($A192,raw_lb[],COLUMN(Z$1)-COLUMN($A$1),FALSE))</f>
        <v>0.32222362901080503</v>
      </c>
      <c r="Z192" s="70">
        <f>IF(VLOOKUP($A192,raw_lb[],COLUMN(AA$1)-COLUMN($A$1),FALSE)=0, VLOOKUP($D192, regions_lb[], COLUMN(AA$1)-COLUMN($A$1), FALSE), VLOOKUP($A192,raw_lb[],COLUMN(AA$1)-COLUMN($A$1),FALSE))</f>
        <v>0.32023023702230008</v>
      </c>
      <c r="AA192" s="70">
        <f>IF(VLOOKUP($A192,raw_lb[],COLUMN(AB$1)-COLUMN($A$1),FALSE)=0, VLOOKUP($D192, regions_lb[], COLUMN(AB$1)-COLUMN($A$1), FALSE), VLOOKUP($A192,raw_lb[],COLUMN(AB$1)-COLUMN($A$1),FALSE))</f>
        <v>0.91837190131504087</v>
      </c>
      <c r="AB192" s="70">
        <f>IF(VLOOKUP($A192,raw_lb[],COLUMN(AC$1)-COLUMN($A$1),FALSE)=0, VLOOKUP($D192, regions_lb[], COLUMN(AC$1)-COLUMN($A$1), FALSE), VLOOKUP($A192,raw_lb[],COLUMN(AC$1)-COLUMN($A$1),FALSE))</f>
        <v>0.93737190131504089</v>
      </c>
      <c r="AC192" s="72">
        <f>IF(VLOOKUP($A192,raw_lb[],COLUMN(AD$1)-COLUMN($A$1),FALSE)=0, VLOOKUP($D192, regions_lb[], COLUMN(AD$1)-COLUMN($A$1), FALSE), VLOOKUP($A192,raw_lb[],COLUMN(AD$1)-COLUMN($A$1),FALSE))</f>
        <v>5.1607752500000034E-2</v>
      </c>
      <c r="AD192" s="72">
        <f>IF(VLOOKUP($A192,raw_lb[],COLUMN(AE$1)-COLUMN($A$1),FALSE)=0, VLOOKUP($D192, regions_lb[], COLUMN(AE$1)-COLUMN($A$1), FALSE), VLOOKUP($A192,raw_lb[],COLUMN(AE$1)-COLUMN($A$1),FALSE))</f>
        <v>6.713845745591215E-3</v>
      </c>
      <c r="AE192" s="72">
        <f>IF(VLOOKUP($A192,raw_lb[],COLUMN(AF$1)-COLUMN($A$1),FALSE)=0, VLOOKUP($D192, regions_lb[], COLUMN(AF$1)-COLUMN($A$1), FALSE), VLOOKUP($A192,raw_lb[],COLUMN(AF$1)-COLUMN($A$1),FALSE))</f>
        <v>2.3889735695220918E-3</v>
      </c>
      <c r="AF192" s="72">
        <f>IF(VLOOKUP($A192,raw_lb[],COLUMN(AG$1)-COLUMN($A$1),FALSE)=0, VLOOKUP($D192, regions_lb[], COLUMN(AG$1)-COLUMN($A$1), FALSE), VLOOKUP($A192,raw_lb[],COLUMN(AG$1)-COLUMN($A$1),FALSE))</f>
        <v>1.9440235816073196E-3</v>
      </c>
      <c r="AG192" s="72">
        <f>IF(VLOOKUP($A192,raw_lb[],COLUMN(AH$1)-COLUMN($A$1),FALSE)=0, VLOOKUP($D192, regions_lb[], COLUMN(AH$1)-COLUMN($A$1), FALSE), VLOOKUP($A192,raw_lb[],COLUMN(AH$1)-COLUMN($A$1),FALSE))</f>
        <v>2.4055879249673126E-3</v>
      </c>
      <c r="AH192" s="72">
        <f>IF(VLOOKUP($A192,raw_lb[],COLUMN(AI$1)-COLUMN($A$1),FALSE)=0, VLOOKUP($D192, regions_lb[], COLUMN(AI$1)-COLUMN($A$1), FALSE), VLOOKUP($A192,raw_lb[],COLUMN(AI$1)-COLUMN($A$1),FALSE))</f>
        <v>3.0394372938494195E-3</v>
      </c>
      <c r="AI192" s="72">
        <f>IF(VLOOKUP($A192,raw_lb[],COLUMN(AJ$1)-COLUMN($A$1),FALSE)=0, VLOOKUP($D192, regions_lb[], COLUMN(AJ$1)-COLUMN($A$1), FALSE), VLOOKUP($A192,raw_lb[],COLUMN(AJ$1)-COLUMN($A$1),FALSE))</f>
        <v>3.6100262174568027E-3</v>
      </c>
      <c r="AJ192" s="72">
        <f>IF(VLOOKUP($A192,raw_lb[],COLUMN(AK$1)-COLUMN($A$1),FALSE)=0, VLOOKUP($D192, regions_lb[], COLUMN(AK$1)-COLUMN($A$1), FALSE), VLOOKUP($A192,raw_lb[],COLUMN(AK$1)-COLUMN($A$1),FALSE))</f>
        <v>4.1028881554310802E-3</v>
      </c>
      <c r="AK192" s="72">
        <f>IF(VLOOKUP($A192,raw_lb[],COLUMN(AL$1)-COLUMN($A$1),FALSE)=0, VLOOKUP($D192, regions_lb[], COLUMN(AL$1)-COLUMN($A$1), FALSE), VLOOKUP($A192,raw_lb[],COLUMN(AL$1)-COLUMN($A$1),FALSE))</f>
        <v>4.6041483300399986E-3</v>
      </c>
      <c r="AL192" s="72">
        <f>IF(VLOOKUP($A192,raw_lb[],COLUMN(AM$1)-COLUMN($A$1),FALSE)=0, VLOOKUP($D192, regions_lb[], COLUMN(AM$1)-COLUMN($A$1), FALSE), VLOOKUP($A192,raw_lb[],COLUMN(AM$1)-COLUMN($A$1),FALSE))</f>
        <v>5.2702729491879456E-3</v>
      </c>
      <c r="AM192" s="72">
        <f>IF(VLOOKUP($A192,raw_lb[],COLUMN(AN$1)-COLUMN($A$1),FALSE)=0, VLOOKUP($D192, regions_lb[], COLUMN(AN$1)-COLUMN($A$1), FALSE), VLOOKUP($A192,raw_lb[],COLUMN(AN$1)-COLUMN($A$1),FALSE))</f>
        <v>6.3349620943564267E-3</v>
      </c>
      <c r="AN192" s="72">
        <f>IF(VLOOKUP($A192,raw_lb[],COLUMN(AO$1)-COLUMN($A$1),FALSE)=0, VLOOKUP($D192, regions_lb[], COLUMN(AO$1)-COLUMN($A$1), FALSE), VLOOKUP($A192,raw_lb[],COLUMN(AO$1)-COLUMN($A$1),FALSE))</f>
        <v>8.1465952735742218E-3</v>
      </c>
      <c r="AO192" s="72">
        <f>IF(VLOOKUP($A192,raw_lb[],COLUMN(AP$1)-COLUMN($A$1),FALSE)=0, VLOOKUP($D192, regions_lb[], COLUMN(AP$1)-COLUMN($A$1), FALSE), VLOOKUP($A192,raw_lb[],COLUMN(AP$1)-COLUMN($A$1),FALSE))</f>
        <v>1.1219330259294506E-2</v>
      </c>
      <c r="AP192" s="72">
        <f>IF(VLOOKUP($A192,raw_lb[],COLUMN(AQ$1)-COLUMN($A$1),FALSE)=0, VLOOKUP($D192, regions_lb[], COLUMN(AQ$1)-COLUMN($A$1), FALSE), VLOOKUP($A192,raw_lb[],COLUMN(AQ$1)-COLUMN($A$1),FALSE))</f>
        <v>1.6330077641416817E-2</v>
      </c>
      <c r="AQ192" s="72">
        <f>IF(VLOOKUP($A192,raw_lb[],COLUMN(AR$1)-COLUMN($A$1),FALSE)=0, VLOOKUP($D192, regions_lb[], COLUMN(AR$1)-COLUMN($A$1), FALSE), VLOOKUP($A192,raw_lb[],COLUMN(AR$1)-COLUMN($A$1),FALSE))</f>
        <v>2.4561916833615239E-2</v>
      </c>
      <c r="AR192" s="72">
        <f>IF(VLOOKUP($A192,raw_lb[],COLUMN(AS$1)-COLUMN($A$1),FALSE)=0, VLOOKUP($D192, regions_lb[], COLUMN(AS$1)-COLUMN($A$1), FALSE), VLOOKUP($A192,raw_lb[],COLUMN(AS$1)-COLUMN($A$1),FALSE))</f>
        <v>3.7446162366875341E-2</v>
      </c>
      <c r="AS192" s="82">
        <f>IF(VLOOKUP($A192,raw_lb[],COLUMN(AS$1),FALSE)=0, VLOOKUP($D192, regions_lb[], COLUMN(AS$1), FALSE), VLOOKUP($A192,raw_lb[],COLUMN(AS$1),FALSE))</f>
        <v>5.6435457665112577E-2</v>
      </c>
      <c r="AT192" s="82">
        <f>IF(VLOOKUP($A192,raw_lb[],COLUMN(AT$1),FALSE)=0, VLOOKUP($D192, regions_lb[], COLUMN(AT$1), FALSE), VLOOKUP($A192,raw_lb[],COLUMN(AT$1),FALSE))</f>
        <v>7.7712849419006927E-2</v>
      </c>
      <c r="AU192" s="82">
        <f>IF(VLOOKUP($A192,raw_lb[],COLUMN(AU$1),FALSE)=0, VLOOKUP($D192, regions_lb[], COLUMN(AU$1), FALSE), VLOOKUP($A192,raw_lb[],COLUMN(AU$1),FALSE))</f>
        <v>0.10054840629879461</v>
      </c>
      <c r="AV192" s="82">
        <f>IF(VLOOKUP($A192,raw_lb[],COLUMN(AV$1),FALSE)=0, VLOOKUP($D192, regions_lb[], COLUMN(AV$1), FALSE), VLOOKUP($A192,raw_lb[],COLUMN(AV$1),FALSE))</f>
        <v>0.12214049399050121</v>
      </c>
      <c r="AW192" s="82">
        <f>IF(VLOOKUP($A192,raw_lb[],COLUMN(AW$1),FALSE)=0, VLOOKUP($D192, regions_lb[], COLUMN(AW$1), FALSE), VLOOKUP($A192,raw_lb[],COLUMN(AW$1),FALSE))</f>
        <v>0.14082283241957885</v>
      </c>
      <c r="AX192" s="82">
        <f>IF(VLOOKUP($A192,raw_lb[],COLUMN(AX$1),FALSE)=0, VLOOKUP($D192, regions_lb[], COLUMN(AX$1), FALSE), VLOOKUP($A192,raw_lb[],COLUMN(AX$1),FALSE))</f>
        <v>60.343049999999998</v>
      </c>
      <c r="AY192" t="str">
        <f t="shared" si="6"/>
        <v>Yes</v>
      </c>
    </row>
    <row r="193" spans="1:51" x14ac:dyDescent="0.25">
      <c r="A193" s="55" t="s">
        <v>330</v>
      </c>
      <c r="B193" s="56" t="s">
        <v>331</v>
      </c>
      <c r="C193" s="56">
        <v>340</v>
      </c>
      <c r="D193" s="56" t="s">
        <v>215</v>
      </c>
      <c r="E193" s="56" t="s">
        <v>274</v>
      </c>
      <c r="F193" s="56" t="s">
        <v>217</v>
      </c>
      <c r="G193" s="56" t="s">
        <v>212</v>
      </c>
      <c r="H193" s="74"/>
      <c r="I193" s="74"/>
      <c r="J193" s="67">
        <f>IF(VLOOKUP($A193,raw_lb[],COLUMN(J$1),FALSE)=0, VLOOKUP($D193, regions_lb[], COLUMN(J$1), FALSE), VLOOKUP($A193,raw_lb[],COLUMN(J$1),FALSE))</f>
        <v>0.78565000000000007</v>
      </c>
      <c r="K193" s="77">
        <f>VLOOKUP($A193, raw_lb[], 11, FALSE)</f>
        <v>0.67449999999999999</v>
      </c>
      <c r="L193" s="77">
        <f>VLOOKUP($A193, raw_lb[], 12, FALSE)</f>
        <v>0.76</v>
      </c>
      <c r="M193" s="77">
        <f>IF(VLOOKUP($A193,raw_lb[],COLUMN(M$1),FALSE)=0, VLOOKUP($D193, regions_lb[], COLUMN(M$1), FALSE), VLOOKUP($A193,raw_lb[],COLUMN(M$1),FALSE))</f>
        <v>1.4000000000000002E-3</v>
      </c>
      <c r="N193" s="68">
        <f>IF(VLOOKUP($A193,raw_lb[],COLUMN(N$1),FALSE)=0, VLOOKUP($D193, regions_lb[], COLUMN(N$1), FALSE), VLOOKUP($A193,raw_lb[],COLUMN(N$1),FALSE))</f>
        <v>0.16440000000000002</v>
      </c>
      <c r="O193" s="67">
        <f>IF(VLOOKUP($A193,raw_lb[],COLUMN(O$1),FALSE)=0, VLOOKUP($D193, regions_lb[], COLUMN(O$1), FALSE), VLOOKUP($A193,raw_lb[],COLUMN(O$1),FALSE))</f>
        <v>0.7</v>
      </c>
      <c r="P193" s="68">
        <f>IF(VLOOKUP($A193,raw_lb[],COLUMN(P$1),FALSE)=0, VLOOKUP($D193, regions_lb[], COLUMN(P$1), FALSE), VLOOKUP($A193,raw_lb[],COLUMN(P$1),FALSE))</f>
        <v>0.05</v>
      </c>
      <c r="Q193" s="70">
        <f>IF(VLOOKUP($A193,raw_lb[],COLUMN(Q$1),FALSE)=0, VLOOKUP($D193, regions_lb[], COLUMN(Q$1), FALSE), VLOOKUP($A193,raw_lb[],COLUMN(Q$1),FALSE))</f>
        <v>1.0906682407887911</v>
      </c>
      <c r="R193" s="70">
        <f>IF(VLOOKUP($A193,raw_lb[],COLUMN(R$1),FALSE)=0, VLOOKUP($D193, regions_lb[], COLUMN(R$1), FALSE), VLOOKUP($A193,raw_lb[],COLUMN(R$1),FALSE))</f>
        <v>8.1515682407887926</v>
      </c>
      <c r="S193" s="70">
        <f>IF(VLOOKUP($A193,raw_lb[],COLUMN(S$1),FALSE)=0, VLOOKUP($D193, regions_lb[], COLUMN(S$1), FALSE), VLOOKUP($A193,raw_lb[],COLUMN(S$1),FALSE))</f>
        <v>40.556006645762558</v>
      </c>
      <c r="T193" s="70">
        <f>IF(VLOOKUP($A193,raw_lb[],COLUMN(U$1)-COLUMN($A$1),FALSE)=0, VLOOKUP($D193, regions_lb[], COLUMN(U$1)-COLUMN($A$1), FALSE), VLOOKUP($A193,raw_lb[],COLUMN(U$1)-COLUMN($A$1),FALSE))</f>
        <v>42.213395535775106</v>
      </c>
      <c r="U193" s="70">
        <f>IF(VLOOKUP($A193,raw_lb[],COLUMN(V$1)-COLUMN($A$1),FALSE)=0, VLOOKUP($D193, regions_lb[], COLUMN(V$1)-COLUMN($A$1), FALSE), VLOOKUP($A193,raw_lb[],COLUMN(V$1)-COLUMN($A$1),FALSE))</f>
        <v>41.452357590219478</v>
      </c>
      <c r="V193" s="70">
        <f>IF(VLOOKUP($A193,raw_lb[],COLUMN(W$1)-COLUMN($A$1),FALSE)=0, VLOOKUP($D193, regions_lb[], COLUMN(W$1)-COLUMN($A$1), FALSE), VLOOKUP($A193,raw_lb[],COLUMN(W$1)-COLUMN($A$1),FALSE))</f>
        <v>1.8320260967693065</v>
      </c>
      <c r="W193" s="70">
        <f>IF(VLOOKUP($A193,raw_lb[],COLUMN(X$1)-COLUMN($A$1),FALSE)=0, VLOOKUP($D193, regions_lb[], COLUMN(X$1)-COLUMN($A$1), FALSE), VLOOKUP($A193,raw_lb[],COLUMN(X$1)-COLUMN($A$1),FALSE))</f>
        <v>1.8510260967693064</v>
      </c>
      <c r="X193" s="70">
        <f>IF(VLOOKUP($A193,raw_lb[],COLUMN(Y$1)-COLUMN($A$1),FALSE)=0, VLOOKUP($D193, regions_lb[], COLUMN(Y$1)-COLUMN($A$1), FALSE), VLOOKUP($A193,raw_lb[],COLUMN(Y$1)-COLUMN($A$1),FALSE))</f>
        <v>1.3583187366616836</v>
      </c>
      <c r="Y193" s="70">
        <f>IF(VLOOKUP($A193,raw_lb[],COLUMN(Z$1)-COLUMN($A$1),FALSE)=0, VLOOKUP($D193, regions_lb[], COLUMN(Z$1)-COLUMN($A$1), FALSE), VLOOKUP($A193,raw_lb[],COLUMN(Z$1)-COLUMN($A$1),FALSE))</f>
        <v>1.3773187366616835</v>
      </c>
      <c r="Z193" s="70">
        <f>IF(VLOOKUP($A193,raw_lb[],COLUMN(AA$1)-COLUMN($A$1),FALSE)=0, VLOOKUP($D193, regions_lb[], COLUMN(AA$1)-COLUMN($A$1), FALSE), VLOOKUP($A193,raw_lb[],COLUMN(AA$1)-COLUMN($A$1),FALSE))</f>
        <v>1.3735100970940202</v>
      </c>
      <c r="AA193" s="70">
        <f>IF(VLOOKUP($A193,raw_lb[],COLUMN(AB$1)-COLUMN($A$1),FALSE)=0, VLOOKUP($D193, regions_lb[], COLUMN(AB$1)-COLUMN($A$1), FALSE), VLOOKUP($A193,raw_lb[],COLUMN(AB$1)-COLUMN($A$1),FALSE))</f>
        <v>1.984572696847432</v>
      </c>
      <c r="AB193" s="70">
        <f>IF(VLOOKUP($A193,raw_lb[],COLUMN(AC$1)-COLUMN($A$1),FALSE)=0, VLOOKUP($D193, regions_lb[], COLUMN(AC$1)-COLUMN($A$1), FALSE), VLOOKUP($A193,raw_lb[],COLUMN(AC$1)-COLUMN($A$1),FALSE))</f>
        <v>2.0035726968474319</v>
      </c>
      <c r="AC193" s="72">
        <f>IF(VLOOKUP($A193,raw_lb[],COLUMN(AD$1)-COLUMN($A$1),FALSE)=0, VLOOKUP($D193, regions_lb[], COLUMN(AD$1)-COLUMN($A$1), FALSE), VLOOKUP($A193,raw_lb[],COLUMN(AD$1)-COLUMN($A$1),FALSE))</f>
        <v>1.4288066499999979E-2</v>
      </c>
      <c r="AD193" s="72">
        <f>IF(VLOOKUP($A193,raw_lb[],COLUMN(AE$1)-COLUMN($A$1),FALSE)=0, VLOOKUP($D193, regions_lb[], COLUMN(AE$1)-COLUMN($A$1), FALSE), VLOOKUP($A193,raw_lb[],COLUMN(AE$1)-COLUMN($A$1),FALSE))</f>
        <v>1.5125483328037508E-3</v>
      </c>
      <c r="AE193" s="72">
        <f>IF(VLOOKUP($A193,raw_lb[],COLUMN(AF$1)-COLUMN($A$1),FALSE)=0, VLOOKUP($D193, regions_lb[], COLUMN(AF$1)-COLUMN($A$1), FALSE), VLOOKUP($A193,raw_lb[],COLUMN(AF$1)-COLUMN($A$1),FALSE))</f>
        <v>8.1599349593953596E-4</v>
      </c>
      <c r="AF193" s="72">
        <f>IF(VLOOKUP($A193,raw_lb[],COLUMN(AG$1)-COLUMN($A$1),FALSE)=0, VLOOKUP($D193, regions_lb[], COLUMN(AG$1)-COLUMN($A$1), FALSE), VLOOKUP($A193,raw_lb[],COLUMN(AG$1)-COLUMN($A$1),FALSE))</f>
        <v>6.5990652775472971E-4</v>
      </c>
      <c r="AG193" s="72">
        <f>IF(VLOOKUP($A193,raw_lb[],COLUMN(AH$1)-COLUMN($A$1),FALSE)=0, VLOOKUP($D193, regions_lb[], COLUMN(AH$1)-COLUMN($A$1), FALSE), VLOOKUP($A193,raw_lb[],COLUMN(AH$1)-COLUMN($A$1),FALSE))</f>
        <v>9.4784452280810138E-4</v>
      </c>
      <c r="AH193" s="72">
        <f>IF(VLOOKUP($A193,raw_lb[],COLUMN(AI$1)-COLUMN($A$1),FALSE)=0, VLOOKUP($D193, regions_lb[], COLUMN(AI$1)-COLUMN($A$1), FALSE), VLOOKUP($A193,raw_lb[],COLUMN(AI$1)-COLUMN($A$1),FALSE))</f>
        <v>1.3862861048244905E-3</v>
      </c>
      <c r="AI193" s="72">
        <f>IF(VLOOKUP($A193,raw_lb[],COLUMN(AJ$1)-COLUMN($A$1),FALSE)=0, VLOOKUP($D193, regions_lb[], COLUMN(AJ$1)-COLUMN($A$1), FALSE), VLOOKUP($A193,raw_lb[],COLUMN(AJ$1)-COLUMN($A$1),FALSE))</f>
        <v>1.8311375493059484E-3</v>
      </c>
      <c r="AJ193" s="72">
        <f>IF(VLOOKUP($A193,raw_lb[],COLUMN(AK$1)-COLUMN($A$1),FALSE)=0, VLOOKUP($D193, regions_lb[], COLUMN(AK$1)-COLUMN($A$1), FALSE), VLOOKUP($A193,raw_lb[],COLUMN(AK$1)-COLUMN($A$1),FALSE))</f>
        <v>2.2541498675460458E-3</v>
      </c>
      <c r="AK193" s="72">
        <f>IF(VLOOKUP($A193,raw_lb[],COLUMN(AL$1)-COLUMN($A$1),FALSE)=0, VLOOKUP($D193, regions_lb[], COLUMN(AL$1)-COLUMN($A$1), FALSE), VLOOKUP($A193,raw_lb[],COLUMN(AL$1)-COLUMN($A$1),FALSE))</f>
        <v>2.6905937737751557E-3</v>
      </c>
      <c r="AL193" s="72">
        <f>IF(VLOOKUP($A193,raw_lb[],COLUMN(AM$1)-COLUMN($A$1),FALSE)=0, VLOOKUP($D193, regions_lb[], COLUMN(AM$1)-COLUMN($A$1), FALSE), VLOOKUP($A193,raw_lb[],COLUMN(AM$1)-COLUMN($A$1),FALSE))</f>
        <v>3.231150813215543E-3</v>
      </c>
      <c r="AM193" s="72">
        <f>IF(VLOOKUP($A193,raw_lb[],COLUMN(AN$1)-COLUMN($A$1),FALSE)=0, VLOOKUP($D193, regions_lb[], COLUMN(AN$1)-COLUMN($A$1), FALSE), VLOOKUP($A193,raw_lb[],COLUMN(AN$1)-COLUMN($A$1),FALSE))</f>
        <v>4.0129777500712031E-3</v>
      </c>
      <c r="AN193" s="72">
        <f>IF(VLOOKUP($A193,raw_lb[],COLUMN(AO$1)-COLUMN($A$1),FALSE)=0, VLOOKUP($D193, regions_lb[], COLUMN(AO$1)-COLUMN($A$1), FALSE), VLOOKUP($A193,raw_lb[],COLUMN(AO$1)-COLUMN($A$1),FALSE))</f>
        <v>5.2451009106526045E-3</v>
      </c>
      <c r="AO193" s="72">
        <f>IF(VLOOKUP($A193,raw_lb[],COLUMN(AP$1)-COLUMN($A$1),FALSE)=0, VLOOKUP($D193, regions_lb[], COLUMN(AP$1)-COLUMN($A$1), FALSE), VLOOKUP($A193,raw_lb[],COLUMN(AP$1)-COLUMN($A$1),FALSE))</f>
        <v>7.2414247143800427E-3</v>
      </c>
      <c r="AP193" s="72">
        <f>IF(VLOOKUP($A193,raw_lb[],COLUMN(AQ$1)-COLUMN($A$1),FALSE)=0, VLOOKUP($D193, regions_lb[], COLUMN(AQ$1)-COLUMN($A$1), FALSE), VLOOKUP($A193,raw_lb[],COLUMN(AQ$1)-COLUMN($A$1),FALSE))</f>
        <v>1.0480895411284451E-2</v>
      </c>
      <c r="AQ193" s="72">
        <f>IF(VLOOKUP($A193,raw_lb[],COLUMN(AR$1)-COLUMN($A$1),FALSE)=0, VLOOKUP($D193, regions_lb[], COLUMN(AR$1)-COLUMN($A$1), FALSE), VLOOKUP($A193,raw_lb[],COLUMN(AR$1)-COLUMN($A$1),FALSE))</f>
        <v>1.5684628521288921E-2</v>
      </c>
      <c r="AR193" s="72">
        <f>IF(VLOOKUP($A193,raw_lb[],COLUMN(AS$1)-COLUMN($A$1),FALSE)=0, VLOOKUP($D193, regions_lb[], COLUMN(AS$1)-COLUMN($A$1), FALSE), VLOOKUP($A193,raw_lb[],COLUMN(AS$1)-COLUMN($A$1),FALSE))</f>
        <v>2.3880525119129324E-2</v>
      </c>
      <c r="AS193" s="82">
        <f>IF(VLOOKUP($A193,raw_lb[],COLUMN(AS$1),FALSE)=0, VLOOKUP($D193, regions_lb[], COLUMN(AS$1), FALSE), VLOOKUP($A193,raw_lb[],COLUMN(AS$1),FALSE))</f>
        <v>3.6388866753624197E-2</v>
      </c>
      <c r="AT193" s="82">
        <f>IF(VLOOKUP($A193,raw_lb[],COLUMN(AT$1),FALSE)=0, VLOOKUP($D193, regions_lb[], COLUMN(AT$1), FALSE), VLOOKUP($A193,raw_lb[],COLUMN(AT$1),FALSE))</f>
        <v>5.4568261849513647E-2</v>
      </c>
      <c r="AU193" s="82">
        <f>IF(VLOOKUP($A193,raw_lb[],COLUMN(AU$1),FALSE)=0, VLOOKUP($D193, regions_lb[], COLUMN(AU$1), FALSE), VLOOKUP($A193,raw_lb[],COLUMN(AU$1),FALSE))</f>
        <v>7.9143484351339249E-2</v>
      </c>
      <c r="AV193" s="82">
        <f>IF(VLOOKUP($A193,raw_lb[],COLUMN(AV$1),FALSE)=0, VLOOKUP($D193, regions_lb[], COLUMN(AV$1), FALSE), VLOOKUP($A193,raw_lb[],COLUMN(AV$1),FALSE))</f>
        <v>0.10899640282176783</v>
      </c>
      <c r="AW193" s="82">
        <f>IF(VLOOKUP($A193,raw_lb[],COLUMN(AW$1),FALSE)=0, VLOOKUP($D193, regions_lb[], COLUMN(AW$1), FALSE), VLOOKUP($A193,raw_lb[],COLUMN(AW$1),FALSE))</f>
        <v>0.1418739689138081</v>
      </c>
      <c r="AX193" s="82">
        <f>IF(VLOOKUP($A193,raw_lb[],COLUMN(AX$1),FALSE)=0, VLOOKUP($D193, regions_lb[], COLUMN(AX$1), FALSE), VLOOKUP($A193,raw_lb[],COLUMN(AX$1),FALSE))</f>
        <v>71.242400000000004</v>
      </c>
      <c r="AY193" t="str">
        <f t="shared" si="6"/>
        <v>No</v>
      </c>
    </row>
    <row r="194" spans="1:51" x14ac:dyDescent="0.25">
      <c r="A194" s="53" t="s">
        <v>332</v>
      </c>
      <c r="B194" s="54" t="s">
        <v>333</v>
      </c>
      <c r="C194" s="54">
        <v>356</v>
      </c>
      <c r="D194" s="54" t="s">
        <v>225</v>
      </c>
      <c r="E194" s="54" t="s">
        <v>226</v>
      </c>
      <c r="F194" s="54" t="s">
        <v>226</v>
      </c>
      <c r="G194" s="54" t="s">
        <v>212</v>
      </c>
      <c r="H194" s="73"/>
      <c r="I194" s="73"/>
      <c r="J194" s="67">
        <f>IF(VLOOKUP($A194,raw_lb[],COLUMN(J$1),FALSE)=0, VLOOKUP($D194, regions_lb[], COLUMN(J$1), FALSE), VLOOKUP($A194,raw_lb[],COLUMN(J$1),FALSE))</f>
        <v>0.74955000000000005</v>
      </c>
      <c r="K194" s="77">
        <f>VLOOKUP($A194, raw_lb[], 11, FALSE)</f>
        <v>0.51300000000000001</v>
      </c>
      <c r="L194" s="77">
        <f>VLOOKUP($A194, raw_lb[], 12, FALSE)</f>
        <v>0.8075</v>
      </c>
      <c r="M194" s="77">
        <f>IF(VLOOKUP($A194,raw_lb[],COLUMN(M$1),FALSE)=0, VLOOKUP($D194, regions_lb[], COLUMN(M$1), FALSE), VLOOKUP($A194,raw_lb[],COLUMN(M$1),FALSE))</f>
        <v>1.6299999999999999E-2</v>
      </c>
      <c r="N194" s="68">
        <f>IF(VLOOKUP($A194,raw_lb[],COLUMN(N$1),FALSE)=0, VLOOKUP($D194, regions_lb[], COLUMN(N$1), FALSE), VLOOKUP($A194,raw_lb[],COLUMN(N$1),FALSE))</f>
        <v>0.1482</v>
      </c>
      <c r="O194" s="67">
        <f>IF(VLOOKUP($A194,raw_lb[],COLUMN(O$1),FALSE)=0, VLOOKUP($D194, regions_lb[], COLUMN(O$1), FALSE), VLOOKUP($A194,raw_lb[],COLUMN(O$1),FALSE))</f>
        <v>0.7</v>
      </c>
      <c r="P194" s="68">
        <f>IF(VLOOKUP($A194,raw_lb[],COLUMN(P$1),FALSE)=0, VLOOKUP($D194, regions_lb[], COLUMN(P$1), FALSE), VLOOKUP($A194,raw_lb[],COLUMN(P$1),FALSE))</f>
        <v>0.05</v>
      </c>
      <c r="Q194" s="70">
        <f>IF(VLOOKUP($A194,raw_lb[],COLUMN(Q$1),FALSE)=0, VLOOKUP($D194, regions_lb[], COLUMN(Q$1), FALSE), VLOOKUP($A194,raw_lb[],COLUMN(Q$1),FALSE))</f>
        <v>0.84203112467306007</v>
      </c>
      <c r="R194" s="70">
        <f>IF(VLOOKUP($A194,raw_lb[],COLUMN(R$1),FALSE)=0, VLOOKUP($D194, regions_lb[], COLUMN(R$1), FALSE), VLOOKUP($A194,raw_lb[],COLUMN(R$1),FALSE))</f>
        <v>7.90293112467306</v>
      </c>
      <c r="S194" s="70">
        <f>IF(VLOOKUP($A194,raw_lb[],COLUMN(S$1),FALSE)=0, VLOOKUP($D194, regions_lb[], COLUMN(S$1), FALSE), VLOOKUP($A194,raw_lb[],COLUMN(S$1),FALSE))</f>
        <v>38.889756884416819</v>
      </c>
      <c r="T194" s="70">
        <f>IF(VLOOKUP($A194,raw_lb[],COLUMN(U$1)-COLUMN($A$1),FALSE)=0, VLOOKUP($D194, regions_lb[], COLUMN(U$1)-COLUMN($A$1), FALSE), VLOOKUP($A194,raw_lb[],COLUMN(U$1)-COLUMN($A$1),FALSE))</f>
        <v>39.80932793977577</v>
      </c>
      <c r="U194" s="70">
        <f>IF(VLOOKUP($A194,raw_lb[],COLUMN(V$1)-COLUMN($A$1),FALSE)=0, VLOOKUP($D194, regions_lb[], COLUMN(V$1)-COLUMN($A$1), FALSE), VLOOKUP($A194,raw_lb[],COLUMN(V$1)-COLUMN($A$1),FALSE))</f>
        <v>39.387080348410834</v>
      </c>
      <c r="V194" s="70">
        <f>IF(VLOOKUP($A194,raw_lb[],COLUMN(W$1)-COLUMN($A$1),FALSE)=0, VLOOKUP($D194, regions_lb[], COLUMN(W$1)-COLUMN($A$1), FALSE), VLOOKUP($A194,raw_lb[],COLUMN(W$1)-COLUMN($A$1),FALSE))</f>
        <v>0.73696945891529575</v>
      </c>
      <c r="W194" s="70">
        <f>IF(VLOOKUP($A194,raw_lb[],COLUMN(X$1)-COLUMN($A$1),FALSE)=0, VLOOKUP($D194, regions_lb[], COLUMN(X$1)-COLUMN($A$1), FALSE), VLOOKUP($A194,raw_lb[],COLUMN(X$1)-COLUMN($A$1),FALSE))</f>
        <v>2.4563245468731467</v>
      </c>
      <c r="X194" s="70">
        <f>IF(VLOOKUP($A194,raw_lb[],COLUMN(Y$1)-COLUMN($A$1),FALSE)=0, VLOOKUP($D194, regions_lb[], COLUMN(Y$1)-COLUMN($A$1), FALSE), VLOOKUP($A194,raw_lb[],COLUMN(Y$1)-COLUMN($A$1),FALSE))</f>
        <v>0.26434118498285369</v>
      </c>
      <c r="Y194" s="70">
        <f>IF(VLOOKUP($A194,raw_lb[],COLUMN(Z$1)-COLUMN($A$1),FALSE)=0, VLOOKUP($D194, regions_lb[], COLUMN(Z$1)-COLUMN($A$1), FALSE), VLOOKUP($A194,raw_lb[],COLUMN(Z$1)-COLUMN($A$1),FALSE))</f>
        <v>1.9836962729407046</v>
      </c>
      <c r="Z194" s="70">
        <f>IF(VLOOKUP($A194,raw_lb[],COLUMN(AA$1)-COLUMN($A$1),FALSE)=0, VLOOKUP($D194, regions_lb[], COLUMN(AA$1)-COLUMN($A$1), FALSE), VLOOKUP($A194,raw_lb[],COLUMN(AA$1)-COLUMN($A$1),FALSE))</f>
        <v>1.9805749172598757</v>
      </c>
      <c r="AA194" s="70">
        <f>IF(VLOOKUP($A194,raw_lb[],COLUMN(AB$1)-COLUMN($A$1),FALSE)=0, VLOOKUP($D194, regions_lb[], COLUMN(AB$1)-COLUMN($A$1), FALSE), VLOOKUP($A194,raw_lb[],COLUMN(AB$1)-COLUMN($A$1),FALSE))</f>
        <v>0.88618630736714865</v>
      </c>
      <c r="AB194" s="70">
        <f>IF(VLOOKUP($A194,raw_lb[],COLUMN(AC$1)-COLUMN($A$1),FALSE)=0, VLOOKUP($D194, regions_lb[], COLUMN(AC$1)-COLUMN($A$1), FALSE), VLOOKUP($A194,raw_lb[],COLUMN(AC$1)-COLUMN($A$1),FALSE))</f>
        <v>2.6055413953249995</v>
      </c>
      <c r="AC194" s="72">
        <f>IF(VLOOKUP($A194,raw_lb[],COLUMN(AD$1)-COLUMN($A$1),FALSE)=0, VLOOKUP($D194, regions_lb[], COLUMN(AD$1)-COLUMN($A$1), FALSE), VLOOKUP($A194,raw_lb[],COLUMN(AD$1)-COLUMN($A$1),FALSE))</f>
        <v>3.04E-2</v>
      </c>
      <c r="AD194" s="72">
        <f>IF(VLOOKUP($A194,raw_lb[],COLUMN(AE$1)-COLUMN($A$1),FALSE)=0, VLOOKUP($D194, regions_lb[], COLUMN(AE$1)-COLUMN($A$1), FALSE), VLOOKUP($A194,raw_lb[],COLUMN(AE$1)-COLUMN($A$1),FALSE))</f>
        <v>1.8169289772727304E-3</v>
      </c>
      <c r="AE194" s="72">
        <f>IF(VLOOKUP($A194,raw_lb[],COLUMN(AF$1)-COLUMN($A$1),FALSE)=0, VLOOKUP($D194, regions_lb[], COLUMN(AF$1)-COLUMN($A$1), FALSE), VLOOKUP($A194,raw_lb[],COLUMN(AF$1)-COLUMN($A$1),FALSE))</f>
        <v>6.7958315983836866E-4</v>
      </c>
      <c r="AF194" s="72">
        <f>IF(VLOOKUP($A194,raw_lb[],COLUMN(AG$1)-COLUMN($A$1),FALSE)=0, VLOOKUP($D194, regions_lb[], COLUMN(AG$1)-COLUMN($A$1), FALSE), VLOOKUP($A194,raw_lb[],COLUMN(AG$1)-COLUMN($A$1),FALSE))</f>
        <v>5.7152524444820704E-4</v>
      </c>
      <c r="AG194" s="72">
        <f>IF(VLOOKUP($A194,raw_lb[],COLUMN(AH$1)-COLUMN($A$1),FALSE)=0, VLOOKUP($D194, regions_lb[], COLUMN(AH$1)-COLUMN($A$1), FALSE), VLOOKUP($A194,raw_lb[],COLUMN(AH$1)-COLUMN($A$1),FALSE))</f>
        <v>8.9910167943334945E-4</v>
      </c>
      <c r="AH194" s="72">
        <f>IF(VLOOKUP($A194,raw_lb[],COLUMN(AI$1)-COLUMN($A$1),FALSE)=0, VLOOKUP($D194, regions_lb[], COLUMN(AI$1)-COLUMN($A$1), FALSE), VLOOKUP($A194,raw_lb[],COLUMN(AI$1)-COLUMN($A$1),FALSE))</f>
        <v>1.3045542847308646E-3</v>
      </c>
      <c r="AI194" s="72">
        <f>IF(VLOOKUP($A194,raw_lb[],COLUMN(AJ$1)-COLUMN($A$1),FALSE)=0, VLOOKUP($D194, regions_lb[], COLUMN(AJ$1)-COLUMN($A$1), FALSE), VLOOKUP($A194,raw_lb[],COLUMN(AJ$1)-COLUMN($A$1),FALSE))</f>
        <v>1.4750277950733364E-3</v>
      </c>
      <c r="AJ194" s="72">
        <f>IF(VLOOKUP($A194,raw_lb[],COLUMN(AK$1)-COLUMN($A$1),FALSE)=0, VLOOKUP($D194, regions_lb[], COLUMN(AK$1)-COLUMN($A$1), FALSE), VLOOKUP($A194,raw_lb[],COLUMN(AK$1)-COLUMN($A$1),FALSE))</f>
        <v>1.8824965406766181E-3</v>
      </c>
      <c r="AK194" s="72">
        <f>IF(VLOOKUP($A194,raw_lb[],COLUMN(AL$1)-COLUMN($A$1),FALSE)=0, VLOOKUP($D194, regions_lb[], COLUMN(AL$1)-COLUMN($A$1), FALSE), VLOOKUP($A194,raw_lb[],COLUMN(AL$1)-COLUMN($A$1),FALSE))</f>
        <v>2.6065319325899801E-3</v>
      </c>
      <c r="AL194" s="72">
        <f>IF(VLOOKUP($A194,raw_lb[],COLUMN(AM$1)-COLUMN($A$1),FALSE)=0, VLOOKUP($D194, regions_lb[], COLUMN(AM$1)-COLUMN($A$1), FALSE), VLOOKUP($A194,raw_lb[],COLUMN(AM$1)-COLUMN($A$1),FALSE))</f>
        <v>3.5048022848458496E-3</v>
      </c>
      <c r="AM194" s="72">
        <f>IF(VLOOKUP($A194,raw_lb[],COLUMN(AN$1)-COLUMN($A$1),FALSE)=0, VLOOKUP($D194, regions_lb[], COLUMN(AN$1)-COLUMN($A$1), FALSE), VLOOKUP($A194,raw_lb[],COLUMN(AN$1)-COLUMN($A$1),FALSE))</f>
        <v>5.0334868502391371E-3</v>
      </c>
      <c r="AN194" s="72">
        <f>IF(VLOOKUP($A194,raw_lb[],COLUMN(AO$1)-COLUMN($A$1),FALSE)=0, VLOOKUP($D194, regions_lb[], COLUMN(AO$1)-COLUMN($A$1), FALSE), VLOOKUP($A194,raw_lb[],COLUMN(AO$1)-COLUMN($A$1),FALSE))</f>
        <v>8.0546747947557399E-3</v>
      </c>
      <c r="AO194" s="72">
        <f>IF(VLOOKUP($A194,raw_lb[],COLUMN(AP$1)-COLUMN($A$1),FALSE)=0, VLOOKUP($D194, regions_lb[], COLUMN(AP$1)-COLUMN($A$1), FALSE), VLOOKUP($A194,raw_lb[],COLUMN(AP$1)-COLUMN($A$1),FALSE))</f>
        <v>1.1967367571635216E-2</v>
      </c>
      <c r="AP194" s="72">
        <f>IF(VLOOKUP($A194,raw_lb[],COLUMN(AQ$1)-COLUMN($A$1),FALSE)=0, VLOOKUP($D194, regions_lb[], COLUMN(AQ$1)-COLUMN($A$1), FALSE), VLOOKUP($A194,raw_lb[],COLUMN(AQ$1)-COLUMN($A$1),FALSE))</f>
        <v>1.766751677082555E-2</v>
      </c>
      <c r="AQ194" s="72">
        <f>IF(VLOOKUP($A194,raw_lb[],COLUMN(AR$1)-COLUMN($A$1),FALSE)=0, VLOOKUP($D194, regions_lb[], COLUMN(AR$1)-COLUMN($A$1), FALSE), VLOOKUP($A194,raw_lb[],COLUMN(AR$1)-COLUMN($A$1),FALSE))</f>
        <v>2.6502618776496203E-2</v>
      </c>
      <c r="AR194" s="72">
        <f>IF(VLOOKUP($A194,raw_lb[],COLUMN(AS$1)-COLUMN($A$1),FALSE)=0, VLOOKUP($D194, regions_lb[], COLUMN(AS$1)-COLUMN($A$1), FALSE), VLOOKUP($A194,raw_lb[],COLUMN(AS$1)-COLUMN($A$1),FALSE))</f>
        <v>4.0707180328769986E-2</v>
      </c>
      <c r="AS194" s="82">
        <f>IF(VLOOKUP($A194,raw_lb[],COLUMN(AS$1),FALSE)=0, VLOOKUP($D194, regions_lb[], COLUMN(AS$1), FALSE), VLOOKUP($A194,raw_lb[],COLUMN(AS$1),FALSE))</f>
        <v>5.7645979226863639E-2</v>
      </c>
      <c r="AT194" s="82">
        <f>IF(VLOOKUP($A194,raw_lb[],COLUMN(AT$1),FALSE)=0, VLOOKUP($D194, regions_lb[], COLUMN(AT$1), FALSE), VLOOKUP($A194,raw_lb[],COLUMN(AT$1),FALSE))</f>
        <v>8.2289111880304536E-2</v>
      </c>
      <c r="AU194" s="82">
        <f>IF(VLOOKUP($A194,raw_lb[],COLUMN(AU$1),FALSE)=0, VLOOKUP($D194, regions_lb[], COLUMN(AU$1), FALSE), VLOOKUP($A194,raw_lb[],COLUMN(AU$1),FALSE))</f>
        <v>0.11020584860932035</v>
      </c>
      <c r="AV194" s="82">
        <f>IF(VLOOKUP($A194,raw_lb[],COLUMN(AV$1),FALSE)=0, VLOOKUP($D194, regions_lb[], COLUMN(AV$1), FALSE), VLOOKUP($A194,raw_lb[],COLUMN(AV$1),FALSE))</f>
        <v>0.13595182421856622</v>
      </c>
      <c r="AW194" s="82">
        <f>IF(VLOOKUP($A194,raw_lb[],COLUMN(AW$1),FALSE)=0, VLOOKUP($D194, regions_lb[], COLUMN(AW$1), FALSE), VLOOKUP($A194,raw_lb[],COLUMN(AW$1),FALSE))</f>
        <v>0.13110623605364519</v>
      </c>
      <c r="AX194" s="82">
        <f>IF(VLOOKUP($A194,raw_lb[],COLUMN(AX$1),FALSE)=0, VLOOKUP($D194, regions_lb[], COLUMN(AX$1), FALSE), VLOOKUP($A194,raw_lb[],COLUMN(AX$1),FALSE))</f>
        <v>65.808400000000006</v>
      </c>
      <c r="AY194" t="str">
        <f t="shared" si="6"/>
        <v>No</v>
      </c>
    </row>
    <row r="195" spans="1:51" x14ac:dyDescent="0.25">
      <c r="A195" s="55" t="s">
        <v>334</v>
      </c>
      <c r="B195" s="56" t="s">
        <v>335</v>
      </c>
      <c r="C195" s="56">
        <v>360</v>
      </c>
      <c r="D195" s="56" t="s">
        <v>225</v>
      </c>
      <c r="E195" s="56" t="s">
        <v>261</v>
      </c>
      <c r="F195" s="56" t="s">
        <v>262</v>
      </c>
      <c r="G195" s="56" t="s">
        <v>212</v>
      </c>
      <c r="H195" s="74"/>
      <c r="I195" s="74"/>
      <c r="J195" s="67">
        <f>IF(VLOOKUP($A195,raw_lb[],COLUMN(J$1),FALSE)=0, VLOOKUP($D195, regions_lb[], COLUMN(J$1), FALSE), VLOOKUP($A195,raw_lb[],COLUMN(J$1),FALSE))</f>
        <v>0.75049999999999994</v>
      </c>
      <c r="K195" s="77">
        <f>VLOOKUP($A195, raw_lb[], 11, FALSE)</f>
        <v>0.69350000000000001</v>
      </c>
      <c r="L195" s="77">
        <f>VLOOKUP($A195, raw_lb[], 12, FALSE)</f>
        <v>0.73149999999999993</v>
      </c>
      <c r="M195" s="77">
        <f>IF(VLOOKUP($A195,raw_lb[],COLUMN(M$1),FALSE)=0, VLOOKUP($D195, regions_lb[], COLUMN(M$1), FALSE), VLOOKUP($A195,raw_lb[],COLUMN(M$1),FALSE))</f>
        <v>5.5599999999999997E-2</v>
      </c>
      <c r="N195" s="68">
        <f>IF(VLOOKUP($A195,raw_lb[],COLUMN(N$1),FALSE)=0, VLOOKUP($D195, regions_lb[], COLUMN(N$1), FALSE), VLOOKUP($A195,raw_lb[],COLUMN(N$1),FALSE))</f>
        <v>0.18100000000000002</v>
      </c>
      <c r="O195" s="67">
        <f>IF(VLOOKUP($A195,raw_lb[],COLUMN(O$1),FALSE)=0, VLOOKUP($D195, regions_lb[], COLUMN(O$1), FALSE), VLOOKUP($A195,raw_lb[],COLUMN(O$1),FALSE))</f>
        <v>0.7</v>
      </c>
      <c r="P195" s="68">
        <f>IF(VLOOKUP($A195,raw_lb[],COLUMN(P$1),FALSE)=0, VLOOKUP($D195, regions_lb[], COLUMN(P$1), FALSE), VLOOKUP($A195,raw_lb[],COLUMN(P$1),FALSE))</f>
        <v>0.05</v>
      </c>
      <c r="Q195" s="70">
        <f>IF(VLOOKUP($A195,raw_lb[],COLUMN(Q$1),FALSE)=0, VLOOKUP($D195, regions_lb[], COLUMN(Q$1), FALSE), VLOOKUP($A195,raw_lb[],COLUMN(Q$1),FALSE))</f>
        <v>0.97546645683453204</v>
      </c>
      <c r="R195" s="70">
        <f>IF(VLOOKUP($A195,raw_lb[],COLUMN(R$1),FALSE)=0, VLOOKUP($D195, regions_lb[], COLUMN(R$1), FALSE), VLOOKUP($A195,raw_lb[],COLUMN(R$1),FALSE))</f>
        <v>8.0363664568345321</v>
      </c>
      <c r="S195" s="70">
        <f>IF(VLOOKUP($A195,raw_lb[],COLUMN(S$1),FALSE)=0, VLOOKUP($D195, regions_lb[], COLUMN(S$1), FALSE), VLOOKUP($A195,raw_lb[],COLUMN(S$1),FALSE))</f>
        <v>40.127772211481336</v>
      </c>
      <c r="T195" s="70">
        <f>IF(VLOOKUP($A195,raw_lb[],COLUMN(U$1)-COLUMN($A$1),FALSE)=0, VLOOKUP($D195, regions_lb[], COLUMN(U$1)-COLUMN($A$1), FALSE), VLOOKUP($A195,raw_lb[],COLUMN(U$1)-COLUMN($A$1),FALSE))</f>
        <v>41.622238547849022</v>
      </c>
      <c r="U195" s="70">
        <f>IF(VLOOKUP($A195,raw_lb[],COLUMN(V$1)-COLUMN($A$1),FALSE)=0, VLOOKUP($D195, regions_lb[], COLUMN(V$1)-COLUMN($A$1), FALSE), VLOOKUP($A195,raw_lb[],COLUMN(V$1)-COLUMN($A$1),FALSE))</f>
        <v>40.936011195183042</v>
      </c>
      <c r="V195" s="70">
        <f>IF(VLOOKUP($A195,raw_lb[],COLUMN(W$1)-COLUMN($A$1),FALSE)=0, VLOOKUP($D195, regions_lb[], COLUMN(W$1)-COLUMN($A$1), FALSE), VLOOKUP($A195,raw_lb[],COLUMN(W$1)-COLUMN($A$1),FALSE))</f>
        <v>0.80943537512116159</v>
      </c>
      <c r="W195" s="70">
        <f>IF(VLOOKUP($A195,raw_lb[],COLUMN(X$1)-COLUMN($A$1),FALSE)=0, VLOOKUP($D195, regions_lb[], COLUMN(X$1)-COLUMN($A$1), FALSE), VLOOKUP($A195,raw_lb[],COLUMN(X$1)-COLUMN($A$1),FALSE))</f>
        <v>1.4079353751211614</v>
      </c>
      <c r="X195" s="70">
        <f>IF(VLOOKUP($A195,raw_lb[],COLUMN(Y$1)-COLUMN($A$1),FALSE)=0, VLOOKUP($D195, regions_lb[], COLUMN(Y$1)-COLUMN($A$1), FALSE), VLOOKUP($A195,raw_lb[],COLUMN(Y$1)-COLUMN($A$1),FALSE))</f>
        <v>0.33243007686865716</v>
      </c>
      <c r="Y195" s="70">
        <f>IF(VLOOKUP($A195,raw_lb[],COLUMN(Z$1)-COLUMN($A$1),FALSE)=0, VLOOKUP($D195, regions_lb[], COLUMN(Z$1)-COLUMN($A$1), FALSE), VLOOKUP($A195,raw_lb[],COLUMN(Z$1)-COLUMN($A$1),FALSE))</f>
        <v>0.93093007686865703</v>
      </c>
      <c r="Z195" s="70">
        <f>IF(VLOOKUP($A195,raw_lb[],COLUMN(AA$1)-COLUMN($A$1),FALSE)=0, VLOOKUP($D195, regions_lb[], COLUMN(AA$1)-COLUMN($A$1), FALSE), VLOOKUP($A195,raw_lb[],COLUMN(AA$1)-COLUMN($A$1),FALSE))</f>
        <v>0.92515190449452844</v>
      </c>
      <c r="AA195" s="70">
        <f>IF(VLOOKUP($A195,raw_lb[],COLUMN(AB$1)-COLUMN($A$1),FALSE)=0, VLOOKUP($D195, regions_lb[], COLUMN(AB$1)-COLUMN($A$1), FALSE), VLOOKUP($A195,raw_lb[],COLUMN(AB$1)-COLUMN($A$1),FALSE))</f>
        <v>0.97215847004635003</v>
      </c>
      <c r="AB195" s="70">
        <f>IF(VLOOKUP($A195,raw_lb[],COLUMN(AC$1)-COLUMN($A$1),FALSE)=0, VLOOKUP($D195, regions_lb[], COLUMN(AC$1)-COLUMN($A$1), FALSE), VLOOKUP($A195,raw_lb[],COLUMN(AC$1)-COLUMN($A$1),FALSE))</f>
        <v>1.57065847004635</v>
      </c>
      <c r="AC195" s="72">
        <f>IF(VLOOKUP($A195,raw_lb[],COLUMN(AD$1)-COLUMN($A$1),FALSE)=0, VLOOKUP($D195, regions_lb[], COLUMN(AD$1)-COLUMN($A$1), FALSE), VLOOKUP($A195,raw_lb[],COLUMN(AD$1)-COLUMN($A$1),FALSE))</f>
        <v>1.7976736000000004E-2</v>
      </c>
      <c r="AD195" s="72">
        <f>IF(VLOOKUP($A195,raw_lb[],COLUMN(AE$1)-COLUMN($A$1),FALSE)=0, VLOOKUP($D195, regions_lb[], COLUMN(AE$1)-COLUMN($A$1), FALSE), VLOOKUP($A195,raw_lb[],COLUMN(AE$1)-COLUMN($A$1),FALSE))</f>
        <v>1.4461063723512505E-3</v>
      </c>
      <c r="AE195" s="72">
        <f>IF(VLOOKUP($A195,raw_lb[],COLUMN(AF$1)-COLUMN($A$1),FALSE)=0, VLOOKUP($D195, regions_lb[], COLUMN(AF$1)-COLUMN($A$1), FALSE), VLOOKUP($A195,raw_lb[],COLUMN(AF$1)-COLUMN($A$1),FALSE))</f>
        <v>4.8112248026353766E-4</v>
      </c>
      <c r="AF195" s="72">
        <f>IF(VLOOKUP($A195,raw_lb[],COLUMN(AG$1)-COLUMN($A$1),FALSE)=0, VLOOKUP($D195, regions_lb[], COLUMN(AG$1)-COLUMN($A$1), FALSE), VLOOKUP($A195,raw_lb[],COLUMN(AG$1)-COLUMN($A$1),FALSE))</f>
        <v>4.2516812768343719E-4</v>
      </c>
      <c r="AG195" s="72">
        <f>IF(VLOOKUP($A195,raw_lb[],COLUMN(AH$1)-COLUMN($A$1),FALSE)=0, VLOOKUP($D195, regions_lb[], COLUMN(AH$1)-COLUMN($A$1), FALSE), VLOOKUP($A195,raw_lb[],COLUMN(AH$1)-COLUMN($A$1),FALSE))</f>
        <v>8.9141969903277455E-4</v>
      </c>
      <c r="AH195" s="72">
        <f>IF(VLOOKUP($A195,raw_lb[],COLUMN(AI$1)-COLUMN($A$1),FALSE)=0, VLOOKUP($D195, regions_lb[], COLUMN(AI$1)-COLUMN($A$1), FALSE), VLOOKUP($A195,raw_lb[],COLUMN(AI$1)-COLUMN($A$1),FALSE))</f>
        <v>1.1712550695476478E-3</v>
      </c>
      <c r="AI195" s="72">
        <f>IF(VLOOKUP($A195,raw_lb[],COLUMN(AJ$1)-COLUMN($A$1),FALSE)=0, VLOOKUP($D195, regions_lb[], COLUMN(AJ$1)-COLUMN($A$1), FALSE), VLOOKUP($A195,raw_lb[],COLUMN(AJ$1)-COLUMN($A$1),FALSE))</f>
        <v>1.2412153794612581E-3</v>
      </c>
      <c r="AJ195" s="72">
        <f>IF(VLOOKUP($A195,raw_lb[],COLUMN(AK$1)-COLUMN($A$1),FALSE)=0, VLOOKUP($D195, regions_lb[], COLUMN(AK$1)-COLUMN($A$1), FALSE), VLOOKUP($A195,raw_lb[],COLUMN(AK$1)-COLUMN($A$1),FALSE))</f>
        <v>1.4764995638156372E-3</v>
      </c>
      <c r="AK195" s="72">
        <f>IF(VLOOKUP($A195,raw_lb[],COLUMN(AL$1)-COLUMN($A$1),FALSE)=0, VLOOKUP($D195, regions_lb[], COLUMN(AL$1)-COLUMN($A$1), FALSE), VLOOKUP($A195,raw_lb[],COLUMN(AL$1)-COLUMN($A$1),FALSE))</f>
        <v>1.9864591670799478E-3</v>
      </c>
      <c r="AL195" s="72">
        <f>IF(VLOOKUP($A195,raw_lb[],COLUMN(AM$1)-COLUMN($A$1),FALSE)=0, VLOOKUP($D195, regions_lb[], COLUMN(AM$1)-COLUMN($A$1), FALSE), VLOOKUP($A195,raw_lb[],COLUMN(AM$1)-COLUMN($A$1),FALSE))</f>
        <v>2.8497820237502118E-3</v>
      </c>
      <c r="AM195" s="72">
        <f>IF(VLOOKUP($A195,raw_lb[],COLUMN(AN$1)-COLUMN($A$1),FALSE)=0, VLOOKUP($D195, regions_lb[], COLUMN(AN$1)-COLUMN($A$1), FALSE), VLOOKUP($A195,raw_lb[],COLUMN(AN$1)-COLUMN($A$1),FALSE))</f>
        <v>4.3663869259866093E-3</v>
      </c>
      <c r="AN195" s="72">
        <f>IF(VLOOKUP($A195,raw_lb[],COLUMN(AO$1)-COLUMN($A$1),FALSE)=0, VLOOKUP($D195, regions_lb[], COLUMN(AO$1)-COLUMN($A$1), FALSE), VLOOKUP($A195,raw_lb[],COLUMN(AO$1)-COLUMN($A$1),FALSE))</f>
        <v>6.7520635158571218E-3</v>
      </c>
      <c r="AO195" s="72">
        <f>IF(VLOOKUP($A195,raw_lb[],COLUMN(AP$1)-COLUMN($A$1),FALSE)=0, VLOOKUP($D195, regions_lb[], COLUMN(AP$1)-COLUMN($A$1), FALSE), VLOOKUP($A195,raw_lb[],COLUMN(AP$1)-COLUMN($A$1),FALSE))</f>
        <v>1.0485710350985602E-2</v>
      </c>
      <c r="AP195" s="72">
        <f>IF(VLOOKUP($A195,raw_lb[],COLUMN(AQ$1)-COLUMN($A$1),FALSE)=0, VLOOKUP($D195, regions_lb[], COLUMN(AQ$1)-COLUMN($A$1), FALSE), VLOOKUP($A195,raw_lb[],COLUMN(AQ$1)-COLUMN($A$1),FALSE))</f>
        <v>1.6158428876009805E-2</v>
      </c>
      <c r="AQ195" s="72">
        <f>IF(VLOOKUP($A195,raw_lb[],COLUMN(AR$1)-COLUMN($A$1),FALSE)=0, VLOOKUP($D195, regions_lb[], COLUMN(AR$1)-COLUMN($A$1), FALSE), VLOOKUP($A195,raw_lb[],COLUMN(AR$1)-COLUMN($A$1),FALSE))</f>
        <v>2.4502811474040997E-2</v>
      </c>
      <c r="AR195" s="72">
        <f>IF(VLOOKUP($A195,raw_lb[],COLUMN(AS$1)-COLUMN($A$1),FALSE)=0, VLOOKUP($D195, regions_lb[], COLUMN(AS$1)-COLUMN($A$1), FALSE), VLOOKUP($A195,raw_lb[],COLUMN(AS$1)-COLUMN($A$1),FALSE))</f>
        <v>3.7508987442541421E-2</v>
      </c>
      <c r="AS195" s="82">
        <f>IF(VLOOKUP($A195,raw_lb[],COLUMN(AS$1),FALSE)=0, VLOOKUP($D195, regions_lb[], COLUMN(AS$1), FALSE), VLOOKUP($A195,raw_lb[],COLUMN(AS$1),FALSE))</f>
        <v>5.7953958692443013E-2</v>
      </c>
      <c r="AT195" s="82">
        <f>IF(VLOOKUP($A195,raw_lb[],COLUMN(AT$1),FALSE)=0, VLOOKUP($D195, regions_lb[], COLUMN(AT$1), FALSE), VLOOKUP($A195,raw_lb[],COLUMN(AT$1),FALSE))</f>
        <v>8.4948585671753729E-2</v>
      </c>
      <c r="AU195" s="82">
        <f>IF(VLOOKUP($A195,raw_lb[],COLUMN(AU$1),FALSE)=0, VLOOKUP($D195, regions_lb[], COLUMN(AU$1), FALSE), VLOOKUP($A195,raw_lb[],COLUMN(AU$1),FALSE))</f>
        <v>0.11671643713753929</v>
      </c>
      <c r="AV195" s="82">
        <f>IF(VLOOKUP($A195,raw_lb[],COLUMN(AV$1),FALSE)=0, VLOOKUP($D195, regions_lb[], COLUMN(AV$1), FALSE), VLOOKUP($A195,raw_lb[],COLUMN(AV$1),FALSE))</f>
        <v>0.1447334702434302</v>
      </c>
      <c r="AW195" s="82">
        <f>IF(VLOOKUP($A195,raw_lb[],COLUMN(AW$1),FALSE)=0, VLOOKUP($D195, regions_lb[], COLUMN(AW$1), FALSE), VLOOKUP($A195,raw_lb[],COLUMN(AW$1),FALSE))</f>
        <v>0.16546159770789753</v>
      </c>
      <c r="AX195" s="82">
        <f>IF(VLOOKUP($A195,raw_lb[],COLUMN(AX$1),FALSE)=0, VLOOKUP($D195, regions_lb[], COLUMN(AX$1), FALSE), VLOOKUP($A195,raw_lb[],COLUMN(AX$1),FALSE))</f>
        <v>67.838549999999998</v>
      </c>
      <c r="AY195" t="str">
        <f t="shared" si="6"/>
        <v>No</v>
      </c>
    </row>
    <row r="196" spans="1:51" x14ac:dyDescent="0.25">
      <c r="A196" s="53" t="s">
        <v>336</v>
      </c>
      <c r="B196" s="54" t="s">
        <v>337</v>
      </c>
      <c r="C196" s="54">
        <v>364</v>
      </c>
      <c r="D196" s="54" t="s">
        <v>196</v>
      </c>
      <c r="E196" s="54" t="s">
        <v>197</v>
      </c>
      <c r="F196" s="54" t="s">
        <v>197</v>
      </c>
      <c r="G196" s="54" t="s">
        <v>204</v>
      </c>
      <c r="H196" s="73"/>
      <c r="I196" s="73"/>
      <c r="J196" s="67">
        <f>IF(VLOOKUP($A196,raw_lb[],COLUMN(J$1),FALSE)=0, VLOOKUP($D196, regions_lb[], COLUMN(J$1), FALSE), VLOOKUP($A196,raw_lb[],COLUMN(J$1),FALSE))</f>
        <v>0.90534999999999988</v>
      </c>
      <c r="K196" s="77">
        <f>VLOOKUP($A196, raw_lb[], 11, FALSE)</f>
        <v>0.90249999999999997</v>
      </c>
      <c r="L196" s="77">
        <f>VLOOKUP($A196, raw_lb[], 12, FALSE)</f>
        <v>0.9405</v>
      </c>
      <c r="M196" s="77">
        <f>IF(VLOOKUP($A196,raw_lb[],COLUMN(M$1),FALSE)=0, VLOOKUP($D196, regions_lb[], COLUMN(M$1), FALSE), VLOOKUP($A196,raw_lb[],COLUMN(M$1),FALSE))</f>
        <v>1.1299999999999999E-2</v>
      </c>
      <c r="N196" s="68">
        <f>IF(VLOOKUP($A196,raw_lb[],COLUMN(N$1),FALSE)=0, VLOOKUP($D196, regions_lb[], COLUMN(N$1), FALSE), VLOOKUP($A196,raw_lb[],COLUMN(N$1),FALSE))</f>
        <v>0.14980000000000002</v>
      </c>
      <c r="O196" s="67">
        <f>IF(VLOOKUP($A196,raw_lb[],COLUMN(O$1),FALSE)=0, VLOOKUP($D196, regions_lb[], COLUMN(O$1), FALSE), VLOOKUP($A196,raw_lb[],COLUMN(O$1),FALSE))</f>
        <v>0.7</v>
      </c>
      <c r="P196" s="68">
        <f>IF(VLOOKUP($A196,raw_lb[],COLUMN(P$1),FALSE)=0, VLOOKUP($D196, regions_lb[], COLUMN(P$1), FALSE), VLOOKUP($A196,raw_lb[],COLUMN(P$1),FALSE))</f>
        <v>0.05</v>
      </c>
      <c r="Q196" s="70">
        <f>IF(VLOOKUP($A196,raw_lb[],COLUMN(Q$1),FALSE)=0, VLOOKUP($D196, regions_lb[], COLUMN(Q$1), FALSE), VLOOKUP($A196,raw_lb[],COLUMN(Q$1),FALSE))</f>
        <v>1.9847140085663901</v>
      </c>
      <c r="R196" s="70">
        <f>IF(VLOOKUP($A196,raw_lb[],COLUMN(R$1),FALSE)=0, VLOOKUP($D196, regions_lb[], COLUMN(R$1), FALSE), VLOOKUP($A196,raw_lb[],COLUMN(R$1),FALSE))</f>
        <v>9.0456140085663908</v>
      </c>
      <c r="S196" s="70">
        <f>IF(VLOOKUP($A196,raw_lb[],COLUMN(S$1),FALSE)=0, VLOOKUP($D196, regions_lb[], COLUMN(S$1), FALSE), VLOOKUP($A196,raw_lb[],COLUMN(S$1),FALSE))</f>
        <v>50.26974381666102</v>
      </c>
      <c r="T196" s="70">
        <f>IF(VLOOKUP($A196,raw_lb[],COLUMN(U$1)-COLUMN($A$1),FALSE)=0, VLOOKUP($D196, regions_lb[], COLUMN(U$1)-COLUMN($A$1), FALSE), VLOOKUP($A196,raw_lb[],COLUMN(U$1)-COLUMN($A$1),FALSE))</f>
        <v>56.517473823663096</v>
      </c>
      <c r="U196" s="70">
        <f>IF(VLOOKUP($A196,raw_lb[],COLUMN(V$1)-COLUMN($A$1),FALSE)=0, VLOOKUP($D196, regions_lb[], COLUMN(V$1)-COLUMN($A$1), FALSE), VLOOKUP($A196,raw_lb[],COLUMN(V$1)-COLUMN($A$1),FALSE))</f>
        <v>53.64864826463625</v>
      </c>
      <c r="V196" s="70">
        <f>IF(VLOOKUP($A196,raw_lb[],COLUMN(W$1)-COLUMN($A$1),FALSE)=0, VLOOKUP($D196, regions_lb[], COLUMN(W$1)-COLUMN($A$1), FALSE), VLOOKUP($A196,raw_lb[],COLUMN(W$1)-COLUMN($A$1),FALSE))</f>
        <v>1.7305513673867141</v>
      </c>
      <c r="W196" s="70">
        <f>IF(VLOOKUP($A196,raw_lb[],COLUMN(X$1)-COLUMN($A$1),FALSE)=0, VLOOKUP($D196, regions_lb[], COLUMN(X$1)-COLUMN($A$1), FALSE), VLOOKUP($A196,raw_lb[],COLUMN(X$1)-COLUMN($A$1),FALSE))</f>
        <v>2.1865513673867141</v>
      </c>
      <c r="X196" s="70">
        <f>IF(VLOOKUP($A196,raw_lb[],COLUMN(Y$1)-COLUMN($A$1),FALSE)=0, VLOOKUP($D196, regions_lb[], COLUMN(Y$1)-COLUMN($A$1), FALSE), VLOOKUP($A196,raw_lb[],COLUMN(Y$1)-COLUMN($A$1),FALSE))</f>
        <v>1.2561912487895703</v>
      </c>
      <c r="Y196" s="70">
        <f>IF(VLOOKUP($A196,raw_lb[],COLUMN(Z$1)-COLUMN($A$1),FALSE)=0, VLOOKUP($D196, regions_lb[], COLUMN(Z$1)-COLUMN($A$1), FALSE), VLOOKUP($A196,raw_lb[],COLUMN(Z$1)-COLUMN($A$1),FALSE))</f>
        <v>1.7121912487895703</v>
      </c>
      <c r="Z196" s="70">
        <f>IF(VLOOKUP($A196,raw_lb[],COLUMN(AA$1)-COLUMN($A$1),FALSE)=0, VLOOKUP($D196, regions_lb[], COLUMN(AA$1)-COLUMN($A$1), FALSE), VLOOKUP($A196,raw_lb[],COLUMN(AA$1)-COLUMN($A$1),FALSE))</f>
        <v>1.7075120752904218</v>
      </c>
      <c r="AA196" s="70">
        <f>IF(VLOOKUP($A196,raw_lb[],COLUMN(AB$1)-COLUMN($A$1),FALSE)=0, VLOOKUP($D196, regions_lb[], COLUMN(AB$1)-COLUMN($A$1), FALSE), VLOOKUP($A196,raw_lb[],COLUMN(AB$1)-COLUMN($A$1),FALSE))</f>
        <v>1.8851121936610751</v>
      </c>
      <c r="AB196" s="70">
        <f>IF(VLOOKUP($A196,raw_lb[],COLUMN(AC$1)-COLUMN($A$1),FALSE)=0, VLOOKUP($D196, regions_lb[], COLUMN(AC$1)-COLUMN($A$1), FALSE), VLOOKUP($A196,raw_lb[],COLUMN(AC$1)-COLUMN($A$1),FALSE))</f>
        <v>2.341112193661075</v>
      </c>
      <c r="AC196" s="72">
        <f>IF(VLOOKUP($A196,raw_lb[],COLUMN(AD$1)-COLUMN($A$1),FALSE)=0, VLOOKUP($D196, regions_lb[], COLUMN(AD$1)-COLUMN($A$1), FALSE), VLOOKUP($A196,raw_lb[],COLUMN(AD$1)-COLUMN($A$1),FALSE))</f>
        <v>1.2176577499999956E-2</v>
      </c>
      <c r="AD196" s="72">
        <f>IF(VLOOKUP($A196,raw_lb[],COLUMN(AE$1)-COLUMN($A$1),FALSE)=0, VLOOKUP($D196, regions_lb[], COLUMN(AE$1)-COLUMN($A$1), FALSE), VLOOKUP($A196,raw_lb[],COLUMN(AE$1)-COLUMN($A$1),FALSE))</f>
        <v>5.0523051688871343E-4</v>
      </c>
      <c r="AE196" s="72">
        <f>IF(VLOOKUP($A196,raw_lb[],COLUMN(AF$1)-COLUMN($A$1),FALSE)=0, VLOOKUP($D196, regions_lb[], COLUMN(AF$1)-COLUMN($A$1), FALSE), VLOOKUP($A196,raw_lb[],COLUMN(AF$1)-COLUMN($A$1),FALSE))</f>
        <v>1.6712427130344295E-4</v>
      </c>
      <c r="AF196" s="72">
        <f>IF(VLOOKUP($A196,raw_lb[],COLUMN(AG$1)-COLUMN($A$1),FALSE)=0, VLOOKUP($D196, regions_lb[], COLUMN(AG$1)-COLUMN($A$1), FALSE), VLOOKUP($A196,raw_lb[],COLUMN(AG$1)-COLUMN($A$1),FALSE))</f>
        <v>1.8614754351952011E-4</v>
      </c>
      <c r="AG196" s="72">
        <f>IF(VLOOKUP($A196,raw_lb[],COLUMN(AH$1)-COLUMN($A$1),FALSE)=0, VLOOKUP($D196, regions_lb[], COLUMN(AH$1)-COLUMN($A$1), FALSE), VLOOKUP($A196,raw_lb[],COLUMN(AH$1)-COLUMN($A$1),FALSE))</f>
        <v>4.0538283688251807E-4</v>
      </c>
      <c r="AH196" s="72">
        <f>IF(VLOOKUP($A196,raw_lb[],COLUMN(AI$1)-COLUMN($A$1),FALSE)=0, VLOOKUP($D196, regions_lb[], COLUMN(AI$1)-COLUMN($A$1), FALSE), VLOOKUP($A196,raw_lb[],COLUMN(AI$1)-COLUMN($A$1),FALSE))</f>
        <v>7.214393973838521E-4</v>
      </c>
      <c r="AI196" s="72">
        <f>IF(VLOOKUP($A196,raw_lb[],COLUMN(AJ$1)-COLUMN($A$1),FALSE)=0, VLOOKUP($D196, regions_lb[], COLUMN(AJ$1)-COLUMN($A$1), FALSE), VLOOKUP($A196,raw_lb[],COLUMN(AJ$1)-COLUMN($A$1),FALSE))</f>
        <v>5.621962463052396E-4</v>
      </c>
      <c r="AJ196" s="72">
        <f>IF(VLOOKUP($A196,raw_lb[],COLUMN(AK$1)-COLUMN($A$1),FALSE)=0, VLOOKUP($D196, regions_lb[], COLUMN(AK$1)-COLUMN($A$1), FALSE), VLOOKUP($A196,raw_lb[],COLUMN(AK$1)-COLUMN($A$1),FALSE))</f>
        <v>6.1280662403239263E-4</v>
      </c>
      <c r="AK196" s="72">
        <f>IF(VLOOKUP($A196,raw_lb[],COLUMN(AL$1)-COLUMN($A$1),FALSE)=0, VLOOKUP($D196, regions_lb[], COLUMN(AL$1)-COLUMN($A$1), FALSE), VLOOKUP($A196,raw_lb[],COLUMN(AL$1)-COLUMN($A$1),FALSE))</f>
        <v>6.7054005210020952E-4</v>
      </c>
      <c r="AL196" s="72">
        <f>IF(VLOOKUP($A196,raw_lb[],COLUMN(AM$1)-COLUMN($A$1),FALSE)=0, VLOOKUP($D196, regions_lb[], COLUMN(AM$1)-COLUMN($A$1), FALSE), VLOOKUP($A196,raw_lb[],COLUMN(AM$1)-COLUMN($A$1),FALSE))</f>
        <v>9.8768836594111771E-4</v>
      </c>
      <c r="AM196" s="72">
        <f>IF(VLOOKUP($A196,raw_lb[],COLUMN(AN$1)-COLUMN($A$1),FALSE)=0, VLOOKUP($D196, regions_lb[], COLUMN(AN$1)-COLUMN($A$1), FALSE), VLOOKUP($A196,raw_lb[],COLUMN(AN$1)-COLUMN($A$1),FALSE))</f>
        <v>1.6527202149349742E-3</v>
      </c>
      <c r="AN196" s="72">
        <f>IF(VLOOKUP($A196,raw_lb[],COLUMN(AO$1)-COLUMN($A$1),FALSE)=0, VLOOKUP($D196, regions_lb[], COLUMN(AO$1)-COLUMN($A$1), FALSE), VLOOKUP($A196,raw_lb[],COLUMN(AO$1)-COLUMN($A$1),FALSE))</f>
        <v>3.0771693047141166E-3</v>
      </c>
      <c r="AO196" s="72">
        <f>IF(VLOOKUP($A196,raw_lb[],COLUMN(AP$1)-COLUMN($A$1),FALSE)=0, VLOOKUP($D196, regions_lb[], COLUMN(AP$1)-COLUMN($A$1), FALSE), VLOOKUP($A196,raw_lb[],COLUMN(AP$1)-COLUMN($A$1),FALSE))</f>
        <v>4.5583518045280401E-3</v>
      </c>
      <c r="AP196" s="72">
        <f>IF(VLOOKUP($A196,raw_lb[],COLUMN(AQ$1)-COLUMN($A$1),FALSE)=0, VLOOKUP($D196, regions_lb[], COLUMN(AQ$1)-COLUMN($A$1), FALSE), VLOOKUP($A196,raw_lb[],COLUMN(AQ$1)-COLUMN($A$1),FALSE))</f>
        <v>8.4264868272173245E-3</v>
      </c>
      <c r="AQ196" s="72">
        <f>IF(VLOOKUP($A196,raw_lb[],COLUMN(AR$1)-COLUMN($A$1),FALSE)=0, VLOOKUP($D196, regions_lb[], COLUMN(AR$1)-COLUMN($A$1), FALSE), VLOOKUP($A196,raw_lb[],COLUMN(AR$1)-COLUMN($A$1),FALSE))</f>
        <v>1.5354750145581632E-2</v>
      </c>
      <c r="AR196" s="72">
        <f>IF(VLOOKUP($A196,raw_lb[],COLUMN(AS$1)-COLUMN($A$1),FALSE)=0, VLOOKUP($D196, regions_lb[], COLUMN(AS$1)-COLUMN($A$1), FALSE), VLOOKUP($A196,raw_lb[],COLUMN(AS$1)-COLUMN($A$1),FALSE))</f>
        <v>3.0609009598516587E-2</v>
      </c>
      <c r="AS196" s="82">
        <f>IF(VLOOKUP($A196,raw_lb[],COLUMN(AS$1),FALSE)=0, VLOOKUP($D196, regions_lb[], COLUMN(AS$1), FALSE), VLOOKUP($A196,raw_lb[],COLUMN(AS$1),FALSE))</f>
        <v>6.0827125542031693E-2</v>
      </c>
      <c r="AT196" s="82">
        <f>IF(VLOOKUP($A196,raw_lb[],COLUMN(AT$1),FALSE)=0, VLOOKUP($D196, regions_lb[], COLUMN(AT$1), FALSE), VLOOKUP($A196,raw_lb[],COLUMN(AT$1),FALSE))</f>
        <v>8.7543564897937881E-2</v>
      </c>
      <c r="AU196" s="82">
        <f>IF(VLOOKUP($A196,raw_lb[],COLUMN(AU$1),FALSE)=0, VLOOKUP($D196, regions_lb[], COLUMN(AU$1), FALSE), VLOOKUP($A196,raw_lb[],COLUMN(AU$1),FALSE))</f>
        <v>0.11934822028144469</v>
      </c>
      <c r="AV196" s="82">
        <f>IF(VLOOKUP($A196,raw_lb[],COLUMN(AV$1),FALSE)=0, VLOOKUP($D196, regions_lb[], COLUMN(AV$1), FALSE), VLOOKUP($A196,raw_lb[],COLUMN(AV$1),FALSE))</f>
        <v>0.14981808619032058</v>
      </c>
      <c r="AW196" s="82">
        <f>IF(VLOOKUP($A196,raw_lb[],COLUMN(AW$1),FALSE)=0, VLOOKUP($D196, regions_lb[], COLUMN(AW$1), FALSE), VLOOKUP($A196,raw_lb[],COLUMN(AW$1),FALSE))</f>
        <v>0.16987327049633713</v>
      </c>
      <c r="AX196" s="82">
        <f>IF(VLOOKUP($A196,raw_lb[],COLUMN(AX$1),FALSE)=0, VLOOKUP($D196, regions_lb[], COLUMN(AX$1), FALSE), VLOOKUP($A196,raw_lb[],COLUMN(AX$1),FALSE))</f>
        <v>72.528700000000001</v>
      </c>
      <c r="AY196" t="str">
        <f t="shared" si="6"/>
        <v>No</v>
      </c>
    </row>
    <row r="197" spans="1:51" x14ac:dyDescent="0.25">
      <c r="A197" s="55" t="s">
        <v>338</v>
      </c>
      <c r="B197" s="56" t="s">
        <v>339</v>
      </c>
      <c r="C197" s="56">
        <v>368</v>
      </c>
      <c r="D197" s="56" t="s">
        <v>196</v>
      </c>
      <c r="E197" s="56" t="s">
        <v>197</v>
      </c>
      <c r="F197" s="56" t="s">
        <v>197</v>
      </c>
      <c r="G197" s="56" t="s">
        <v>204</v>
      </c>
      <c r="H197" s="74"/>
      <c r="I197" s="74"/>
      <c r="J197" s="67">
        <f>IF(VLOOKUP($A197,raw_lb[],COLUMN(J$1),FALSE)=0, VLOOKUP($D197, regions_lb[], COLUMN(J$1), FALSE), VLOOKUP($A197,raw_lb[],COLUMN(J$1),FALSE))</f>
        <v>0.82269999999999999</v>
      </c>
      <c r="K197" s="77">
        <f>VLOOKUP($A197, raw_lb[], 11, FALSE)</f>
        <v>0.44649999999999995</v>
      </c>
      <c r="L197" s="77">
        <f>VLOOKUP($A197, raw_lb[], 12, FALSE)</f>
        <v>0.70299999999999996</v>
      </c>
      <c r="M197" s="77">
        <f>IF(VLOOKUP($A197,raw_lb[],COLUMN(M$1),FALSE)=0, VLOOKUP($D197, regions_lb[], COLUMN(M$1), FALSE), VLOOKUP($A197,raw_lb[],COLUMN(M$1),FALSE))</f>
        <v>7.3000000000000001E-3</v>
      </c>
      <c r="N197" s="68">
        <f>IF(VLOOKUP($A197,raw_lb[],COLUMN(N$1),FALSE)=0, VLOOKUP($D197, regions_lb[], COLUMN(N$1), FALSE), VLOOKUP($A197,raw_lb[],COLUMN(N$1),FALSE))</f>
        <v>0.14980000000000002</v>
      </c>
      <c r="O197" s="67">
        <f>IF(VLOOKUP($A197,raw_lb[],COLUMN(O$1),FALSE)=0, VLOOKUP($D197, regions_lb[], COLUMN(O$1), FALSE), VLOOKUP($A197,raw_lb[],COLUMN(O$1),FALSE))</f>
        <v>0.7</v>
      </c>
      <c r="P197" s="68">
        <f>IF(VLOOKUP($A197,raw_lb[],COLUMN(P$1),FALSE)=0, VLOOKUP($D197, regions_lb[], COLUMN(P$1), FALSE), VLOOKUP($A197,raw_lb[],COLUMN(P$1),FALSE))</f>
        <v>0.05</v>
      </c>
      <c r="Q197" s="70">
        <f>IF(VLOOKUP($A197,raw_lb[],COLUMN(Q$1),FALSE)=0, VLOOKUP($D197, regions_lb[], COLUMN(Q$1), FALSE), VLOOKUP($A197,raw_lb[],COLUMN(Q$1),FALSE))</f>
        <v>0.94254703389830508</v>
      </c>
      <c r="R197" s="70">
        <f>IF(VLOOKUP($A197,raw_lb[],COLUMN(R$1),FALSE)=0, VLOOKUP($D197, regions_lb[], COLUMN(R$1), FALSE), VLOOKUP($A197,raw_lb[],COLUMN(R$1),FALSE))</f>
        <v>8.0034470338983059</v>
      </c>
      <c r="S197" s="70">
        <f>IF(VLOOKUP($A197,raw_lb[],COLUMN(S$1),FALSE)=0, VLOOKUP($D197, regions_lb[], COLUMN(S$1), FALSE), VLOOKUP($A197,raw_lb[],COLUMN(S$1),FALSE))</f>
        <v>39.444851549727119</v>
      </c>
      <c r="T197" s="70">
        <f>IF(VLOOKUP($A197,raw_lb[],COLUMN(U$1)-COLUMN($A$1),FALSE)=0, VLOOKUP($D197, regions_lb[], COLUMN(U$1)-COLUMN($A$1), FALSE), VLOOKUP($A197,raw_lb[],COLUMN(U$1)-COLUMN($A$1),FALSE))</f>
        <v>40.601014959579203</v>
      </c>
      <c r="U197" s="70">
        <f>IF(VLOOKUP($A197,raw_lb[],COLUMN(V$1)-COLUMN($A$1),FALSE)=0, VLOOKUP($D197, regions_lb[], COLUMN(V$1)-COLUMN($A$1), FALSE), VLOOKUP($A197,raw_lb[],COLUMN(V$1)-COLUMN($A$1),FALSE))</f>
        <v>40.070129159956302</v>
      </c>
      <c r="V197" s="70">
        <f>IF(VLOOKUP($A197,raw_lb[],COLUMN(W$1)-COLUMN($A$1),FALSE)=0, VLOOKUP($D197, regions_lb[], COLUMN(W$1)-COLUMN($A$1), FALSE), VLOOKUP($A197,raw_lb[],COLUMN(W$1)-COLUMN($A$1),FALSE))</f>
        <v>1.3256998736770562</v>
      </c>
      <c r="W197" s="70">
        <f>IF(VLOOKUP($A197,raw_lb[],COLUMN(X$1)-COLUMN($A$1),FALSE)=0, VLOOKUP($D197, regions_lb[], COLUMN(X$1)-COLUMN($A$1), FALSE), VLOOKUP($A197,raw_lb[],COLUMN(X$1)-COLUMN($A$1),FALSE))</f>
        <v>1.7816998736770562</v>
      </c>
      <c r="X197" s="70">
        <f>IF(VLOOKUP($A197,raw_lb[],COLUMN(Y$1)-COLUMN($A$1),FALSE)=0, VLOOKUP($D197, regions_lb[], COLUMN(Y$1)-COLUMN($A$1), FALSE), VLOOKUP($A197,raw_lb[],COLUMN(Y$1)-COLUMN($A$1),FALSE))</f>
        <v>0.85254107601918327</v>
      </c>
      <c r="Y197" s="70">
        <f>IF(VLOOKUP($A197,raw_lb[],COLUMN(Z$1)-COLUMN($A$1),FALSE)=0, VLOOKUP($D197, regions_lb[], COLUMN(Z$1)-COLUMN($A$1), FALSE), VLOOKUP($A197,raw_lb[],COLUMN(Z$1)-COLUMN($A$1),FALSE))</f>
        <v>1.3085410760191833</v>
      </c>
      <c r="Z197" s="70">
        <f>IF(VLOOKUP($A197,raw_lb[],COLUMN(AA$1)-COLUMN($A$1),FALSE)=0, VLOOKUP($D197, regions_lb[], COLUMN(AA$1)-COLUMN($A$1), FALSE), VLOOKUP($A197,raw_lb[],COLUMN(AA$1)-COLUMN($A$1),FALSE))</f>
        <v>1.3052506588096362</v>
      </c>
      <c r="AA197" s="70">
        <f>IF(VLOOKUP($A197,raw_lb[],COLUMN(AB$1)-COLUMN($A$1),FALSE)=0, VLOOKUP($D197, regions_lb[], COLUMN(AB$1)-COLUMN($A$1), FALSE), VLOOKUP($A197,raw_lb[],COLUMN(AB$1)-COLUMN($A$1),FALSE))</f>
        <v>1.4765537667673811</v>
      </c>
      <c r="AB197" s="70">
        <f>IF(VLOOKUP($A197,raw_lb[],COLUMN(AC$1)-COLUMN($A$1),FALSE)=0, VLOOKUP($D197, regions_lb[], COLUMN(AC$1)-COLUMN($A$1), FALSE), VLOOKUP($A197,raw_lb[],COLUMN(AC$1)-COLUMN($A$1),FALSE))</f>
        <v>1.9325537667673811</v>
      </c>
      <c r="AC197" s="72">
        <f>IF(VLOOKUP($A197,raw_lb[],COLUMN(AD$1)-COLUMN($A$1),FALSE)=0, VLOOKUP($D197, regions_lb[], COLUMN(AD$1)-COLUMN($A$1), FALSE), VLOOKUP($A197,raw_lb[],COLUMN(AD$1)-COLUMN($A$1),FALSE))</f>
        <v>2.2905260000000018E-2</v>
      </c>
      <c r="AD197" s="72">
        <f>IF(VLOOKUP($A197,raw_lb[],COLUMN(AE$1)-COLUMN($A$1),FALSE)=0, VLOOKUP($D197, regions_lb[], COLUMN(AE$1)-COLUMN($A$1), FALSE), VLOOKUP($A197,raw_lb[],COLUMN(AE$1)-COLUMN($A$1),FALSE))</f>
        <v>1.0259826371682476E-3</v>
      </c>
      <c r="AE197" s="72">
        <f>IF(VLOOKUP($A197,raw_lb[],COLUMN(AF$1)-COLUMN($A$1),FALSE)=0, VLOOKUP($D197, regions_lb[], COLUMN(AF$1)-COLUMN($A$1), FALSE), VLOOKUP($A197,raw_lb[],COLUMN(AF$1)-COLUMN($A$1),FALSE))</f>
        <v>6.4430474341568335E-4</v>
      </c>
      <c r="AF197" s="72">
        <f>IF(VLOOKUP($A197,raw_lb[],COLUMN(AG$1)-COLUMN($A$1),FALSE)=0, VLOOKUP($D197, regions_lb[], COLUMN(AG$1)-COLUMN($A$1), FALSE), VLOOKUP($A197,raw_lb[],COLUMN(AG$1)-COLUMN($A$1),FALSE))</f>
        <v>5.3729956660226357E-4</v>
      </c>
      <c r="AG197" s="72">
        <f>IF(VLOOKUP($A197,raw_lb[],COLUMN(AH$1)-COLUMN($A$1),FALSE)=0, VLOOKUP($D197, regions_lb[], COLUMN(AH$1)-COLUMN($A$1), FALSE), VLOOKUP($A197,raw_lb[],COLUMN(AH$1)-COLUMN($A$1),FALSE))</f>
        <v>9.5039358044780929E-4</v>
      </c>
      <c r="AH197" s="72">
        <f>IF(VLOOKUP($A197,raw_lb[],COLUMN(AI$1)-COLUMN($A$1),FALSE)=0, VLOOKUP($D197, regions_lb[], COLUMN(AI$1)-COLUMN($A$1), FALSE), VLOOKUP($A197,raw_lb[],COLUMN(AI$1)-COLUMN($A$1),FALSE))</f>
        <v>1.3443688653697427E-3</v>
      </c>
      <c r="AI197" s="72">
        <f>IF(VLOOKUP($A197,raw_lb[],COLUMN(AJ$1)-COLUMN($A$1),FALSE)=0, VLOOKUP($D197, regions_lb[], COLUMN(AJ$1)-COLUMN($A$1), FALSE), VLOOKUP($A197,raw_lb[],COLUMN(AJ$1)-COLUMN($A$1),FALSE))</f>
        <v>1.447997776043364E-3</v>
      </c>
      <c r="AJ197" s="72">
        <f>IF(VLOOKUP($A197,raw_lb[],COLUMN(AK$1)-COLUMN($A$1),FALSE)=0, VLOOKUP($D197, regions_lb[], COLUMN(AK$1)-COLUMN($A$1), FALSE), VLOOKUP($A197,raw_lb[],COLUMN(AK$1)-COLUMN($A$1),FALSE))</f>
        <v>1.6605167084530117E-3</v>
      </c>
      <c r="AK197" s="72">
        <f>IF(VLOOKUP($A197,raw_lb[],COLUMN(AL$1)-COLUMN($A$1),FALSE)=0, VLOOKUP($D197, regions_lb[], COLUMN(AL$1)-COLUMN($A$1), FALSE), VLOOKUP($A197,raw_lb[],COLUMN(AL$1)-COLUMN($A$1),FALSE))</f>
        <v>2.093552275560108E-3</v>
      </c>
      <c r="AL197" s="72">
        <f>IF(VLOOKUP($A197,raw_lb[],COLUMN(AM$1)-COLUMN($A$1),FALSE)=0, VLOOKUP($D197, regions_lb[], COLUMN(AM$1)-COLUMN($A$1), FALSE), VLOOKUP($A197,raw_lb[],COLUMN(AM$1)-COLUMN($A$1),FALSE))</f>
        <v>2.9362824599895128E-3</v>
      </c>
      <c r="AM197" s="72">
        <f>IF(VLOOKUP($A197,raw_lb[],COLUMN(AN$1)-COLUMN($A$1),FALSE)=0, VLOOKUP($D197, regions_lb[], COLUMN(AN$1)-COLUMN($A$1), FALSE), VLOOKUP($A197,raw_lb[],COLUMN(AN$1)-COLUMN($A$1),FALSE))</f>
        <v>4.4577551096119435E-3</v>
      </c>
      <c r="AN197" s="72">
        <f>IF(VLOOKUP($A197,raw_lb[],COLUMN(AO$1)-COLUMN($A$1),FALSE)=0, VLOOKUP($D197, regions_lb[], COLUMN(AO$1)-COLUMN($A$1), FALSE), VLOOKUP($A197,raw_lb[],COLUMN(AO$1)-COLUMN($A$1),FALSE))</f>
        <v>6.8064963537309963E-3</v>
      </c>
      <c r="AO197" s="72">
        <f>IF(VLOOKUP($A197,raw_lb[],COLUMN(AP$1)-COLUMN($A$1),FALSE)=0, VLOOKUP($D197, regions_lb[], COLUMN(AP$1)-COLUMN($A$1), FALSE), VLOOKUP($A197,raw_lb[],COLUMN(AP$1)-COLUMN($A$1),FALSE))</f>
        <v>1.0522699576347159E-2</v>
      </c>
      <c r="AP197" s="72">
        <f>IF(VLOOKUP($A197,raw_lb[],COLUMN(AQ$1)-COLUMN($A$1),FALSE)=0, VLOOKUP($D197, regions_lb[], COLUMN(AQ$1)-COLUMN($A$1), FALSE), VLOOKUP($A197,raw_lb[],COLUMN(AQ$1)-COLUMN($A$1),FALSE))</f>
        <v>1.6354675115820911E-2</v>
      </c>
      <c r="AQ197" s="72">
        <f>IF(VLOOKUP($A197,raw_lb[],COLUMN(AR$1)-COLUMN($A$1),FALSE)=0, VLOOKUP($D197, regions_lb[], COLUMN(AR$1)-COLUMN($A$1), FALSE), VLOOKUP($A197,raw_lb[],COLUMN(AR$1)-COLUMN($A$1),FALSE))</f>
        <v>2.5879192606524045E-2</v>
      </c>
      <c r="AR197" s="72">
        <f>IF(VLOOKUP($A197,raw_lb[],COLUMN(AS$1)-COLUMN($A$1),FALSE)=0, VLOOKUP($D197, regions_lb[], COLUMN(AS$1)-COLUMN($A$1), FALSE), VLOOKUP($A197,raw_lb[],COLUMN(AS$1)-COLUMN($A$1),FALSE))</f>
        <v>4.090602584247327E-2</v>
      </c>
      <c r="AS197" s="82">
        <f>IF(VLOOKUP($A197,raw_lb[],COLUMN(AS$1),FALSE)=0, VLOOKUP($D197, regions_lb[], COLUMN(AS$1), FALSE), VLOOKUP($A197,raw_lb[],COLUMN(AS$1),FALSE))</f>
        <v>6.2645623398801045E-2</v>
      </c>
      <c r="AT197" s="82">
        <f>IF(VLOOKUP($A197,raw_lb[],COLUMN(AT$1),FALSE)=0, VLOOKUP($D197, regions_lb[], COLUMN(AT$1), FALSE), VLOOKUP($A197,raw_lb[],COLUMN(AT$1),FALSE))</f>
        <v>9.2313976051498783E-2</v>
      </c>
      <c r="AU197" s="82">
        <f>IF(VLOOKUP($A197,raw_lb[],COLUMN(AU$1),FALSE)=0, VLOOKUP($D197, regions_lb[], COLUMN(AU$1), FALSE), VLOOKUP($A197,raw_lb[],COLUMN(AU$1),FALSE))</f>
        <v>0.12425329947591431</v>
      </c>
      <c r="AV197" s="82">
        <f>IF(VLOOKUP($A197,raw_lb[],COLUMN(AV$1),FALSE)=0, VLOOKUP($D197, regions_lb[], COLUMN(AV$1), FALSE), VLOOKUP($A197,raw_lb[],COLUMN(AV$1),FALSE))</f>
        <v>0.15175772633462509</v>
      </c>
      <c r="AW197" s="82">
        <f>IF(VLOOKUP($A197,raw_lb[],COLUMN(AW$1),FALSE)=0, VLOOKUP($D197, regions_lb[], COLUMN(AW$1), FALSE), VLOOKUP($A197,raw_lb[],COLUMN(AW$1),FALSE))</f>
        <v>0.16895628959385356</v>
      </c>
      <c r="AX197" s="82">
        <f>IF(VLOOKUP($A197,raw_lb[],COLUMN(AX$1),FALSE)=0, VLOOKUP($D197, regions_lb[], COLUMN(AX$1), FALSE), VLOOKUP($A197,raw_lb[],COLUMN(AX$1),FALSE))</f>
        <v>66.849599999999995</v>
      </c>
      <c r="AY197" t="str">
        <f t="shared" si="6"/>
        <v>No</v>
      </c>
    </row>
    <row r="198" spans="1:51" x14ac:dyDescent="0.25">
      <c r="A198" s="53" t="s">
        <v>340</v>
      </c>
      <c r="B198" s="54" t="s">
        <v>341</v>
      </c>
      <c r="C198" s="54">
        <v>388</v>
      </c>
      <c r="D198" s="54" t="s">
        <v>215</v>
      </c>
      <c r="E198" s="54" t="s">
        <v>232</v>
      </c>
      <c r="F198" s="54" t="s">
        <v>217</v>
      </c>
      <c r="G198" s="54" t="s">
        <v>204</v>
      </c>
      <c r="H198" s="73"/>
      <c r="I198" s="73"/>
      <c r="J198" s="67">
        <f>IF(VLOOKUP($A198,raw_lb[],COLUMN(J$1),FALSE)=0, VLOOKUP($D198, regions_lb[], COLUMN(J$1), FALSE), VLOOKUP($A198,raw_lb[],COLUMN(J$1),FALSE))</f>
        <v>0.93669999999999998</v>
      </c>
      <c r="K198" s="77">
        <f>VLOOKUP($A198, raw_lb[], 11, FALSE)</f>
        <v>0</v>
      </c>
      <c r="L198" s="77">
        <f>VLOOKUP($A198, raw_lb[], 12, FALSE)</f>
        <v>0.90249999999999997</v>
      </c>
      <c r="M198" s="77">
        <f>IF(VLOOKUP($A198,raw_lb[],COLUMN(M$1),FALSE)=0, VLOOKUP($D198, regions_lb[], COLUMN(M$1), FALSE), VLOOKUP($A198,raw_lb[],COLUMN(M$1),FALSE))</f>
        <v>2.0499999999999997E-2</v>
      </c>
      <c r="N198" s="68">
        <f>IF(VLOOKUP($A198,raw_lb[],COLUMN(N$1),FALSE)=0, VLOOKUP($D198, regions_lb[], COLUMN(N$1), FALSE), VLOOKUP($A198,raw_lb[],COLUMN(N$1),FALSE))</f>
        <v>0.16309999999999999</v>
      </c>
      <c r="O198" s="67">
        <f>IF(VLOOKUP($A198,raw_lb[],COLUMN(O$1),FALSE)=0, VLOOKUP($D198, regions_lb[], COLUMN(O$1), FALSE), VLOOKUP($A198,raw_lb[],COLUMN(O$1),FALSE))</f>
        <v>0.7</v>
      </c>
      <c r="P198" s="68">
        <f>IF(VLOOKUP($A198,raw_lb[],COLUMN(P$1),FALSE)=0, VLOOKUP($D198, regions_lb[], COLUMN(P$1), FALSE), VLOOKUP($A198,raw_lb[],COLUMN(P$1),FALSE))</f>
        <v>0.05</v>
      </c>
      <c r="Q198" s="70">
        <f>IF(VLOOKUP($A198,raw_lb[],COLUMN(Q$1),FALSE)=0, VLOOKUP($D198, regions_lb[], COLUMN(Q$1), FALSE), VLOOKUP($A198,raw_lb[],COLUMN(Q$1),FALSE))</f>
        <v>1.8568393348219501</v>
      </c>
      <c r="R198" s="70">
        <f>IF(VLOOKUP($A198,raw_lb[],COLUMN(R$1),FALSE)=0, VLOOKUP($D198, regions_lb[], COLUMN(R$1), FALSE), VLOOKUP($A198,raw_lb[],COLUMN(R$1),FALSE))</f>
        <v>8.9177393348219507</v>
      </c>
      <c r="S198" s="70">
        <f>IF(VLOOKUP($A198,raw_lb[],COLUMN(S$1),FALSE)=0, VLOOKUP($D198, regions_lb[], COLUMN(S$1), FALSE), VLOOKUP($A198,raw_lb[],COLUMN(S$1),FALSE))</f>
        <v>46.751982513351393</v>
      </c>
      <c r="T198" s="70">
        <f>IF(VLOOKUP($A198,raw_lb[],COLUMN(U$1)-COLUMN($A$1),FALSE)=0, VLOOKUP($D198, regions_lb[], COLUMN(U$1)-COLUMN($A$1), FALSE), VLOOKUP($A198,raw_lb[],COLUMN(U$1)-COLUMN($A$1),FALSE))</f>
        <v>51.23539501009229</v>
      </c>
      <c r="U198" s="70">
        <f>IF(VLOOKUP($A198,raw_lb[],COLUMN(V$1)-COLUMN($A$1),FALSE)=0, VLOOKUP($D198, regions_lb[], COLUMN(V$1)-COLUMN($A$1), FALSE), VLOOKUP($A198,raw_lb[],COLUMN(V$1)-COLUMN($A$1),FALSE))</f>
        <v>49.176706758856156</v>
      </c>
      <c r="V198" s="70">
        <f>IF(VLOOKUP($A198,raw_lb[],COLUMN(W$1)-COLUMN($A$1),FALSE)=0, VLOOKUP($D198, regions_lb[], COLUMN(W$1)-COLUMN($A$1), FALSE), VLOOKUP($A198,raw_lb[],COLUMN(W$1)-COLUMN($A$1),FALSE))</f>
        <v>3.3689762440786435</v>
      </c>
      <c r="W198" s="70">
        <f>IF(VLOOKUP($A198,raw_lb[],COLUMN(X$1)-COLUMN($A$1),FALSE)=0, VLOOKUP($D198, regions_lb[], COLUMN(X$1)-COLUMN($A$1), FALSE), VLOOKUP($A198,raw_lb[],COLUMN(X$1)-COLUMN($A$1),FALSE))</f>
        <v>3.3879762440786436</v>
      </c>
      <c r="X198" s="70">
        <f>IF(VLOOKUP($A198,raw_lb[],COLUMN(Y$1)-COLUMN($A$1),FALSE)=0, VLOOKUP($D198, regions_lb[], COLUMN(Y$1)-COLUMN($A$1), FALSE), VLOOKUP($A198,raw_lb[],COLUMN(Y$1)-COLUMN($A$1),FALSE))</f>
        <v>2.8947104703730582</v>
      </c>
      <c r="Y198" s="70">
        <f>IF(VLOOKUP($A198,raw_lb[],COLUMN(Z$1)-COLUMN($A$1),FALSE)=0, VLOOKUP($D198, regions_lb[], COLUMN(Z$1)-COLUMN($A$1), FALSE), VLOOKUP($A198,raw_lb[],COLUMN(Z$1)-COLUMN($A$1),FALSE))</f>
        <v>2.9137104703730583</v>
      </c>
      <c r="Z198" s="70">
        <f>IF(VLOOKUP($A198,raw_lb[],COLUMN(AA$1)-COLUMN($A$1),FALSE)=0, VLOOKUP($D198, regions_lb[], COLUMN(AA$1)-COLUMN($A$1), FALSE), VLOOKUP($A198,raw_lb[],COLUMN(AA$1)-COLUMN($A$1),FALSE))</f>
        <v>2.9093589269404996</v>
      </c>
      <c r="AA198" s="70">
        <f>IF(VLOOKUP($A198,raw_lb[],COLUMN(AB$1)-COLUMN($A$1),FALSE)=0, VLOOKUP($D198, regions_lb[], COLUMN(AB$1)-COLUMN($A$1), FALSE), VLOOKUP($A198,raw_lb[],COLUMN(AB$1)-COLUMN($A$1),FALSE))</f>
        <v>3.5232459489733379</v>
      </c>
      <c r="AB198" s="70">
        <f>IF(VLOOKUP($A198,raw_lb[],COLUMN(AC$1)-COLUMN($A$1),FALSE)=0, VLOOKUP($D198, regions_lb[], COLUMN(AC$1)-COLUMN($A$1), FALSE), VLOOKUP($A198,raw_lb[],COLUMN(AC$1)-COLUMN($A$1),FALSE))</f>
        <v>3.542245948973338</v>
      </c>
      <c r="AC198" s="72">
        <f>IF(VLOOKUP($A198,raw_lb[],COLUMN(AD$1)-COLUMN($A$1),FALSE)=0, VLOOKUP($D198, regions_lb[], COLUMN(AD$1)-COLUMN($A$1), FALSE), VLOOKUP($A198,raw_lb[],COLUMN(AD$1)-COLUMN($A$1),FALSE))</f>
        <v>1.1183960500000052E-2</v>
      </c>
      <c r="AD198" s="72">
        <f>IF(VLOOKUP($A198,raw_lb[],COLUMN(AE$1)-COLUMN($A$1),FALSE)=0, VLOOKUP($D198, regions_lb[], COLUMN(AE$1)-COLUMN($A$1), FALSE), VLOOKUP($A198,raw_lb[],COLUMN(AE$1)-COLUMN($A$1),FALSE))</f>
        <v>7.6759976228545936E-4</v>
      </c>
      <c r="AE198" s="72">
        <f>IF(VLOOKUP($A198,raw_lb[],COLUMN(AF$1)-COLUMN($A$1),FALSE)=0, VLOOKUP($D198, regions_lb[], COLUMN(AF$1)-COLUMN($A$1), FALSE), VLOOKUP($A198,raw_lb[],COLUMN(AF$1)-COLUMN($A$1),FALSE))</f>
        <v>3.2595369907537525E-4</v>
      </c>
      <c r="AF198" s="72">
        <f>IF(VLOOKUP($A198,raw_lb[],COLUMN(AG$1)-COLUMN($A$1),FALSE)=0, VLOOKUP($D198, regions_lb[], COLUMN(AG$1)-COLUMN($A$1), FALSE), VLOOKUP($A198,raw_lb[],COLUMN(AG$1)-COLUMN($A$1),FALSE))</f>
        <v>3.1079553790552291E-4</v>
      </c>
      <c r="AG198" s="72">
        <f>IF(VLOOKUP($A198,raw_lb[],COLUMN(AH$1)-COLUMN($A$1),FALSE)=0, VLOOKUP($D198, regions_lb[], COLUMN(AH$1)-COLUMN($A$1), FALSE), VLOOKUP($A198,raw_lb[],COLUMN(AH$1)-COLUMN($A$1),FALSE))</f>
        <v>7.4947745321963068E-4</v>
      </c>
      <c r="AH198" s="72">
        <f>IF(VLOOKUP($A198,raw_lb[],COLUMN(AI$1)-COLUMN($A$1),FALSE)=0, VLOOKUP($D198, regions_lb[], COLUMN(AI$1)-COLUMN($A$1), FALSE), VLOOKUP($A198,raw_lb[],COLUMN(AI$1)-COLUMN($A$1),FALSE))</f>
        <v>1.0241507369389818E-3</v>
      </c>
      <c r="AI198" s="72">
        <f>IF(VLOOKUP($A198,raw_lb[],COLUMN(AJ$1)-COLUMN($A$1),FALSE)=0, VLOOKUP($D198, regions_lb[], COLUMN(AJ$1)-COLUMN($A$1), FALSE), VLOOKUP($A198,raw_lb[],COLUMN(AJ$1)-COLUMN($A$1),FALSE))</f>
        <v>1.0906282180774961E-3</v>
      </c>
      <c r="AJ198" s="72">
        <f>IF(VLOOKUP($A198,raw_lb[],COLUMN(AK$1)-COLUMN($A$1),FALSE)=0, VLOOKUP($D198, regions_lb[], COLUMN(AK$1)-COLUMN($A$1), FALSE), VLOOKUP($A198,raw_lb[],COLUMN(AK$1)-COLUMN($A$1),FALSE))</f>
        <v>1.3050033032793356E-3</v>
      </c>
      <c r="AK198" s="72">
        <f>IF(VLOOKUP($A198,raw_lb[],COLUMN(AL$1)-COLUMN($A$1),FALSE)=0, VLOOKUP($D198, regions_lb[], COLUMN(AL$1)-COLUMN($A$1), FALSE), VLOOKUP($A198,raw_lb[],COLUMN(AL$1)-COLUMN($A$1),FALSE))</f>
        <v>1.7658877039598052E-3</v>
      </c>
      <c r="AL198" s="72">
        <f>IF(VLOOKUP($A198,raw_lb[],COLUMN(AM$1)-COLUMN($A$1),FALSE)=0, VLOOKUP($D198, regions_lb[], COLUMN(AM$1)-COLUMN($A$1), FALSE), VLOOKUP($A198,raw_lb[],COLUMN(AM$1)-COLUMN($A$1),FALSE))</f>
        <v>2.5816257823881653E-3</v>
      </c>
      <c r="AM198" s="72">
        <f>IF(VLOOKUP($A198,raw_lb[],COLUMN(AN$1)-COLUMN($A$1),FALSE)=0, VLOOKUP($D198, regions_lb[], COLUMN(AN$1)-COLUMN($A$1), FALSE), VLOOKUP($A198,raw_lb[],COLUMN(AN$1)-COLUMN($A$1),FALSE))</f>
        <v>4.0059951195155988E-3</v>
      </c>
      <c r="AN198" s="72">
        <f>IF(VLOOKUP($A198,raw_lb[],COLUMN(AO$1)-COLUMN($A$1),FALSE)=0, VLOOKUP($D198, regions_lb[], COLUMN(AO$1)-COLUMN($A$1), FALSE), VLOOKUP($A198,raw_lb[],COLUMN(AO$1)-COLUMN($A$1),FALSE))</f>
        <v>6.240226828987604E-3</v>
      </c>
      <c r="AO198" s="72">
        <f>IF(VLOOKUP($A198,raw_lb[],COLUMN(AP$1)-COLUMN($A$1),FALSE)=0, VLOOKUP($D198, regions_lb[], COLUMN(AP$1)-COLUMN($A$1), FALSE), VLOOKUP($A198,raw_lb[],COLUMN(AP$1)-COLUMN($A$1),FALSE))</f>
        <v>9.6017170099614909E-3</v>
      </c>
      <c r="AP198" s="72">
        <f>IF(VLOOKUP($A198,raw_lb[],COLUMN(AQ$1)-COLUMN($A$1),FALSE)=0, VLOOKUP($D198, regions_lb[], COLUMN(AQ$1)-COLUMN($A$1), FALSE), VLOOKUP($A198,raw_lb[],COLUMN(AQ$1)-COLUMN($A$1),FALSE))</f>
        <v>1.3453134194440915E-2</v>
      </c>
      <c r="AQ198" s="72">
        <f>IF(VLOOKUP($A198,raw_lb[],COLUMN(AR$1)-COLUMN($A$1),FALSE)=0, VLOOKUP($D198, regions_lb[], COLUMN(AR$1)-COLUMN($A$1), FALSE), VLOOKUP($A198,raw_lb[],COLUMN(AR$1)-COLUMN($A$1),FALSE))</f>
        <v>1.9021432632921435E-2</v>
      </c>
      <c r="AR198" s="72">
        <f>IF(VLOOKUP($A198,raw_lb[],COLUMN(AS$1)-COLUMN($A$1),FALSE)=0, VLOOKUP($D198, regions_lb[], COLUMN(AS$1)-COLUMN($A$1), FALSE), VLOOKUP($A198,raw_lb[],COLUMN(AS$1)-COLUMN($A$1),FALSE))</f>
        <v>2.8732949503984993E-2</v>
      </c>
      <c r="AS198" s="82">
        <f>IF(VLOOKUP($A198,raw_lb[],COLUMN(AS$1),FALSE)=0, VLOOKUP($D198, regions_lb[], COLUMN(AS$1), FALSE), VLOOKUP($A198,raw_lb[],COLUMN(AS$1),FALSE))</f>
        <v>4.6159497716422138E-2</v>
      </c>
      <c r="AT198" s="82">
        <f>IF(VLOOKUP($A198,raw_lb[],COLUMN(AT$1),FALSE)=0, VLOOKUP($D198, regions_lb[], COLUMN(AT$1), FALSE), VLOOKUP($A198,raw_lb[],COLUMN(AT$1),FALSE))</f>
        <v>7.1131507106431027E-2</v>
      </c>
      <c r="AU198" s="82">
        <f>IF(VLOOKUP($A198,raw_lb[],COLUMN(AU$1),FALSE)=0, VLOOKUP($D198, regions_lb[], COLUMN(AU$1), FALSE), VLOOKUP($A198,raw_lb[],COLUMN(AU$1),FALSE))</f>
        <v>0.10228523906004958</v>
      </c>
      <c r="AV198" s="82">
        <f>IF(VLOOKUP($A198,raw_lb[],COLUMN(AV$1),FALSE)=0, VLOOKUP($D198, regions_lb[], COLUMN(AV$1), FALSE), VLOOKUP($A198,raw_lb[],COLUMN(AV$1),FALSE))</f>
        <v>0.1322878701624764</v>
      </c>
      <c r="AW198" s="82">
        <f>IF(VLOOKUP($A198,raw_lb[],COLUMN(AW$1),FALSE)=0, VLOOKUP($D198, regions_lb[], COLUMN(AW$1), FALSE), VLOOKUP($A198,raw_lb[],COLUMN(AW$1),FALSE))</f>
        <v>0.15578765576222733</v>
      </c>
      <c r="AX198" s="82">
        <f>IF(VLOOKUP($A198,raw_lb[],COLUMN(AX$1),FALSE)=0, VLOOKUP($D198, regions_lb[], COLUMN(AX$1), FALSE), VLOOKUP($A198,raw_lb[],COLUMN(AX$1),FALSE))</f>
        <v>70.615399999999994</v>
      </c>
      <c r="AY198" t="str">
        <f t="shared" si="6"/>
        <v>Yes</v>
      </c>
    </row>
    <row r="199" spans="1:51" x14ac:dyDescent="0.25">
      <c r="A199" s="55" t="s">
        <v>342</v>
      </c>
      <c r="B199" s="56" t="s">
        <v>343</v>
      </c>
      <c r="C199" s="56">
        <v>400</v>
      </c>
      <c r="D199" s="56" t="s">
        <v>196</v>
      </c>
      <c r="E199" s="56" t="s">
        <v>197</v>
      </c>
      <c r="F199" s="56" t="s">
        <v>197</v>
      </c>
      <c r="G199" s="56" t="s">
        <v>204</v>
      </c>
      <c r="H199" s="74"/>
      <c r="I199" s="74"/>
      <c r="J199" s="67">
        <f>IF(VLOOKUP($A199,raw_lb[],COLUMN(J$1),FALSE)=0, VLOOKUP($D199, regions_lb[], COLUMN(J$1), FALSE), VLOOKUP($A199,raw_lb[],COLUMN(J$1),FALSE))</f>
        <v>0.93194999999999995</v>
      </c>
      <c r="K199" s="77">
        <f>VLOOKUP($A199, raw_lb[], 11, FALSE)</f>
        <v>0</v>
      </c>
      <c r="L199" s="77">
        <f>VLOOKUP($A199, raw_lb[], 12, FALSE)</f>
        <v>0.73149999999999993</v>
      </c>
      <c r="M199" s="77">
        <f>IF(VLOOKUP($A199,raw_lb[],COLUMN(M$1),FALSE)=0, VLOOKUP($D199, regions_lb[], COLUMN(M$1), FALSE), VLOOKUP($A199,raw_lb[],COLUMN(M$1),FALSE))</f>
        <v>1.7600000000000001E-2</v>
      </c>
      <c r="N199" s="68">
        <f>IF(VLOOKUP($A199,raw_lb[],COLUMN(N$1),FALSE)=0, VLOOKUP($D199, regions_lb[], COLUMN(N$1), FALSE), VLOOKUP($A199,raw_lb[],COLUMN(N$1),FALSE))</f>
        <v>0.14980000000000002</v>
      </c>
      <c r="O199" s="67">
        <f>IF(VLOOKUP($A199,raw_lb[],COLUMN(O$1),FALSE)=0, VLOOKUP($D199, regions_lb[], COLUMN(O$1), FALSE), VLOOKUP($A199,raw_lb[],COLUMN(O$1),FALSE))</f>
        <v>0.7</v>
      </c>
      <c r="P199" s="68">
        <f>IF(VLOOKUP($A199,raw_lb[],COLUMN(P$1),FALSE)=0, VLOOKUP($D199, regions_lb[], COLUMN(P$1), FALSE), VLOOKUP($A199,raw_lb[],COLUMN(P$1),FALSE))</f>
        <v>0.05</v>
      </c>
      <c r="Q199" s="70">
        <f>IF(VLOOKUP($A199,raw_lb[],COLUMN(Q$1),FALSE)=0, VLOOKUP($D199, regions_lb[], COLUMN(Q$1), FALSE), VLOOKUP($A199,raw_lb[],COLUMN(Q$1),FALSE))</f>
        <v>1.3020815871657816</v>
      </c>
      <c r="R199" s="70">
        <f>IF(VLOOKUP($A199,raw_lb[],COLUMN(R$1),FALSE)=0, VLOOKUP($D199, regions_lb[], COLUMN(R$1), FALSE), VLOOKUP($A199,raw_lb[],COLUMN(R$1),FALSE))</f>
        <v>8.362981587165784</v>
      </c>
      <c r="S199" s="70">
        <f>IF(VLOOKUP($A199,raw_lb[],COLUMN(S$1),FALSE)=0, VLOOKUP($D199, regions_lb[], COLUMN(S$1), FALSE), VLOOKUP($A199,raw_lb[],COLUMN(S$1),FALSE))</f>
        <v>43.296947842982554</v>
      </c>
      <c r="T199" s="70">
        <f>IF(VLOOKUP($A199,raw_lb[],COLUMN(U$1)-COLUMN($A$1),FALSE)=0, VLOOKUP($D199, regions_lb[], COLUMN(U$1)-COLUMN($A$1), FALSE), VLOOKUP($A199,raw_lb[],COLUMN(U$1)-COLUMN($A$1),FALSE))</f>
        <v>46.258018491038726</v>
      </c>
      <c r="U199" s="70">
        <f>IF(VLOOKUP($A199,raw_lb[],COLUMN(V$1)-COLUMN($A$1),FALSE)=0, VLOOKUP($D199, regions_lb[], COLUMN(V$1)-COLUMN($A$1), FALSE), VLOOKUP($A199,raw_lb[],COLUMN(V$1)-COLUMN($A$1),FALSE))</f>
        <v>44.905306491715322</v>
      </c>
      <c r="V199" s="70">
        <f>IF(VLOOKUP($A199,raw_lb[],COLUMN(W$1)-COLUMN($A$1),FALSE)=0, VLOOKUP($D199, regions_lb[], COLUMN(W$1)-COLUMN($A$1), FALSE), VLOOKUP($A199,raw_lb[],COLUMN(W$1)-COLUMN($A$1),FALSE))</f>
        <v>2.3778764484452362</v>
      </c>
      <c r="W199" s="70">
        <f>IF(VLOOKUP($A199,raw_lb[],COLUMN(X$1)-COLUMN($A$1),FALSE)=0, VLOOKUP($D199, regions_lb[], COLUMN(X$1)-COLUMN($A$1), FALSE), VLOOKUP($A199,raw_lb[],COLUMN(X$1)-COLUMN($A$1),FALSE))</f>
        <v>2.8338764484452361</v>
      </c>
      <c r="X199" s="70">
        <f>IF(VLOOKUP($A199,raw_lb[],COLUMN(Y$1)-COLUMN($A$1),FALSE)=0, VLOOKUP($D199, regions_lb[], COLUMN(Y$1)-COLUMN($A$1), FALSE), VLOOKUP($A199,raw_lb[],COLUMN(Y$1)-COLUMN($A$1),FALSE))</f>
        <v>1.9043204729416423</v>
      </c>
      <c r="Y199" s="70">
        <f>IF(VLOOKUP($A199,raw_lb[],COLUMN(Z$1)-COLUMN($A$1),FALSE)=0, VLOOKUP($D199, regions_lb[], COLUMN(Z$1)-COLUMN($A$1), FALSE), VLOOKUP($A199,raw_lb[],COLUMN(Z$1)-COLUMN($A$1),FALSE))</f>
        <v>2.360320472941642</v>
      </c>
      <c r="Z199" s="70">
        <f>IF(VLOOKUP($A199,raw_lb[],COLUMN(AA$1)-COLUMN($A$1),FALSE)=0, VLOOKUP($D199, regions_lb[], COLUMN(AA$1)-COLUMN($A$1), FALSE), VLOOKUP($A199,raw_lb[],COLUMN(AA$1)-COLUMN($A$1),FALSE))</f>
        <v>2.356599984237655</v>
      </c>
      <c r="AA199" s="70">
        <f>IF(VLOOKUP($A199,raw_lb[],COLUMN(AB$1)-COLUMN($A$1),FALSE)=0, VLOOKUP($D199, regions_lb[], COLUMN(AB$1)-COLUMN($A$1), FALSE), VLOOKUP($A199,raw_lb[],COLUMN(AB$1)-COLUMN($A$1),FALSE))</f>
        <v>2.5299559188880725</v>
      </c>
      <c r="AB199" s="70">
        <f>IF(VLOOKUP($A199,raw_lb[],COLUMN(AC$1)-COLUMN($A$1),FALSE)=0, VLOOKUP($D199, regions_lb[], COLUMN(AC$1)-COLUMN($A$1), FALSE), VLOOKUP($A199,raw_lb[],COLUMN(AC$1)-COLUMN($A$1),FALSE))</f>
        <v>2.9859559188880724</v>
      </c>
      <c r="AC199" s="72">
        <f>IF(VLOOKUP($A199,raw_lb[],COLUMN(AD$1)-COLUMN($A$1),FALSE)=0, VLOOKUP($D199, regions_lb[], COLUMN(AD$1)-COLUMN($A$1), FALSE), VLOOKUP($A199,raw_lb[],COLUMN(AD$1)-COLUMN($A$1),FALSE))</f>
        <v>1.3901112499999943E-2</v>
      </c>
      <c r="AD199" s="72">
        <f>IF(VLOOKUP($A199,raw_lb[],COLUMN(AE$1)-COLUMN($A$1),FALSE)=0, VLOOKUP($D199, regions_lb[], COLUMN(AE$1)-COLUMN($A$1), FALSE), VLOOKUP($A199,raw_lb[],COLUMN(AE$1)-COLUMN($A$1),FALSE))</f>
        <v>5.7916591504337948E-4</v>
      </c>
      <c r="AE199" s="72">
        <f>IF(VLOOKUP($A199,raw_lb[],COLUMN(AF$1)-COLUMN($A$1),FALSE)=0, VLOOKUP($D199, regions_lb[], COLUMN(AF$1)-COLUMN($A$1), FALSE), VLOOKUP($A199,raw_lb[],COLUMN(AF$1)-COLUMN($A$1),FALSE))</f>
        <v>3.1187224960774174E-4</v>
      </c>
      <c r="AF199" s="72">
        <f>IF(VLOOKUP($A199,raw_lb[],COLUMN(AG$1)-COLUMN($A$1),FALSE)=0, VLOOKUP($D199, regions_lb[], COLUMN(AG$1)-COLUMN($A$1), FALSE), VLOOKUP($A199,raw_lb[],COLUMN(AG$1)-COLUMN($A$1),FALSE))</f>
        <v>2.6198427887469487E-4</v>
      </c>
      <c r="AG199" s="72">
        <f>IF(VLOOKUP($A199,raw_lb[],COLUMN(AH$1)-COLUMN($A$1),FALSE)=0, VLOOKUP($D199, regions_lb[], COLUMN(AH$1)-COLUMN($A$1), FALSE), VLOOKUP($A199,raw_lb[],COLUMN(AH$1)-COLUMN($A$1),FALSE))</f>
        <v>4.8641858064730153E-4</v>
      </c>
      <c r="AH199" s="72">
        <f>IF(VLOOKUP($A199,raw_lb[],COLUMN(AI$1)-COLUMN($A$1),FALSE)=0, VLOOKUP($D199, regions_lb[], COLUMN(AI$1)-COLUMN($A$1), FALSE), VLOOKUP($A199,raw_lb[],COLUMN(AI$1)-COLUMN($A$1),FALSE))</f>
        <v>6.8031467940150262E-4</v>
      </c>
      <c r="AI199" s="72">
        <f>IF(VLOOKUP($A199,raw_lb[],COLUMN(AJ$1)-COLUMN($A$1),FALSE)=0, VLOOKUP($D199, regions_lb[], COLUMN(AJ$1)-COLUMN($A$1), FALSE), VLOOKUP($A199,raw_lb[],COLUMN(AJ$1)-COLUMN($A$1),FALSE))</f>
        <v>7.3319382933787088E-4</v>
      </c>
      <c r="AJ199" s="72">
        <f>IF(VLOOKUP($A199,raw_lb[],COLUMN(AK$1)-COLUMN($A$1),FALSE)=0, VLOOKUP($D199, regions_lb[], COLUMN(AK$1)-COLUMN($A$1), FALSE), VLOOKUP($A199,raw_lb[],COLUMN(AK$1)-COLUMN($A$1),FALSE))</f>
        <v>8.6509574958743322E-4</v>
      </c>
      <c r="AK199" s="72">
        <f>IF(VLOOKUP($A199,raw_lb[],COLUMN(AL$1)-COLUMN($A$1),FALSE)=0, VLOOKUP($D199, regions_lb[], COLUMN(AL$1)-COLUMN($A$1), FALSE), VLOOKUP($A199,raw_lb[],COLUMN(AL$1)-COLUMN($A$1),FALSE))</f>
        <v>1.1613375968239025E-3</v>
      </c>
      <c r="AL199" s="72">
        <f>IF(VLOOKUP($A199,raw_lb[],COLUMN(AM$1)-COLUMN($A$1),FALSE)=0, VLOOKUP($D199, regions_lb[], COLUMN(AM$1)-COLUMN($A$1), FALSE), VLOOKUP($A199,raw_lb[],COLUMN(AM$1)-COLUMN($A$1),FALSE))</f>
        <v>1.7587110516351365E-3</v>
      </c>
      <c r="AM199" s="72">
        <f>IF(VLOOKUP($A199,raw_lb[],COLUMN(AN$1)-COLUMN($A$1),FALSE)=0, VLOOKUP($D199, regions_lb[], COLUMN(AN$1)-COLUMN($A$1), FALSE), VLOOKUP($A199,raw_lb[],COLUMN(AN$1)-COLUMN($A$1),FALSE))</f>
        <v>2.9566348099198357E-3</v>
      </c>
      <c r="AN199" s="72">
        <f>IF(VLOOKUP($A199,raw_lb[],COLUMN(AO$1)-COLUMN($A$1),FALSE)=0, VLOOKUP($D199, regions_lb[], COLUMN(AO$1)-COLUMN($A$1), FALSE), VLOOKUP($A199,raw_lb[],COLUMN(AO$1)-COLUMN($A$1),FALSE))</f>
        <v>4.8192837668066145E-3</v>
      </c>
      <c r="AO199" s="72">
        <f>IF(VLOOKUP($A199,raw_lb[],COLUMN(AP$1)-COLUMN($A$1),FALSE)=0, VLOOKUP($D199, regions_lb[], COLUMN(AP$1)-COLUMN($A$1), FALSE), VLOOKUP($A199,raw_lb[],COLUMN(AP$1)-COLUMN($A$1),FALSE))</f>
        <v>7.9514662244715012E-3</v>
      </c>
      <c r="AP199" s="72">
        <f>IF(VLOOKUP($A199,raw_lb[],COLUMN(AQ$1)-COLUMN($A$1),FALSE)=0, VLOOKUP($D199, regions_lb[], COLUMN(AQ$1)-COLUMN($A$1), FALSE), VLOOKUP($A199,raw_lb[],COLUMN(AQ$1)-COLUMN($A$1),FALSE))</f>
        <v>1.2722304524474579E-2</v>
      </c>
      <c r="AQ199" s="72">
        <f>IF(VLOOKUP($A199,raw_lb[],COLUMN(AR$1)-COLUMN($A$1),FALSE)=0, VLOOKUP($D199, regions_lb[], COLUMN(AR$1)-COLUMN($A$1), FALSE), VLOOKUP($A199,raw_lb[],COLUMN(AR$1)-COLUMN($A$1),FALSE))</f>
        <v>2.1018061895350815E-2</v>
      </c>
      <c r="AR199" s="72">
        <f>IF(VLOOKUP($A199,raw_lb[],COLUMN(AS$1)-COLUMN($A$1),FALSE)=0, VLOOKUP($D199, regions_lb[], COLUMN(AS$1)-COLUMN($A$1), FALSE), VLOOKUP($A199,raw_lb[],COLUMN(AS$1)-COLUMN($A$1),FALSE))</f>
        <v>3.437813604581396E-2</v>
      </c>
      <c r="AS199" s="82">
        <f>IF(VLOOKUP($A199,raw_lb[],COLUMN(AS$1),FALSE)=0, VLOOKUP($D199, regions_lb[], COLUMN(AS$1), FALSE), VLOOKUP($A199,raw_lb[],COLUMN(AS$1),FALSE))</f>
        <v>5.475833001760036E-2</v>
      </c>
      <c r="AT199" s="82">
        <f>IF(VLOOKUP($A199,raw_lb[],COLUMN(AT$1),FALSE)=0, VLOOKUP($D199, regions_lb[], COLUMN(AT$1), FALSE), VLOOKUP($A199,raw_lb[],COLUMN(AT$1),FALSE))</f>
        <v>8.4421697125510189E-2</v>
      </c>
      <c r="AU199" s="82">
        <f>IF(VLOOKUP($A199,raw_lb[],COLUMN(AU$1),FALSE)=0, VLOOKUP($D199, regions_lb[], COLUMN(AU$1), FALSE), VLOOKUP($A199,raw_lb[],COLUMN(AU$1),FALSE))</f>
        <v>0.11721309865415828</v>
      </c>
      <c r="AV199" s="82">
        <f>IF(VLOOKUP($A199,raw_lb[],COLUMN(AV$1),FALSE)=0, VLOOKUP($D199, regions_lb[], COLUMN(AV$1), FALSE), VLOOKUP($A199,raw_lb[],COLUMN(AV$1),FALSE))</f>
        <v>0.14698254819329756</v>
      </c>
      <c r="AW199" s="82">
        <f>IF(VLOOKUP($A199,raw_lb[],COLUMN(AW$1),FALSE)=0, VLOOKUP($D199, regions_lb[], COLUMN(AW$1), FALSE), VLOOKUP($A199,raw_lb[],COLUMN(AW$1),FALSE))</f>
        <v>0.16772213601864666</v>
      </c>
      <c r="AX199" s="82">
        <f>IF(VLOOKUP($A199,raw_lb[],COLUMN(AX$1),FALSE)=0, VLOOKUP($D199, regions_lb[], COLUMN(AX$1), FALSE), VLOOKUP($A199,raw_lb[],COLUMN(AX$1),FALSE))</f>
        <v>70.610649999999993</v>
      </c>
      <c r="AY199" t="str">
        <f t="shared" si="6"/>
        <v>Yes</v>
      </c>
    </row>
    <row r="200" spans="1:51" x14ac:dyDescent="0.25">
      <c r="A200" s="53" t="s">
        <v>344</v>
      </c>
      <c r="B200" s="54" t="s">
        <v>345</v>
      </c>
      <c r="C200" s="54">
        <v>398</v>
      </c>
      <c r="D200" s="54" t="s">
        <v>201</v>
      </c>
      <c r="E200" s="54" t="s">
        <v>220</v>
      </c>
      <c r="F200" s="54" t="s">
        <v>203</v>
      </c>
      <c r="G200" s="54" t="s">
        <v>204</v>
      </c>
      <c r="H200" s="73"/>
      <c r="I200" s="73"/>
      <c r="J200" s="67">
        <f>IF(VLOOKUP($A200,raw_lb[],COLUMN(J$1),FALSE)=0, VLOOKUP($D200, regions_lb[], COLUMN(J$1), FALSE), VLOOKUP($A200,raw_lb[],COLUMN(J$1),FALSE))</f>
        <v>0.94334999999999991</v>
      </c>
      <c r="K200" s="77">
        <f>VLOOKUP($A200, raw_lb[], 11, FALSE)</f>
        <v>0.88349999999999995</v>
      </c>
      <c r="L200" s="77">
        <f>VLOOKUP($A200, raw_lb[], 12, FALSE)</f>
        <v>0.83599999999999997</v>
      </c>
      <c r="M200" s="77">
        <f>IF(VLOOKUP($A200,raw_lb[],COLUMN(M$1),FALSE)=0, VLOOKUP($D200, regions_lb[], COLUMN(M$1), FALSE), VLOOKUP($A200,raw_lb[],COLUMN(M$1),FALSE))</f>
        <v>2.2099999999999998E-2</v>
      </c>
      <c r="N200" s="68">
        <f>IF(VLOOKUP($A200,raw_lb[],COLUMN(N$1),FALSE)=0, VLOOKUP($D200, regions_lb[], COLUMN(N$1), FALSE), VLOOKUP($A200,raw_lb[],COLUMN(N$1),FALSE))</f>
        <v>0.16309999999999999</v>
      </c>
      <c r="O200" s="67">
        <f>IF(VLOOKUP($A200,raw_lb[],COLUMN(O$1),FALSE)=0, VLOOKUP($D200, regions_lb[], COLUMN(O$1), FALSE), VLOOKUP($A200,raw_lb[],COLUMN(O$1),FALSE))</f>
        <v>0.7</v>
      </c>
      <c r="P200" s="68">
        <f>IF(VLOOKUP($A200,raw_lb[],COLUMN(P$1),FALSE)=0, VLOOKUP($D200, regions_lb[], COLUMN(P$1), FALSE), VLOOKUP($A200,raw_lb[],COLUMN(P$1),FALSE))</f>
        <v>0.05</v>
      </c>
      <c r="Q200" s="70">
        <f>IF(VLOOKUP($A200,raw_lb[],COLUMN(Q$1),FALSE)=0, VLOOKUP($D200, regions_lb[], COLUMN(Q$1), FALSE), VLOOKUP($A200,raw_lb[],COLUMN(Q$1),FALSE))</f>
        <v>2.0846312698211298</v>
      </c>
      <c r="R200" s="70">
        <f>IF(VLOOKUP($A200,raw_lb[],COLUMN(R$1),FALSE)=0, VLOOKUP($D200, regions_lb[], COLUMN(R$1), FALSE), VLOOKUP($A200,raw_lb[],COLUMN(R$1),FALSE))</f>
        <v>9.1455312698211308</v>
      </c>
      <c r="S200" s="70">
        <f>IF(VLOOKUP($A200,raw_lb[],COLUMN(S$1),FALSE)=0, VLOOKUP($D200, regions_lb[], COLUMN(S$1), FALSE), VLOOKUP($A200,raw_lb[],COLUMN(S$1),FALSE))</f>
        <v>50.212368449556706</v>
      </c>
      <c r="T200" s="70">
        <f>IF(VLOOKUP($A200,raw_lb[],COLUMN(U$1)-COLUMN($A$1),FALSE)=0, VLOOKUP($D200, regions_lb[], COLUMN(U$1)-COLUMN($A$1), FALSE), VLOOKUP($A200,raw_lb[],COLUMN(U$1)-COLUMN($A$1),FALSE))</f>
        <v>56.378233141055759</v>
      </c>
      <c r="U200" s="70">
        <f>IF(VLOOKUP($A200,raw_lb[],COLUMN(V$1)-COLUMN($A$1),FALSE)=0, VLOOKUP($D200, regions_lb[], COLUMN(V$1)-COLUMN($A$1), FALSE), VLOOKUP($A200,raw_lb[],COLUMN(V$1)-COLUMN($A$1),FALSE))</f>
        <v>53.546998404495575</v>
      </c>
      <c r="V200" s="70">
        <f>IF(VLOOKUP($A200,raw_lb[],COLUMN(W$1)-COLUMN($A$1),FALSE)=0, VLOOKUP($D200, regions_lb[], COLUMN(W$1)-COLUMN($A$1), FALSE), VLOOKUP($A200,raw_lb[],COLUMN(W$1)-COLUMN($A$1),FALSE))</f>
        <v>2.42360353577878</v>
      </c>
      <c r="W200" s="70">
        <f>IF(VLOOKUP($A200,raw_lb[],COLUMN(X$1)-COLUMN($A$1),FALSE)=0, VLOOKUP($D200, regions_lb[], COLUMN(X$1)-COLUMN($A$1), FALSE), VLOOKUP($A200,raw_lb[],COLUMN(X$1)-COLUMN($A$1),FALSE))</f>
        <v>6.2901035357787798</v>
      </c>
      <c r="X200" s="70">
        <f>IF(VLOOKUP($A200,raw_lb[],COLUMN(Y$1)-COLUMN($A$1),FALSE)=0, VLOOKUP($D200, regions_lb[], COLUMN(Y$1)-COLUMN($A$1), FALSE), VLOOKUP($A200,raw_lb[],COLUMN(Y$1)-COLUMN($A$1),FALSE))</f>
        <v>1.9439497007849031</v>
      </c>
      <c r="Y200" s="70">
        <f>IF(VLOOKUP($A200,raw_lb[],COLUMN(Z$1)-COLUMN($A$1),FALSE)=0, VLOOKUP($D200, regions_lb[], COLUMN(Z$1)-COLUMN($A$1), FALSE), VLOOKUP($A200,raw_lb[],COLUMN(Z$1)-COLUMN($A$1),FALSE))</f>
        <v>5.8104497007849032</v>
      </c>
      <c r="Z200" s="70">
        <f>IF(VLOOKUP($A200,raw_lb[],COLUMN(AA$1)-COLUMN($A$1),FALSE)=0, VLOOKUP($D200, regions_lb[], COLUMN(AA$1)-COLUMN($A$1), FALSE), VLOOKUP($A200,raw_lb[],COLUMN(AA$1)-COLUMN($A$1),FALSE))</f>
        <v>5.802872388471668</v>
      </c>
      <c r="AA200" s="70">
        <f>IF(VLOOKUP($A200,raw_lb[],COLUMN(AB$1)-COLUMN($A$1),FALSE)=0, VLOOKUP($D200, regions_lb[], COLUMN(AB$1)-COLUMN($A$1), FALSE), VLOOKUP($A200,raw_lb[],COLUMN(AB$1)-COLUMN($A$1),FALSE))</f>
        <v>2.5944992583630597</v>
      </c>
      <c r="AB200" s="70">
        <f>IF(VLOOKUP($A200,raw_lb[],COLUMN(AC$1)-COLUMN($A$1),FALSE)=0, VLOOKUP($D200, regions_lb[], COLUMN(AC$1)-COLUMN($A$1), FALSE), VLOOKUP($A200,raw_lb[],COLUMN(AC$1)-COLUMN($A$1),FALSE))</f>
        <v>6.46099925836306</v>
      </c>
      <c r="AC200" s="72">
        <f>IF(VLOOKUP($A200,raw_lb[],COLUMN(AD$1)-COLUMN($A$1),FALSE)=0, VLOOKUP($D200, regions_lb[], COLUMN(AD$1)-COLUMN($A$1), FALSE), VLOOKUP($A200,raw_lb[],COLUMN(AD$1)-COLUMN($A$1),FALSE))</f>
        <v>7.2899675000000497E-3</v>
      </c>
      <c r="AD200" s="72">
        <f>IF(VLOOKUP($A200,raw_lb[],COLUMN(AE$1)-COLUMN($A$1),FALSE)=0, VLOOKUP($D200, regions_lb[], COLUMN(AE$1)-COLUMN($A$1), FALSE), VLOOKUP($A200,raw_lb[],COLUMN(AE$1)-COLUMN($A$1),FALSE))</f>
        <v>5.3083418574946311E-4</v>
      </c>
      <c r="AE200" s="72">
        <f>IF(VLOOKUP($A200,raw_lb[],COLUMN(AF$1)-COLUMN($A$1),FALSE)=0, VLOOKUP($D200, regions_lb[], COLUMN(AF$1)-COLUMN($A$1), FALSE), VLOOKUP($A200,raw_lb[],COLUMN(AF$1)-COLUMN($A$1),FALSE))</f>
        <v>2.5986275583701225E-4</v>
      </c>
      <c r="AF200" s="72">
        <f>IF(VLOOKUP($A200,raw_lb[],COLUMN(AG$1)-COLUMN($A$1),FALSE)=0, VLOOKUP($D200, regions_lb[], COLUMN(AG$1)-COLUMN($A$1), FALSE), VLOOKUP($A200,raw_lb[],COLUMN(AG$1)-COLUMN($A$1),FALSE))</f>
        <v>2.7824527963590925E-4</v>
      </c>
      <c r="AG200" s="72">
        <f>IF(VLOOKUP($A200,raw_lb[],COLUMN(AH$1)-COLUMN($A$1),FALSE)=0, VLOOKUP($D200, regions_lb[], COLUMN(AH$1)-COLUMN($A$1), FALSE), VLOOKUP($A200,raw_lb[],COLUMN(AH$1)-COLUMN($A$1),FALSE))</f>
        <v>5.6104587040702871E-4</v>
      </c>
      <c r="AH200" s="72">
        <f>IF(VLOOKUP($A200,raw_lb[],COLUMN(AI$1)-COLUMN($A$1),FALSE)=0, VLOOKUP($D200, regions_lb[], COLUMN(AI$1)-COLUMN($A$1), FALSE), VLOOKUP($A200,raw_lb[],COLUMN(AI$1)-COLUMN($A$1),FALSE))</f>
        <v>8.2462193092057835E-4</v>
      </c>
      <c r="AI200" s="72">
        <f>IF(VLOOKUP($A200,raw_lb[],COLUMN(AJ$1)-COLUMN($A$1),FALSE)=0, VLOOKUP($D200, regions_lb[], COLUMN(AJ$1)-COLUMN($A$1), FALSE), VLOOKUP($A200,raw_lb[],COLUMN(AJ$1)-COLUMN($A$1),FALSE))</f>
        <v>1.0756383029195131E-3</v>
      </c>
      <c r="AJ200" s="72">
        <f>IF(VLOOKUP($A200,raw_lb[],COLUMN(AK$1)-COLUMN($A$1),FALSE)=0, VLOOKUP($D200, regions_lb[], COLUMN(AK$1)-COLUMN($A$1), FALSE), VLOOKUP($A200,raw_lb[],COLUMN(AK$1)-COLUMN($A$1),FALSE))</f>
        <v>1.6493957641617906E-3</v>
      </c>
      <c r="AK200" s="72">
        <f>IF(VLOOKUP($A200,raw_lb[],COLUMN(AL$1)-COLUMN($A$1),FALSE)=0, VLOOKUP($D200, regions_lb[], COLUMN(AL$1)-COLUMN($A$1), FALSE), VLOOKUP($A200,raw_lb[],COLUMN(AL$1)-COLUMN($A$1),FALSE))</f>
        <v>2.6268828959796994E-3</v>
      </c>
      <c r="AL200" s="72">
        <f>IF(VLOOKUP($A200,raw_lb[],COLUMN(AM$1)-COLUMN($A$1),FALSE)=0, VLOOKUP($D200, regions_lb[], COLUMN(AM$1)-COLUMN($A$1), FALSE), VLOOKUP($A200,raw_lb[],COLUMN(AM$1)-COLUMN($A$1),FALSE))</f>
        <v>3.6210489065264979E-3</v>
      </c>
      <c r="AM200" s="72">
        <f>IF(VLOOKUP($A200,raw_lb[],COLUMN(AN$1)-COLUMN($A$1),FALSE)=0, VLOOKUP($D200, regions_lb[], COLUMN(AN$1)-COLUMN($A$1), FALSE), VLOOKUP($A200,raw_lb[],COLUMN(AN$1)-COLUMN($A$1),FALSE))</f>
        <v>4.8553143395240004E-3</v>
      </c>
      <c r="AN200" s="72">
        <f>IF(VLOOKUP($A200,raw_lb[],COLUMN(AO$1)-COLUMN($A$1),FALSE)=0, VLOOKUP($D200, regions_lb[], COLUMN(AO$1)-COLUMN($A$1), FALSE), VLOOKUP($A200,raw_lb[],COLUMN(AO$1)-COLUMN($A$1),FALSE))</f>
        <v>6.7925987869334684E-3</v>
      </c>
      <c r="AO200" s="72">
        <f>IF(VLOOKUP($A200,raw_lb[],COLUMN(AP$1)-COLUMN($A$1),FALSE)=0, VLOOKUP($D200, regions_lb[], COLUMN(AP$1)-COLUMN($A$1), FALSE), VLOOKUP($A200,raw_lb[],COLUMN(AP$1)-COLUMN($A$1),FALSE))</f>
        <v>1.0189283450566265E-2</v>
      </c>
      <c r="AP200" s="72">
        <f>IF(VLOOKUP($A200,raw_lb[],COLUMN(AQ$1)-COLUMN($A$1),FALSE)=0, VLOOKUP($D200, regions_lb[], COLUMN(AQ$1)-COLUMN($A$1), FALSE), VLOOKUP($A200,raw_lb[],COLUMN(AQ$1)-COLUMN($A$1),FALSE))</f>
        <v>1.5711752580827729E-2</v>
      </c>
      <c r="AQ200" s="72">
        <f>IF(VLOOKUP($A200,raw_lb[],COLUMN(AR$1)-COLUMN($A$1),FALSE)=0, VLOOKUP($D200, regions_lb[], COLUMN(AR$1)-COLUMN($A$1), FALSE), VLOOKUP($A200,raw_lb[],COLUMN(AR$1)-COLUMN($A$1),FALSE))</f>
        <v>2.3492002936812448E-2</v>
      </c>
      <c r="AR200" s="72">
        <f>IF(VLOOKUP($A200,raw_lb[],COLUMN(AS$1)-COLUMN($A$1),FALSE)=0, VLOOKUP($D200, regions_lb[], COLUMN(AS$1)-COLUMN($A$1), FALSE), VLOOKUP($A200,raw_lb[],COLUMN(AS$1)-COLUMN($A$1),FALSE))</f>
        <v>3.2854746244385759E-2</v>
      </c>
      <c r="AS200" s="82">
        <f>IF(VLOOKUP($A200,raw_lb[],COLUMN(AS$1),FALSE)=0, VLOOKUP($D200, regions_lb[], COLUMN(AS$1), FALSE), VLOOKUP($A200,raw_lb[],COLUMN(AS$1),FALSE))</f>
        <v>5.1561221084653504E-2</v>
      </c>
      <c r="AT200" s="82">
        <f>IF(VLOOKUP($A200,raw_lb[],COLUMN(AT$1),FALSE)=0, VLOOKUP($D200, regions_lb[], COLUMN(AT$1), FALSE), VLOOKUP($A200,raw_lb[],COLUMN(AT$1),FALSE))</f>
        <v>7.5699500501644382E-2</v>
      </c>
      <c r="AU200" s="82">
        <f>IF(VLOOKUP($A200,raw_lb[],COLUMN(AU$1),FALSE)=0, VLOOKUP($D200, regions_lb[], COLUMN(AU$1), FALSE), VLOOKUP($A200,raw_lb[],COLUMN(AU$1),FALSE))</f>
        <v>0.10563124341170331</v>
      </c>
      <c r="AV200" s="82">
        <f>IF(VLOOKUP($A200,raw_lb[],COLUMN(AV$1),FALSE)=0, VLOOKUP($D200, regions_lb[], COLUMN(AV$1), FALSE), VLOOKUP($A200,raw_lb[],COLUMN(AV$1),FALSE))</f>
        <v>0.13702436295945719</v>
      </c>
      <c r="AW200" s="82">
        <f>IF(VLOOKUP($A200,raw_lb[],COLUMN(AW$1),FALSE)=0, VLOOKUP($D200, regions_lb[], COLUMN(AW$1), FALSE), VLOOKUP($A200,raw_lb[],COLUMN(AW$1),FALSE))</f>
        <v>0.16122366444678765</v>
      </c>
      <c r="AX200" s="82">
        <f>IF(VLOOKUP($A200,raw_lb[],COLUMN(AX$1),FALSE)=0, VLOOKUP($D200, regions_lb[], COLUMN(AX$1), FALSE), VLOOKUP($A200,raw_lb[],COLUMN(AX$1),FALSE))</f>
        <v>69.563749999999985</v>
      </c>
      <c r="AY200" t="str">
        <f t="shared" si="6"/>
        <v>No</v>
      </c>
    </row>
    <row r="201" spans="1:51" x14ac:dyDescent="0.25">
      <c r="A201" s="55" t="s">
        <v>346</v>
      </c>
      <c r="B201" s="56" t="s">
        <v>347</v>
      </c>
      <c r="C201" s="56">
        <v>404</v>
      </c>
      <c r="D201" s="56" t="s">
        <v>207</v>
      </c>
      <c r="E201" s="56" t="s">
        <v>255</v>
      </c>
      <c r="F201" s="56" t="s">
        <v>211</v>
      </c>
      <c r="G201" s="56" t="s">
        <v>212</v>
      </c>
      <c r="H201" s="74"/>
      <c r="I201" s="74"/>
      <c r="J201" s="67">
        <f>IF(VLOOKUP($A201,raw_lb[],COLUMN(J$1),FALSE)=0, VLOOKUP($D201, regions_lb[], COLUMN(J$1), FALSE), VLOOKUP($A201,raw_lb[],COLUMN(J$1),FALSE))</f>
        <v>0.58139999999999992</v>
      </c>
      <c r="K201" s="77">
        <f>VLOOKUP($A201, raw_lb[], 11, FALSE)</f>
        <v>0</v>
      </c>
      <c r="L201" s="77">
        <f>VLOOKUP($A201, raw_lb[], 12, FALSE)</f>
        <v>0.86449999999999994</v>
      </c>
      <c r="M201" s="77">
        <f>IF(VLOOKUP($A201,raw_lb[],COLUMN(M$1),FALSE)=0, VLOOKUP($D201, regions_lb[], COLUMN(M$1), FALSE), VLOOKUP($A201,raw_lb[],COLUMN(M$1),FALSE))</f>
        <v>1.44E-2</v>
      </c>
      <c r="N201" s="68">
        <f>IF(VLOOKUP($A201,raw_lb[],COLUMN(N$1),FALSE)=0, VLOOKUP($D201, regions_lb[], COLUMN(N$1), FALSE), VLOOKUP($A201,raw_lb[],COLUMN(N$1),FALSE))</f>
        <v>0.15560000000000002</v>
      </c>
      <c r="O201" s="67">
        <f>IF(VLOOKUP($A201,raw_lb[],COLUMN(O$1),FALSE)=0, VLOOKUP($D201, regions_lb[], COLUMN(O$1), FALSE), VLOOKUP($A201,raw_lb[],COLUMN(O$1),FALSE))</f>
        <v>7.0000000000000007E-2</v>
      </c>
      <c r="P201" s="68">
        <f>IF(VLOOKUP($A201,raw_lb[],COLUMN(P$1),FALSE)=0, VLOOKUP($D201, regions_lb[], COLUMN(P$1), FALSE), VLOOKUP($A201,raw_lb[],COLUMN(P$1),FALSE))</f>
        <v>1E-3</v>
      </c>
      <c r="Q201" s="70">
        <f>IF(VLOOKUP($A201,raw_lb[],COLUMN(Q$1),FALSE)=0, VLOOKUP($D201, regions_lb[], COLUMN(Q$1), FALSE), VLOOKUP($A201,raw_lb[],COLUMN(Q$1),FALSE))</f>
        <v>0.71428745545260197</v>
      </c>
      <c r="R201" s="70">
        <f>IF(VLOOKUP($A201,raw_lb[],COLUMN(R$1),FALSE)=0, VLOOKUP($D201, regions_lb[], COLUMN(R$1), FALSE), VLOOKUP($A201,raw_lb[],COLUMN(R$1),FALSE))</f>
        <v>7.7751874554526026</v>
      </c>
      <c r="S201" s="70">
        <f>IF(VLOOKUP($A201,raw_lb[],COLUMN(S$1),FALSE)=0, VLOOKUP($D201, regions_lb[], COLUMN(S$1), FALSE), VLOOKUP($A201,raw_lb[],COLUMN(S$1),FALSE))</f>
        <v>37.827574706327226</v>
      </c>
      <c r="T201" s="70">
        <f>IF(VLOOKUP($A201,raw_lb[],COLUMN(U$1)-COLUMN($A$1),FALSE)=0, VLOOKUP($D201, regions_lb[], COLUMN(U$1)-COLUMN($A$1), FALSE), VLOOKUP($A201,raw_lb[],COLUMN(U$1)-COLUMN($A$1),FALSE))</f>
        <v>38.260803177517914</v>
      </c>
      <c r="U201" s="70">
        <f>IF(VLOOKUP($A201,raw_lb[],COLUMN(V$1)-COLUMN($A$1),FALSE)=0, VLOOKUP($D201, regions_lb[], COLUMN(V$1)-COLUMN($A$1), FALSE), VLOOKUP($A201,raw_lb[],COLUMN(V$1)-COLUMN($A$1),FALSE))</f>
        <v>38.061873820830442</v>
      </c>
      <c r="V201" s="70">
        <f>IF(VLOOKUP($A201,raw_lb[],COLUMN(W$1)-COLUMN($A$1),FALSE)=0, VLOOKUP($D201, regions_lb[], COLUMN(W$1)-COLUMN($A$1), FALSE), VLOOKUP($A201,raw_lb[],COLUMN(W$1)-COLUMN($A$1),FALSE))</f>
        <v>1.2824252145203148</v>
      </c>
      <c r="W201" s="70">
        <f>IF(VLOOKUP($A201,raw_lb[],COLUMN(X$1)-COLUMN($A$1),FALSE)=0, VLOOKUP($D201, regions_lb[], COLUMN(X$1)-COLUMN($A$1), FALSE), VLOOKUP($A201,raw_lb[],COLUMN(X$1)-COLUMN($A$1),FALSE))</f>
        <v>5.8709252145203141</v>
      </c>
      <c r="X201" s="70">
        <f>IF(VLOOKUP($A201,raw_lb[],COLUMN(Y$1)-COLUMN($A$1),FALSE)=0, VLOOKUP($D201, regions_lb[], COLUMN(Y$1)-COLUMN($A$1), FALSE), VLOOKUP($A201,raw_lb[],COLUMN(Y$1)-COLUMN($A$1),FALSE))</f>
        <v>0.81011080592698248</v>
      </c>
      <c r="Y201" s="70">
        <f>IF(VLOOKUP($A201,raw_lb[],COLUMN(Z$1)-COLUMN($A$1),FALSE)=0, VLOOKUP($D201, regions_lb[], COLUMN(Z$1)-COLUMN($A$1), FALSE), VLOOKUP($A201,raw_lb[],COLUMN(Z$1)-COLUMN($A$1),FALSE))</f>
        <v>5.3986108059269826</v>
      </c>
      <c r="Z201" s="70">
        <f>IF(VLOOKUP($A201,raw_lb[],COLUMN(AA$1)-COLUMN($A$1),FALSE)=0, VLOOKUP($D201, regions_lb[], COLUMN(AA$1)-COLUMN($A$1), FALSE), VLOOKUP($A201,raw_lb[],COLUMN(AA$1)-COLUMN($A$1),FALSE))</f>
        <v>5.3958468531528023</v>
      </c>
      <c r="AA201" s="70">
        <f>IF(VLOOKUP($A201,raw_lb[],COLUMN(AB$1)-COLUMN($A$1),FALSE)=0, VLOOKUP($D201, regions_lb[], COLUMN(AB$1)-COLUMN($A$1), FALSE), VLOOKUP($A201,raw_lb[],COLUMN(AB$1)-COLUMN($A$1),FALSE))</f>
        <v>1.4306735642114856</v>
      </c>
      <c r="AB201" s="70">
        <f>IF(VLOOKUP($A201,raw_lb[],COLUMN(AC$1)-COLUMN($A$1),FALSE)=0, VLOOKUP($D201, regions_lb[], COLUMN(AC$1)-COLUMN($A$1), FALSE), VLOOKUP($A201,raw_lb[],COLUMN(AC$1)-COLUMN($A$1),FALSE))</f>
        <v>6.019173564211485</v>
      </c>
      <c r="AC201" s="72">
        <f>IF(VLOOKUP($A201,raw_lb[],COLUMN(AD$1)-COLUMN($A$1),FALSE)=0, VLOOKUP($D201, regions_lb[], COLUMN(AD$1)-COLUMN($A$1), FALSE), VLOOKUP($A201,raw_lb[],COLUMN(AD$1)-COLUMN($A$1),FALSE))</f>
        <v>3.4553096000000047E-2</v>
      </c>
      <c r="AD201" s="72">
        <f>IF(VLOOKUP($A201,raw_lb[],COLUMN(AE$1)-COLUMN($A$1),FALSE)=0, VLOOKUP($D201, regions_lb[], COLUMN(AE$1)-COLUMN($A$1), FALSE), VLOOKUP($A201,raw_lb[],COLUMN(AE$1)-COLUMN($A$1),FALSE))</f>
        <v>2.7339646369047943E-3</v>
      </c>
      <c r="AE201" s="72">
        <f>IF(VLOOKUP($A201,raw_lb[],COLUMN(AF$1)-COLUMN($A$1),FALSE)=0, VLOOKUP($D201, regions_lb[], COLUMN(AF$1)-COLUMN($A$1), FALSE), VLOOKUP($A201,raw_lb[],COLUMN(AF$1)-COLUMN($A$1),FALSE))</f>
        <v>8.4434242340849727E-4</v>
      </c>
      <c r="AF201" s="72">
        <f>IF(VLOOKUP($A201,raw_lb[],COLUMN(AG$1)-COLUMN($A$1),FALSE)=0, VLOOKUP($D201, regions_lb[], COLUMN(AG$1)-COLUMN($A$1), FALSE), VLOOKUP($A201,raw_lb[],COLUMN(AG$1)-COLUMN($A$1),FALSE))</f>
        <v>6.8582338591078229E-4</v>
      </c>
      <c r="AG201" s="72">
        <f>IF(VLOOKUP($A201,raw_lb[],COLUMN(AH$1)-COLUMN($A$1),FALSE)=0, VLOOKUP($D201, regions_lb[], COLUMN(AH$1)-COLUMN($A$1), FALSE), VLOOKUP($A201,raw_lb[],COLUMN(AH$1)-COLUMN($A$1),FALSE))</f>
        <v>1.1908887524835054E-3</v>
      </c>
      <c r="AH201" s="72">
        <f>IF(VLOOKUP($A201,raw_lb[],COLUMN(AI$1)-COLUMN($A$1),FALSE)=0, VLOOKUP($D201, regions_lb[], COLUMN(AI$1)-COLUMN($A$1), FALSE), VLOOKUP($A201,raw_lb[],COLUMN(AI$1)-COLUMN($A$1),FALSE))</f>
        <v>1.9143543338703032E-3</v>
      </c>
      <c r="AI201" s="72">
        <f>IF(VLOOKUP($A201,raw_lb[],COLUMN(AJ$1)-COLUMN($A$1),FALSE)=0, VLOOKUP($D201, regions_lb[], COLUMN(AJ$1)-COLUMN($A$1), FALSE), VLOOKUP($A201,raw_lb[],COLUMN(AJ$1)-COLUMN($A$1),FALSE))</f>
        <v>2.6356209421926559E-3</v>
      </c>
      <c r="AJ201" s="72">
        <f>IF(VLOOKUP($A201,raw_lb[],COLUMN(AK$1)-COLUMN($A$1),FALSE)=0, VLOOKUP($D201, regions_lb[], COLUMN(AK$1)-COLUMN($A$1), FALSE), VLOOKUP($A201,raw_lb[],COLUMN(AK$1)-COLUMN($A$1),FALSE))</f>
        <v>3.4362730580454102E-3</v>
      </c>
      <c r="AK201" s="72">
        <f>IF(VLOOKUP($A201,raw_lb[],COLUMN(AL$1)-COLUMN($A$1),FALSE)=0, VLOOKUP($D201, regions_lb[], COLUMN(AL$1)-COLUMN($A$1), FALSE), VLOOKUP($A201,raw_lb[],COLUMN(AL$1)-COLUMN($A$1),FALSE))</f>
        <v>4.5932433929386854E-3</v>
      </c>
      <c r="AL201" s="72">
        <f>IF(VLOOKUP($A201,raw_lb[],COLUMN(AM$1)-COLUMN($A$1),FALSE)=0, VLOOKUP($D201, regions_lb[], COLUMN(AM$1)-COLUMN($A$1), FALSE), VLOOKUP($A201,raw_lb[],COLUMN(AM$1)-COLUMN($A$1),FALSE))</f>
        <v>5.7735412786086735E-3</v>
      </c>
      <c r="AM201" s="72">
        <f>IF(VLOOKUP($A201,raw_lb[],COLUMN(AN$1)-COLUMN($A$1),FALSE)=0, VLOOKUP($D201, regions_lb[], COLUMN(AN$1)-COLUMN($A$1), FALSE), VLOOKUP($A201,raw_lb[],COLUMN(AN$1)-COLUMN($A$1),FALSE))</f>
        <v>7.2581936082924967E-3</v>
      </c>
      <c r="AN201" s="72">
        <f>IF(VLOOKUP($A201,raw_lb[],COLUMN(AO$1)-COLUMN($A$1),FALSE)=0, VLOOKUP($D201, regions_lb[], COLUMN(AO$1)-COLUMN($A$1), FALSE), VLOOKUP($A201,raw_lb[],COLUMN(AO$1)-COLUMN($A$1),FALSE))</f>
        <v>9.7714353716543811E-3</v>
      </c>
      <c r="AO201" s="72">
        <f>IF(VLOOKUP($A201,raw_lb[],COLUMN(AP$1)-COLUMN($A$1),FALSE)=0, VLOOKUP($D201, regions_lb[], COLUMN(AP$1)-COLUMN($A$1), FALSE), VLOOKUP($A201,raw_lb[],COLUMN(AP$1)-COLUMN($A$1),FALSE))</f>
        <v>1.2651247401441407E-2</v>
      </c>
      <c r="AP201" s="72">
        <f>IF(VLOOKUP($A201,raw_lb[],COLUMN(AQ$1)-COLUMN($A$1),FALSE)=0, VLOOKUP($D201, regions_lb[], COLUMN(AQ$1)-COLUMN($A$1), FALSE), VLOOKUP($A201,raw_lb[],COLUMN(AQ$1)-COLUMN($A$1),FALSE))</f>
        <v>1.8066508419334458E-2</v>
      </c>
      <c r="AQ201" s="72">
        <f>IF(VLOOKUP($A201,raw_lb[],COLUMN(AR$1)-COLUMN($A$1),FALSE)=0, VLOOKUP($D201, regions_lb[], COLUMN(AR$1)-COLUMN($A$1), FALSE), VLOOKUP($A201,raw_lb[],COLUMN(AR$1)-COLUMN($A$1),FALSE))</f>
        <v>2.6912745015916267E-2</v>
      </c>
      <c r="AR201" s="72">
        <f>IF(VLOOKUP($A201,raw_lb[],COLUMN(AS$1)-COLUMN($A$1),FALSE)=0, VLOOKUP($D201, regions_lb[], COLUMN(AS$1)-COLUMN($A$1), FALSE), VLOOKUP($A201,raw_lb[],COLUMN(AS$1)-COLUMN($A$1),FALSE))</f>
        <v>4.0692427216648987E-2</v>
      </c>
      <c r="AS201" s="82">
        <f>IF(VLOOKUP($A201,raw_lb[],COLUMN(AS$1),FALSE)=0, VLOOKUP($D201, regions_lb[], COLUMN(AS$1), FALSE), VLOOKUP($A201,raw_lb[],COLUMN(AS$1),FALSE))</f>
        <v>6.1431662682737823E-2</v>
      </c>
      <c r="AT201" s="82">
        <f>IF(VLOOKUP($A201,raw_lb[],COLUMN(AT$1),FALSE)=0, VLOOKUP($D201, regions_lb[], COLUMN(AT$1), FALSE), VLOOKUP($A201,raw_lb[],COLUMN(AT$1),FALSE))</f>
        <v>9.2356305067431463E-2</v>
      </c>
      <c r="AU201" s="82">
        <f>IF(VLOOKUP($A201,raw_lb[],COLUMN(AU$1),FALSE)=0, VLOOKUP($D201, regions_lb[], COLUMN(AU$1), FALSE), VLOOKUP($A201,raw_lb[],COLUMN(AU$1),FALSE))</f>
        <v>0.13003850817267606</v>
      </c>
      <c r="AV201" s="82">
        <f>IF(VLOOKUP($A201,raw_lb[],COLUMN(AV$1),FALSE)=0, VLOOKUP($D201, regions_lb[], COLUMN(AV$1), FALSE), VLOOKUP($A201,raw_lb[],COLUMN(AV$1),FALSE))</f>
        <v>0.16365423678515964</v>
      </c>
      <c r="AW201" s="82">
        <f>IF(VLOOKUP($A201,raw_lb[],COLUMN(AW$1),FALSE)=0, VLOOKUP($D201, regions_lb[], COLUMN(AW$1), FALSE), VLOOKUP($A201,raw_lb[],COLUMN(AW$1),FALSE))</f>
        <v>0.17741853318210629</v>
      </c>
      <c r="AX201" s="82">
        <f>IF(VLOOKUP($A201,raw_lb[],COLUMN(AX$1),FALSE)=0, VLOOKUP($D201, regions_lb[], COLUMN(AX$1), FALSE), VLOOKUP($A201,raw_lb[],COLUMN(AX$1),FALSE))</f>
        <v>62.869099999999996</v>
      </c>
      <c r="AY201" t="str">
        <f t="shared" si="6"/>
        <v>Yes</v>
      </c>
    </row>
    <row r="202" spans="1:51" x14ac:dyDescent="0.25">
      <c r="A202" s="53" t="s">
        <v>348</v>
      </c>
      <c r="B202" s="54" t="s">
        <v>349</v>
      </c>
      <c r="C202" s="54">
        <v>296</v>
      </c>
      <c r="D202" s="54" t="s">
        <v>260</v>
      </c>
      <c r="E202" s="54" t="s">
        <v>309</v>
      </c>
      <c r="F202" s="54" t="s">
        <v>262</v>
      </c>
      <c r="G202" s="54" t="s">
        <v>212</v>
      </c>
      <c r="H202" s="73"/>
      <c r="I202" s="73"/>
      <c r="J202" s="67">
        <f>IF(VLOOKUP($A202,raw_lb[],COLUMN(J$1),FALSE)=0, VLOOKUP($D202, regions_lb[], COLUMN(J$1), FALSE), VLOOKUP($A202,raw_lb[],COLUMN(J$1),FALSE))</f>
        <v>0.81794999999999995</v>
      </c>
      <c r="K202" s="77">
        <f>VLOOKUP($A202, raw_lb[], 11, FALSE)</f>
        <v>0.86449999999999994</v>
      </c>
      <c r="L202" s="77">
        <f>VLOOKUP($A202, raw_lb[], 12, FALSE)</f>
        <v>0.874</v>
      </c>
      <c r="M202" s="77">
        <f>IF(VLOOKUP($A202,raw_lb[],COLUMN(M$1),FALSE)=0, VLOOKUP($D202, regions_lb[], COLUMN(M$1), FALSE), VLOOKUP($A202,raw_lb[],COLUMN(M$1),FALSE))</f>
        <v>0.13789999999999999</v>
      </c>
      <c r="N202" s="68">
        <f>IF(VLOOKUP($A202,raw_lb[],COLUMN(N$1),FALSE)=0, VLOOKUP($D202, regions_lb[], COLUMN(N$1), FALSE), VLOOKUP($A202,raw_lb[],COLUMN(N$1),FALSE))</f>
        <v>0.1832</v>
      </c>
      <c r="O202" s="67">
        <f>IF(VLOOKUP($A202,raw_lb[],COLUMN(O$1),FALSE)=0, VLOOKUP($D202, regions_lb[], COLUMN(O$1), FALSE), VLOOKUP($A202,raw_lb[],COLUMN(O$1),FALSE))</f>
        <v>0.7</v>
      </c>
      <c r="P202" s="68">
        <f>IF(VLOOKUP($A202,raw_lb[],COLUMN(P$1),FALSE)=0, VLOOKUP($D202, regions_lb[], COLUMN(P$1), FALSE), VLOOKUP($A202,raw_lb[],COLUMN(P$1),FALSE))</f>
        <v>0.05</v>
      </c>
      <c r="Q202" s="70">
        <f>IF(VLOOKUP($A202,raw_lb[],COLUMN(Q$1),FALSE)=0, VLOOKUP($D202, regions_lb[], COLUMN(Q$1), FALSE), VLOOKUP($A202,raw_lb[],COLUMN(Q$1),FALSE))</f>
        <v>1.2927926669780481</v>
      </c>
      <c r="R202" s="70">
        <f>IF(VLOOKUP($A202,raw_lb[],COLUMN(R$1),FALSE)=0, VLOOKUP($D202, regions_lb[], COLUMN(R$1), FALSE), VLOOKUP($A202,raw_lb[],COLUMN(R$1),FALSE))</f>
        <v>8.3536926669780485</v>
      </c>
      <c r="S202" s="70">
        <f>IF(VLOOKUP($A202,raw_lb[],COLUMN(S$1),FALSE)=0, VLOOKUP($D202, regions_lb[], COLUMN(S$1), FALSE), VLOOKUP($A202,raw_lb[],COLUMN(S$1),FALSE))</f>
        <v>40.634070027658019</v>
      </c>
      <c r="T202" s="70">
        <f>IF(VLOOKUP($A202,raw_lb[],COLUMN(U$1)-COLUMN($A$1),FALSE)=0, VLOOKUP($D202, regions_lb[], COLUMN(U$1)-COLUMN($A$1), FALSE), VLOOKUP($A202,raw_lb[],COLUMN(U$1)-COLUMN($A$1),FALSE))</f>
        <v>42.226889480191502</v>
      </c>
      <c r="U202" s="70">
        <f>IF(VLOOKUP($A202,raw_lb[],COLUMN(V$1)-COLUMN($A$1),FALSE)=0, VLOOKUP($D202, regions_lb[], COLUMN(V$1)-COLUMN($A$1), FALSE), VLOOKUP($A202,raw_lb[],COLUMN(V$1)-COLUMN($A$1),FALSE))</f>
        <v>41.495500455502224</v>
      </c>
      <c r="V202" s="70">
        <f>IF(VLOOKUP($A202,raw_lb[],COLUMN(W$1)-COLUMN($A$1),FALSE)=0, VLOOKUP($D202, regions_lb[], COLUMN(W$1)-COLUMN($A$1), FALSE), VLOOKUP($A202,raw_lb[],COLUMN(W$1)-COLUMN($A$1),FALSE))</f>
        <v>3.2597728466528415</v>
      </c>
      <c r="W202" s="70">
        <f>IF(VLOOKUP($A202,raw_lb[],COLUMN(X$1)-COLUMN($A$1),FALSE)=0, VLOOKUP($D202, regions_lb[], COLUMN(X$1)-COLUMN($A$1), FALSE), VLOOKUP($A202,raw_lb[],COLUMN(X$1)-COLUMN($A$1),FALSE))</f>
        <v>3.8582728466528415</v>
      </c>
      <c r="X202" s="70">
        <f>IF(VLOOKUP($A202,raw_lb[],COLUMN(Y$1)-COLUMN($A$1),FALSE)=0, VLOOKUP($D202, regions_lb[], COLUMN(Y$1)-COLUMN($A$1), FALSE), VLOOKUP($A202,raw_lb[],COLUMN(Y$1)-COLUMN($A$1),FALSE))</f>
        <v>2.7880367071814098</v>
      </c>
      <c r="Y202" s="70">
        <f>IF(VLOOKUP($A202,raw_lb[],COLUMN(Z$1)-COLUMN($A$1),FALSE)=0, VLOOKUP($D202, regions_lb[], COLUMN(Z$1)-COLUMN($A$1), FALSE), VLOOKUP($A202,raw_lb[],COLUMN(Z$1)-COLUMN($A$1),FALSE))</f>
        <v>3.3865367071814099</v>
      </c>
      <c r="Z202" s="70">
        <f>IF(VLOOKUP($A202,raw_lb[],COLUMN(AA$1)-COLUMN($A$1),FALSE)=0, VLOOKUP($D202, regions_lb[], COLUMN(AA$1)-COLUMN($A$1), FALSE), VLOOKUP($A202,raw_lb[],COLUMN(AA$1)-COLUMN($A$1),FALSE))</f>
        <v>3.3841821116615614</v>
      </c>
      <c r="AA202" s="70">
        <f>IF(VLOOKUP($A202,raw_lb[],COLUMN(AB$1)-COLUMN($A$1),FALSE)=0, VLOOKUP($D202, regions_lb[], COLUMN(AB$1)-COLUMN($A$1), FALSE), VLOOKUP($A202,raw_lb[],COLUMN(AB$1)-COLUMN($A$1),FALSE))</f>
        <v>3.4062368230535753</v>
      </c>
      <c r="AB202" s="70">
        <f>IF(VLOOKUP($A202,raw_lb[],COLUMN(AC$1)-COLUMN($A$1),FALSE)=0, VLOOKUP($D202, regions_lb[], COLUMN(AC$1)-COLUMN($A$1), FALSE), VLOOKUP($A202,raw_lb[],COLUMN(AC$1)-COLUMN($A$1),FALSE))</f>
        <v>4.0047368230535749</v>
      </c>
      <c r="AC202" s="72">
        <f>IF(VLOOKUP($A202,raw_lb[],COLUMN(AD$1)-COLUMN($A$1),FALSE)=0, VLOOKUP($D202, regions_lb[], COLUMN(AD$1)-COLUMN($A$1), FALSE), VLOOKUP($A202,raw_lb[],COLUMN(AD$1)-COLUMN($A$1),FALSE))</f>
        <v>4.067005100000004E-2</v>
      </c>
      <c r="AD202" s="72">
        <f>IF(VLOOKUP($A202,raw_lb[],COLUMN(AE$1)-COLUMN($A$1),FALSE)=0, VLOOKUP($D202, regions_lb[], COLUMN(AE$1)-COLUMN($A$1), FALSE), VLOOKUP($A202,raw_lb[],COLUMN(AE$1)-COLUMN($A$1),FALSE))</f>
        <v>2.8247999492096113E-3</v>
      </c>
      <c r="AE202" s="72">
        <f>IF(VLOOKUP($A202,raw_lb[],COLUMN(AF$1)-COLUMN($A$1),FALSE)=0, VLOOKUP($D202, regions_lb[], COLUMN(AF$1)-COLUMN($A$1), FALSE), VLOOKUP($A202,raw_lb[],COLUMN(AF$1)-COLUMN($A$1),FALSE))</f>
        <v>9.5975436620526343E-4</v>
      </c>
      <c r="AF202" s="72">
        <f>IF(VLOOKUP($A202,raw_lb[],COLUMN(AG$1)-COLUMN($A$1),FALSE)=0, VLOOKUP($D202, regions_lb[], COLUMN(AG$1)-COLUMN($A$1), FALSE), VLOOKUP($A202,raw_lb[],COLUMN(AG$1)-COLUMN($A$1),FALSE))</f>
        <v>7.3176763777256851E-4</v>
      </c>
      <c r="AG202" s="72">
        <f>IF(VLOOKUP($A202,raw_lb[],COLUMN(AH$1)-COLUMN($A$1),FALSE)=0, VLOOKUP($D202, regions_lb[], COLUMN(AH$1)-COLUMN($A$1), FALSE), VLOOKUP($A202,raw_lb[],COLUMN(AH$1)-COLUMN($A$1),FALSE))</f>
        <v>1.2930845047036017E-3</v>
      </c>
      <c r="AH202" s="72">
        <f>IF(VLOOKUP($A202,raw_lb[],COLUMN(AI$1)-COLUMN($A$1),FALSE)=0, VLOOKUP($D202, regions_lb[], COLUMN(AI$1)-COLUMN($A$1), FALSE), VLOOKUP($A202,raw_lb[],COLUMN(AI$1)-COLUMN($A$1),FALSE))</f>
        <v>1.7182919488275903E-3</v>
      </c>
      <c r="AI202" s="72">
        <f>IF(VLOOKUP($A202,raw_lb[],COLUMN(AJ$1)-COLUMN($A$1),FALSE)=0, VLOOKUP($D202, regions_lb[], COLUMN(AJ$1)-COLUMN($A$1), FALSE), VLOOKUP($A202,raw_lb[],COLUMN(AJ$1)-COLUMN($A$1),FALSE))</f>
        <v>1.8354457037939077E-3</v>
      </c>
      <c r="AJ202" s="72">
        <f>IF(VLOOKUP($A202,raw_lb[],COLUMN(AK$1)-COLUMN($A$1),FALSE)=0, VLOOKUP($D202, regions_lb[], COLUMN(AK$1)-COLUMN($A$1), FALSE), VLOOKUP($A202,raw_lb[],COLUMN(AK$1)-COLUMN($A$1),FALSE))</f>
        <v>2.151569554578485E-3</v>
      </c>
      <c r="AK202" s="72">
        <f>IF(VLOOKUP($A202,raw_lb[],COLUMN(AL$1)-COLUMN($A$1),FALSE)=0, VLOOKUP($D202, regions_lb[], COLUMN(AL$1)-COLUMN($A$1), FALSE), VLOOKUP($A202,raw_lb[],COLUMN(AL$1)-COLUMN($A$1),FALSE))</f>
        <v>2.8181011914983965E-3</v>
      </c>
      <c r="AL202" s="72">
        <f>IF(VLOOKUP($A202,raw_lb[],COLUMN(AM$1)-COLUMN($A$1),FALSE)=0, VLOOKUP($D202, regions_lb[], COLUMN(AM$1)-COLUMN($A$1), FALSE), VLOOKUP($A202,raw_lb[],COLUMN(AM$1)-COLUMN($A$1),FALSE))</f>
        <v>3.8857910152864674E-3</v>
      </c>
      <c r="AM202" s="72">
        <f>IF(VLOOKUP($A202,raw_lb[],COLUMN(AN$1)-COLUMN($A$1),FALSE)=0, VLOOKUP($D202, regions_lb[], COLUMN(AN$1)-COLUMN($A$1), FALSE), VLOOKUP($A202,raw_lb[],COLUMN(AN$1)-COLUMN($A$1),FALSE))</f>
        <v>5.648200123517814E-3</v>
      </c>
      <c r="AN202" s="72">
        <f>IF(VLOOKUP($A202,raw_lb[],COLUMN(AO$1)-COLUMN($A$1),FALSE)=0, VLOOKUP($D202, regions_lb[], COLUMN(AO$1)-COLUMN($A$1), FALSE), VLOOKUP($A202,raw_lb[],COLUMN(AO$1)-COLUMN($A$1),FALSE))</f>
        <v>8.4439545982601238E-3</v>
      </c>
      <c r="AO202" s="72">
        <f>IF(VLOOKUP($A202,raw_lb[],COLUMN(AP$1)-COLUMN($A$1),FALSE)=0, VLOOKUP($D202, regions_lb[], COLUMN(AP$1)-COLUMN($A$1), FALSE), VLOOKUP($A202,raw_lb[],COLUMN(AP$1)-COLUMN($A$1),FALSE))</f>
        <v>1.2677494863003949E-2</v>
      </c>
      <c r="AP202" s="72">
        <f>IF(VLOOKUP($A202,raw_lb[],COLUMN(AQ$1)-COLUMN($A$1),FALSE)=0, VLOOKUP($D202, regions_lb[], COLUMN(AQ$1)-COLUMN($A$1), FALSE), VLOOKUP($A202,raw_lb[],COLUMN(AQ$1)-COLUMN($A$1),FALSE))</f>
        <v>1.7717803588081657E-2</v>
      </c>
      <c r="AQ202" s="72">
        <f>IF(VLOOKUP($A202,raw_lb[],COLUMN(AR$1)-COLUMN($A$1),FALSE)=0, VLOOKUP($D202, regions_lb[], COLUMN(AR$1)-COLUMN($A$1), FALSE), VLOOKUP($A202,raw_lb[],COLUMN(AR$1)-COLUMN($A$1),FALSE))</f>
        <v>2.4502664830115557E-2</v>
      </c>
      <c r="AR202" s="72">
        <f>IF(VLOOKUP($A202,raw_lb[],COLUMN(AS$1)-COLUMN($A$1),FALSE)=0, VLOOKUP($D202, regions_lb[], COLUMN(AS$1)-COLUMN($A$1), FALSE), VLOOKUP($A202,raw_lb[],COLUMN(AS$1)-COLUMN($A$1),FALSE))</f>
        <v>3.5398602787191216E-2</v>
      </c>
      <c r="AS202" s="82">
        <f>IF(VLOOKUP($A202,raw_lb[],COLUMN(AS$1),FALSE)=0, VLOOKUP($D202, regions_lb[], COLUMN(AS$1), FALSE), VLOOKUP($A202,raw_lb[],COLUMN(AS$1),FALSE))</f>
        <v>5.3433248068609711E-2</v>
      </c>
      <c r="AT202" s="82">
        <f>IF(VLOOKUP($A202,raw_lb[],COLUMN(AT$1),FALSE)=0, VLOOKUP($D202, regions_lb[], COLUMN(AT$1), FALSE), VLOOKUP($A202,raw_lb[],COLUMN(AT$1),FALSE))</f>
        <v>7.7597481023399459E-2</v>
      </c>
      <c r="AU202" s="82">
        <f>IF(VLOOKUP($A202,raw_lb[],COLUMN(AU$1),FALSE)=0, VLOOKUP($D202, regions_lb[], COLUMN(AU$1), FALSE), VLOOKUP($A202,raw_lb[],COLUMN(AU$1),FALSE))</f>
        <v>0.10352838812147862</v>
      </c>
      <c r="AV202" s="82">
        <f>IF(VLOOKUP($A202,raw_lb[],COLUMN(AV$1),FALSE)=0, VLOOKUP($D202, regions_lb[], COLUMN(AV$1), FALSE), VLOOKUP($A202,raw_lb[],COLUMN(AV$1),FALSE))</f>
        <v>0.12514707270579581</v>
      </c>
      <c r="AW202" s="82">
        <f>IF(VLOOKUP($A202,raw_lb[],COLUMN(AW$1),FALSE)=0, VLOOKUP($D202, regions_lb[], COLUMN(AW$1), FALSE), VLOOKUP($A202,raw_lb[],COLUMN(AW$1),FALSE))</f>
        <v>0.14574671758464747</v>
      </c>
      <c r="AX202" s="82">
        <f>IF(VLOOKUP($A202,raw_lb[],COLUMN(AX$1),FALSE)=0, VLOOKUP($D202, regions_lb[], COLUMN(AX$1), FALSE), VLOOKUP($A202,raw_lb[],COLUMN(AX$1),FALSE))</f>
        <v>64.590499999999992</v>
      </c>
      <c r="AY202" t="str">
        <f t="shared" si="6"/>
        <v>No</v>
      </c>
    </row>
    <row r="203" spans="1:51" x14ac:dyDescent="0.25">
      <c r="A203" s="55" t="s">
        <v>350</v>
      </c>
      <c r="B203" s="56" t="s">
        <v>351</v>
      </c>
      <c r="C203" s="56">
        <v>408</v>
      </c>
      <c r="D203" s="56" t="s">
        <v>225</v>
      </c>
      <c r="E203" s="56" t="s">
        <v>271</v>
      </c>
      <c r="F203" s="56" t="s">
        <v>262</v>
      </c>
      <c r="G203" s="56" t="s">
        <v>198</v>
      </c>
      <c r="H203" s="74"/>
      <c r="I203" s="74"/>
      <c r="J203" s="67">
        <f>IF(VLOOKUP($A203,raw_lb[],COLUMN(J$1),FALSE)=0, VLOOKUP($D203, regions_lb[], COLUMN(J$1), FALSE), VLOOKUP($A203,raw_lb[],COLUMN(J$1),FALSE))</f>
        <v>0.87590000000000001</v>
      </c>
      <c r="K203" s="77">
        <f>VLOOKUP($A203, raw_lb[], 11, FALSE)</f>
        <v>0.9405</v>
      </c>
      <c r="L203" s="77">
        <f>VLOOKUP($A203, raw_lb[], 12, FALSE)</f>
        <v>0.92149999999999999</v>
      </c>
      <c r="M203" s="77">
        <f>IF(VLOOKUP($A203,raw_lb[],COLUMN(M$1),FALSE)=0, VLOOKUP($D203, regions_lb[], COLUMN(M$1), FALSE), VLOOKUP($A203,raw_lb[],COLUMN(M$1),FALSE))</f>
        <v>5.1999999999999998E-3</v>
      </c>
      <c r="N203" s="68">
        <f>IF(VLOOKUP($A203,raw_lb[],COLUMN(N$1),FALSE)=0, VLOOKUP($D203, regions_lb[], COLUMN(N$1), FALSE), VLOOKUP($A203,raw_lb[],COLUMN(N$1),FALSE))</f>
        <v>0.18350000000000002</v>
      </c>
      <c r="O203" s="67">
        <f>IF(VLOOKUP($A203,raw_lb[],COLUMN(O$1),FALSE)=0, VLOOKUP($D203, regions_lb[], COLUMN(O$1), FALSE), VLOOKUP($A203,raw_lb[],COLUMN(O$1),FALSE))</f>
        <v>0.7</v>
      </c>
      <c r="P203" s="68">
        <f>IF(VLOOKUP($A203,raw_lb[],COLUMN(P$1),FALSE)=0, VLOOKUP($D203, regions_lb[], COLUMN(P$1), FALSE), VLOOKUP($A203,raw_lb[],COLUMN(P$1),FALSE))</f>
        <v>0.05</v>
      </c>
      <c r="Q203" s="70">
        <f>IF(VLOOKUP($A203,raw_lb[],COLUMN(Q$1),FALSE)=0, VLOOKUP($D203, regions_lb[], COLUMN(Q$1), FALSE), VLOOKUP($A203,raw_lb[],COLUMN(Q$1),FALSE))</f>
        <v>0.87296720072689904</v>
      </c>
      <c r="R203" s="70">
        <f>IF(VLOOKUP($A203,raw_lb[],COLUMN(R$1),FALSE)=0, VLOOKUP($D203, regions_lb[], COLUMN(R$1), FALSE), VLOOKUP($A203,raw_lb[],COLUMN(R$1),FALSE))</f>
        <v>7.9338672007268993</v>
      </c>
      <c r="S203" s="70">
        <f>IF(VLOOKUP($A203,raw_lb[],COLUMN(S$1),FALSE)=0, VLOOKUP($D203, regions_lb[], COLUMN(S$1), FALSE), VLOOKUP($A203,raw_lb[],COLUMN(S$1),FALSE))</f>
        <v>39.1706580270655</v>
      </c>
      <c r="T203" s="70">
        <f>IF(VLOOKUP($A203,raw_lb[],COLUMN(U$1)-COLUMN($A$1),FALSE)=0, VLOOKUP($D203, regions_lb[], COLUMN(U$1)-COLUMN($A$1), FALSE), VLOOKUP($A203,raw_lb[],COLUMN(U$1)-COLUMN($A$1),FALSE))</f>
        <v>40.22032716302116</v>
      </c>
      <c r="U203" s="70">
        <f>IF(VLOOKUP($A203,raw_lb[],COLUMN(V$1)-COLUMN($A$1),FALSE)=0, VLOOKUP($D203, regions_lb[], COLUMN(V$1)-COLUMN($A$1), FALSE), VLOOKUP($A203,raw_lb[],COLUMN(V$1)-COLUMN($A$1),FALSE))</f>
        <v>39.738341282969316</v>
      </c>
      <c r="V203" s="70">
        <f>IF(VLOOKUP($A203,raw_lb[],COLUMN(W$1)-COLUMN($A$1),FALSE)=0, VLOOKUP($D203, regions_lb[], COLUMN(W$1)-COLUMN($A$1), FALSE), VLOOKUP($A203,raw_lb[],COLUMN(W$1)-COLUMN($A$1),FALSE))</f>
        <v>0.78465776302228241</v>
      </c>
      <c r="W203" s="70">
        <f>IF(VLOOKUP($A203,raw_lb[],COLUMN(X$1)-COLUMN($A$1),FALSE)=0, VLOOKUP($D203, regions_lb[], COLUMN(X$1)-COLUMN($A$1), FALSE), VLOOKUP($A203,raw_lb[],COLUMN(X$1)-COLUMN($A$1),FALSE))</f>
        <v>2.2656699269000695</v>
      </c>
      <c r="X203" s="70">
        <f>IF(VLOOKUP($A203,raw_lb[],COLUMN(Y$1)-COLUMN($A$1),FALSE)=0, VLOOKUP($D203, regions_lb[], COLUMN(Y$1)-COLUMN($A$1), FALSE), VLOOKUP($A203,raw_lb[],COLUMN(Y$1)-COLUMN($A$1),FALSE))</f>
        <v>0.3112724390549218</v>
      </c>
      <c r="Y203" s="70">
        <f>IF(VLOOKUP($A203,raw_lb[],COLUMN(Z$1)-COLUMN($A$1),FALSE)=0, VLOOKUP($D203, regions_lb[], COLUMN(Z$1)-COLUMN($A$1), FALSE), VLOOKUP($A203,raw_lb[],COLUMN(Z$1)-COLUMN($A$1),FALSE))</f>
        <v>1.7922846029327082</v>
      </c>
      <c r="Z203" s="70">
        <f>IF(VLOOKUP($A203,raw_lb[],COLUMN(AA$1)-COLUMN($A$1),FALSE)=0, VLOOKUP($D203, regions_lb[], COLUMN(AA$1)-COLUMN($A$1), FALSE), VLOOKUP($A203,raw_lb[],COLUMN(AA$1)-COLUMN($A$1),FALSE))</f>
        <v>1.7887070945104573</v>
      </c>
      <c r="AA203" s="70">
        <f>IF(VLOOKUP($A203,raw_lb[],COLUMN(AB$1)-COLUMN($A$1),FALSE)=0, VLOOKUP($D203, regions_lb[], COLUMN(AB$1)-COLUMN($A$1), FALSE), VLOOKUP($A203,raw_lb[],COLUMN(AB$1)-COLUMN($A$1),FALSE))</f>
        <v>0.93621065158188432</v>
      </c>
      <c r="AB203" s="70">
        <f>IF(VLOOKUP($A203,raw_lb[],COLUMN(AC$1)-COLUMN($A$1),FALSE)=0, VLOOKUP($D203, regions_lb[], COLUMN(AC$1)-COLUMN($A$1), FALSE), VLOOKUP($A203,raw_lb[],COLUMN(AC$1)-COLUMN($A$1),FALSE))</f>
        <v>2.4172228154596702</v>
      </c>
      <c r="AC203" s="72">
        <f>IF(VLOOKUP($A203,raw_lb[],COLUMN(AD$1)-COLUMN($A$1),FALSE)=0, VLOOKUP($D203, regions_lb[], COLUMN(AD$1)-COLUMN($A$1), FALSE), VLOOKUP($A203,raw_lb[],COLUMN(AD$1)-COLUMN($A$1),FALSE))</f>
        <v>1.3203204500000015E-2</v>
      </c>
      <c r="AD203" s="72">
        <f>IF(VLOOKUP($A203,raw_lb[],COLUMN(AE$1)-COLUMN($A$1),FALSE)=0, VLOOKUP($D203, regions_lb[], COLUMN(AE$1)-COLUMN($A$1), FALSE), VLOOKUP($A203,raw_lb[],COLUMN(AE$1)-COLUMN($A$1),FALSE))</f>
        <v>1.0949425063975875E-3</v>
      </c>
      <c r="AE203" s="72">
        <f>IF(VLOOKUP($A203,raw_lb[],COLUMN(AF$1)-COLUMN($A$1),FALSE)=0, VLOOKUP($D203, regions_lb[], COLUMN(AF$1)-COLUMN($A$1), FALSE), VLOOKUP($A203,raw_lb[],COLUMN(AF$1)-COLUMN($A$1),FALSE))</f>
        <v>6.1250279759982463E-4</v>
      </c>
      <c r="AF203" s="72">
        <f>IF(VLOOKUP($A203,raw_lb[],COLUMN(AG$1)-COLUMN($A$1),FALSE)=0, VLOOKUP($D203, regions_lb[], COLUMN(AG$1)-COLUMN($A$1), FALSE), VLOOKUP($A203,raw_lb[],COLUMN(AG$1)-COLUMN($A$1),FALSE))</f>
        <v>5.689679787059548E-4</v>
      </c>
      <c r="AG203" s="72">
        <f>IF(VLOOKUP($A203,raw_lb[],COLUMN(AH$1)-COLUMN($A$1),FALSE)=0, VLOOKUP($D203, regions_lb[], COLUMN(AH$1)-COLUMN($A$1), FALSE), VLOOKUP($A203,raw_lb[],COLUMN(AH$1)-COLUMN($A$1),FALSE))</f>
        <v>8.2166598504063572E-4</v>
      </c>
      <c r="AH203" s="72">
        <f>IF(VLOOKUP($A203,raw_lb[],COLUMN(AI$1)-COLUMN($A$1),FALSE)=0, VLOOKUP($D203, regions_lb[], COLUMN(AI$1)-COLUMN($A$1), FALSE), VLOOKUP($A203,raw_lb[],COLUMN(AI$1)-COLUMN($A$1),FALSE))</f>
        <v>1.1783467525958498E-3</v>
      </c>
      <c r="AI203" s="72">
        <f>IF(VLOOKUP($A203,raw_lb[],COLUMN(AJ$1)-COLUMN($A$1),FALSE)=0, VLOOKUP($D203, regions_lb[], COLUMN(AJ$1)-COLUMN($A$1), FALSE), VLOOKUP($A203,raw_lb[],COLUMN(AJ$1)-COLUMN($A$1),FALSE))</f>
        <v>1.4626867422074634E-3</v>
      </c>
      <c r="AJ203" s="72">
        <f>IF(VLOOKUP($A203,raw_lb[],COLUMN(AK$1)-COLUMN($A$1),FALSE)=0, VLOOKUP($D203, regions_lb[], COLUMN(AK$1)-COLUMN($A$1), FALSE), VLOOKUP($A203,raw_lb[],COLUMN(AK$1)-COLUMN($A$1),FALSE))</f>
        <v>1.6612434474872798E-3</v>
      </c>
      <c r="AK203" s="72">
        <f>IF(VLOOKUP($A203,raw_lb[],COLUMN(AL$1)-COLUMN($A$1),FALSE)=0, VLOOKUP($D203, regions_lb[], COLUMN(AL$1)-COLUMN($A$1), FALSE), VLOOKUP($A203,raw_lb[],COLUMN(AL$1)-COLUMN($A$1),FALSE))</f>
        <v>1.9155981294328806E-3</v>
      </c>
      <c r="AL203" s="72">
        <f>IF(VLOOKUP($A203,raw_lb[],COLUMN(AM$1)-COLUMN($A$1),FALSE)=0, VLOOKUP($D203, regions_lb[], COLUMN(AM$1)-COLUMN($A$1), FALSE), VLOOKUP($A203,raw_lb[],COLUMN(AM$1)-COLUMN($A$1),FALSE))</f>
        <v>2.3270304874970235E-3</v>
      </c>
      <c r="AM203" s="72">
        <f>IF(VLOOKUP($A203,raw_lb[],COLUMN(AN$1)-COLUMN($A$1),FALSE)=0, VLOOKUP($D203, regions_lb[], COLUMN(AN$1)-COLUMN($A$1), FALSE), VLOOKUP($A203,raw_lb[],COLUMN(AN$1)-COLUMN($A$1),FALSE))</f>
        <v>3.1760080634953935E-3</v>
      </c>
      <c r="AN203" s="72">
        <f>IF(VLOOKUP($A203,raw_lb[],COLUMN(AO$1)-COLUMN($A$1),FALSE)=0, VLOOKUP($D203, regions_lb[], COLUMN(AO$1)-COLUMN($A$1), FALSE), VLOOKUP($A203,raw_lb[],COLUMN(AO$1)-COLUMN($A$1),FALSE))</f>
        <v>4.5577088284551731E-3</v>
      </c>
      <c r="AO203" s="72">
        <f>IF(VLOOKUP($A203,raw_lb[],COLUMN(AP$1)-COLUMN($A$1),FALSE)=0, VLOOKUP($D203, regions_lb[], COLUMN(AP$1)-COLUMN($A$1), FALSE), VLOOKUP($A203,raw_lb[],COLUMN(AP$1)-COLUMN($A$1),FALSE))</f>
        <v>9.1973374909347459E-3</v>
      </c>
      <c r="AP203" s="72">
        <f>IF(VLOOKUP($A203,raw_lb[],COLUMN(AQ$1)-COLUMN($A$1),FALSE)=0, VLOOKUP($D203, regions_lb[], COLUMN(AQ$1)-COLUMN($A$1), FALSE), VLOOKUP($A203,raw_lb[],COLUMN(AQ$1)-COLUMN($A$1),FALSE))</f>
        <v>1.8810377819010453E-2</v>
      </c>
      <c r="AQ203" s="72">
        <f>IF(VLOOKUP($A203,raw_lb[],COLUMN(AR$1)-COLUMN($A$1),FALSE)=0, VLOOKUP($D203, regions_lb[], COLUMN(AR$1)-COLUMN($A$1), FALSE), VLOOKUP($A203,raw_lb[],COLUMN(AR$1)-COLUMN($A$1),FALSE))</f>
        <v>2.7423081469331454E-2</v>
      </c>
      <c r="AR203" s="72">
        <f>IF(VLOOKUP($A203,raw_lb[],COLUMN(AS$1)-COLUMN($A$1),FALSE)=0, VLOOKUP($D203, regions_lb[], COLUMN(AS$1)-COLUMN($A$1), FALSE), VLOOKUP($A203,raw_lb[],COLUMN(AS$1)-COLUMN($A$1),FALSE))</f>
        <v>3.8445192890859937E-2</v>
      </c>
      <c r="AS203" s="82">
        <f>IF(VLOOKUP($A203,raw_lb[],COLUMN(AS$1),FALSE)=0, VLOOKUP($D203, regions_lb[], COLUMN(AS$1), FALSE), VLOOKUP($A203,raw_lb[],COLUMN(AS$1),FALSE))</f>
        <v>5.9884081015736869E-2</v>
      </c>
      <c r="AT203" s="82">
        <f>IF(VLOOKUP($A203,raw_lb[],COLUMN(AT$1),FALSE)=0, VLOOKUP($D203, regions_lb[], COLUMN(AT$1), FALSE), VLOOKUP($A203,raw_lb[],COLUMN(AT$1),FALSE))</f>
        <v>8.3644259806461535E-2</v>
      </c>
      <c r="AU203" s="82">
        <f>IF(VLOOKUP($A203,raw_lb[],COLUMN(AU$1),FALSE)=0, VLOOKUP($D203, regions_lb[], COLUMN(AU$1), FALSE), VLOOKUP($A203,raw_lb[],COLUMN(AU$1),FALSE))</f>
        <v>0.11297128458664052</v>
      </c>
      <c r="AV203" s="82">
        <f>IF(VLOOKUP($A203,raw_lb[],COLUMN(AV$1),FALSE)=0, VLOOKUP($D203, regions_lb[], COLUMN(AV$1), FALSE), VLOOKUP($A203,raw_lb[],COLUMN(AV$1),FALSE))</f>
        <v>0.14108148886487673</v>
      </c>
      <c r="AW203" s="82">
        <f>IF(VLOOKUP($A203,raw_lb[],COLUMN(AW$1),FALSE)=0, VLOOKUP($D203, regions_lb[], COLUMN(AW$1), FALSE), VLOOKUP($A203,raw_lb[],COLUMN(AW$1),FALSE))</f>
        <v>0.16179247964187476</v>
      </c>
      <c r="AX203" s="82">
        <f>IF(VLOOKUP($A203,raw_lb[],COLUMN(AX$1),FALSE)=0, VLOOKUP($D203, regions_lb[], COLUMN(AX$1), FALSE), VLOOKUP($A203,raw_lb[],COLUMN(AX$1),FALSE))</f>
        <v>68.365799999999993</v>
      </c>
      <c r="AY203" t="str">
        <f t="shared" si="6"/>
        <v>No</v>
      </c>
    </row>
    <row r="204" spans="1:51" x14ac:dyDescent="0.25">
      <c r="A204" s="53" t="s">
        <v>352</v>
      </c>
      <c r="B204" s="54" t="s">
        <v>353</v>
      </c>
      <c r="C204" s="54">
        <v>417</v>
      </c>
      <c r="D204" s="54" t="s">
        <v>201</v>
      </c>
      <c r="E204" s="54" t="s">
        <v>220</v>
      </c>
      <c r="F204" s="54" t="s">
        <v>203</v>
      </c>
      <c r="G204" s="54" t="s">
        <v>212</v>
      </c>
      <c r="H204" s="73"/>
      <c r="I204" s="73"/>
      <c r="J204" s="67">
        <f>IF(VLOOKUP($A204,raw_lb[],COLUMN(J$1),FALSE)=0, VLOOKUP($D204, regions_lb[], COLUMN(J$1), FALSE), VLOOKUP($A204,raw_lb[],COLUMN(J$1),FALSE))</f>
        <v>0.94619999999999993</v>
      </c>
      <c r="K204" s="77">
        <f>VLOOKUP($A204, raw_lb[], 11, FALSE)</f>
        <v>0.90249999999999997</v>
      </c>
      <c r="L204" s="77">
        <f>VLOOKUP($A204, raw_lb[], 12, FALSE)</f>
        <v>0.81699999999999995</v>
      </c>
      <c r="M204" s="77">
        <f>IF(VLOOKUP($A204,raw_lb[],COLUMN(M$1),FALSE)=0, VLOOKUP($D204, regions_lb[], COLUMN(M$1), FALSE), VLOOKUP($A204,raw_lb[],COLUMN(M$1),FALSE))</f>
        <v>1.0800000000000001E-2</v>
      </c>
      <c r="N204" s="68">
        <f>IF(VLOOKUP($A204,raw_lb[],COLUMN(N$1),FALSE)=0, VLOOKUP($D204, regions_lb[], COLUMN(N$1), FALSE), VLOOKUP($A204,raw_lb[],COLUMN(N$1),FALSE))</f>
        <v>0.16309999999999999</v>
      </c>
      <c r="O204" s="67">
        <f>IF(VLOOKUP($A204,raw_lb[],COLUMN(O$1),FALSE)=0, VLOOKUP($D204, regions_lb[], COLUMN(O$1), FALSE), VLOOKUP($A204,raw_lb[],COLUMN(O$1),FALSE))</f>
        <v>0.7</v>
      </c>
      <c r="P204" s="68">
        <f>IF(VLOOKUP($A204,raw_lb[],COLUMN(P$1),FALSE)=0, VLOOKUP($D204, regions_lb[], COLUMN(P$1), FALSE), VLOOKUP($A204,raw_lb[],COLUMN(P$1),FALSE))</f>
        <v>0.05</v>
      </c>
      <c r="Q204" s="70">
        <f>IF(VLOOKUP($A204,raw_lb[],COLUMN(Q$1),FALSE)=0, VLOOKUP($D204, regions_lb[], COLUMN(Q$1), FALSE), VLOOKUP($A204,raw_lb[],COLUMN(Q$1),FALSE))</f>
        <v>0.73523282732447803</v>
      </c>
      <c r="R204" s="70">
        <f>IF(VLOOKUP($A204,raw_lb[],COLUMN(R$1),FALSE)=0, VLOOKUP($D204, regions_lb[], COLUMN(R$1), FALSE), VLOOKUP($A204,raw_lb[],COLUMN(R$1),FALSE))</f>
        <v>7.7961328273244792</v>
      </c>
      <c r="S204" s="70">
        <f>IF(VLOOKUP($A204,raw_lb[],COLUMN(S$1),FALSE)=0, VLOOKUP($D204, regions_lb[], COLUMN(S$1), FALSE), VLOOKUP($A204,raw_lb[],COLUMN(S$1),FALSE))</f>
        <v>38.055907648994548</v>
      </c>
      <c r="T204" s="70">
        <f>IF(VLOOKUP($A204,raw_lb[],COLUMN(U$1)-COLUMN($A$1),FALSE)=0, VLOOKUP($D204, regions_lb[], COLUMN(U$1)-COLUMN($A$1), FALSE), VLOOKUP($A204,raw_lb[],COLUMN(U$1)-COLUMN($A$1),FALSE))</f>
        <v>38.597074102350689</v>
      </c>
      <c r="U204" s="70">
        <f>IF(VLOOKUP($A204,raw_lb[],COLUMN(V$1)-COLUMN($A$1),FALSE)=0, VLOOKUP($D204, regions_lb[], COLUMN(V$1)-COLUMN($A$1), FALSE), VLOOKUP($A204,raw_lb[],COLUMN(V$1)-COLUMN($A$1),FALSE))</f>
        <v>38.348581905771127</v>
      </c>
      <c r="V204" s="70">
        <f>IF(VLOOKUP($A204,raw_lb[],COLUMN(W$1)-COLUMN($A$1),FALSE)=0, VLOOKUP($D204, regions_lb[], COLUMN(W$1)-COLUMN($A$1), FALSE), VLOOKUP($A204,raw_lb[],COLUMN(W$1)-COLUMN($A$1),FALSE))</f>
        <v>1.7733420180852479</v>
      </c>
      <c r="W204" s="70">
        <f>IF(VLOOKUP($A204,raw_lb[],COLUMN(X$1)-COLUMN($A$1),FALSE)=0, VLOOKUP($D204, regions_lb[], COLUMN(X$1)-COLUMN($A$1), FALSE), VLOOKUP($A204,raw_lb[],COLUMN(X$1)-COLUMN($A$1),FALSE))</f>
        <v>5.6398420180852487</v>
      </c>
      <c r="X204" s="70">
        <f>IF(VLOOKUP($A204,raw_lb[],COLUMN(Y$1)-COLUMN($A$1),FALSE)=0, VLOOKUP($D204, regions_lb[], COLUMN(Y$1)-COLUMN($A$1), FALSE), VLOOKUP($A204,raw_lb[],COLUMN(Y$1)-COLUMN($A$1),FALSE))</f>
        <v>1.3025804550828255</v>
      </c>
      <c r="Y204" s="70">
        <f>IF(VLOOKUP($A204,raw_lb[],COLUMN(Z$1)-COLUMN($A$1),FALSE)=0, VLOOKUP($D204, regions_lb[], COLUMN(Z$1)-COLUMN($A$1), FALSE), VLOOKUP($A204,raw_lb[],COLUMN(Z$1)-COLUMN($A$1),FALSE))</f>
        <v>5.1690804550828258</v>
      </c>
      <c r="Z204" s="70">
        <f>IF(VLOOKUP($A204,raw_lb[],COLUMN(AA$1)-COLUMN($A$1),FALSE)=0, VLOOKUP($D204, regions_lb[], COLUMN(AA$1)-COLUMN($A$1), FALSE), VLOOKUP($A204,raw_lb[],COLUMN(AA$1)-COLUMN($A$1),FALSE))</f>
        <v>5.167229354267036</v>
      </c>
      <c r="AA204" s="70">
        <f>IF(VLOOKUP($A204,raw_lb[],COLUMN(AB$1)-COLUMN($A$1),FALSE)=0, VLOOKUP($D204, regions_lb[], COLUMN(AB$1)-COLUMN($A$1), FALSE), VLOOKUP($A204,raw_lb[],COLUMN(AB$1)-COLUMN($A$1),FALSE))</f>
        <v>1.9167987299530398</v>
      </c>
      <c r="AB204" s="70">
        <f>IF(VLOOKUP($A204,raw_lb[],COLUMN(AC$1)-COLUMN($A$1),FALSE)=0, VLOOKUP($D204, regions_lb[], COLUMN(AC$1)-COLUMN($A$1), FALSE), VLOOKUP($A204,raw_lb[],COLUMN(AC$1)-COLUMN($A$1),FALSE))</f>
        <v>5.7832987299530405</v>
      </c>
      <c r="AC204" s="72">
        <f>IF(VLOOKUP($A204,raw_lb[],COLUMN(AD$1)-COLUMN($A$1),FALSE)=0, VLOOKUP($D204, regions_lb[], COLUMN(AD$1)-COLUMN($A$1), FALSE), VLOOKUP($A204,raw_lb[],COLUMN(AD$1)-COLUMN($A$1),FALSE))</f>
        <v>1.4730927999999963E-2</v>
      </c>
      <c r="AD204" s="72">
        <f>IF(VLOOKUP($A204,raw_lb[],COLUMN(AE$1)-COLUMN($A$1),FALSE)=0, VLOOKUP($D204, regions_lb[], COLUMN(AE$1)-COLUMN($A$1), FALSE), VLOOKUP($A204,raw_lb[],COLUMN(AE$1)-COLUMN($A$1),FALSE))</f>
        <v>6.8101536265706148E-4</v>
      </c>
      <c r="AE204" s="72">
        <f>IF(VLOOKUP($A204,raw_lb[],COLUMN(AF$1)-COLUMN($A$1),FALSE)=0, VLOOKUP($D204, regions_lb[], COLUMN(AF$1)-COLUMN($A$1), FALSE), VLOOKUP($A204,raw_lb[],COLUMN(AF$1)-COLUMN($A$1),FALSE))</f>
        <v>2.8536073687186156E-4</v>
      </c>
      <c r="AF204" s="72">
        <f>IF(VLOOKUP($A204,raw_lb[],COLUMN(AG$1)-COLUMN($A$1),FALSE)=0, VLOOKUP($D204, regions_lb[], COLUMN(AG$1)-COLUMN($A$1), FALSE), VLOOKUP($A204,raw_lb[],COLUMN(AG$1)-COLUMN($A$1),FALSE))</f>
        <v>3.4296268904961038E-4</v>
      </c>
      <c r="AG204" s="72">
        <f>IF(VLOOKUP($A204,raw_lb[],COLUMN(AH$1)-COLUMN($A$1),FALSE)=0, VLOOKUP($D204, regions_lb[], COLUMN(AH$1)-COLUMN($A$1), FALSE), VLOOKUP($A204,raw_lb[],COLUMN(AH$1)-COLUMN($A$1),FALSE))</f>
        <v>5.3838379987635832E-4</v>
      </c>
      <c r="AH204" s="72">
        <f>IF(VLOOKUP($A204,raw_lb[],COLUMN(AI$1)-COLUMN($A$1),FALSE)=0, VLOOKUP($D204, regions_lb[], COLUMN(AI$1)-COLUMN($A$1), FALSE), VLOOKUP($A204,raw_lb[],COLUMN(AI$1)-COLUMN($A$1),FALSE))</f>
        <v>7.3490985227015653E-4</v>
      </c>
      <c r="AI204" s="72">
        <f>IF(VLOOKUP($A204,raw_lb[],COLUMN(AJ$1)-COLUMN($A$1),FALSE)=0, VLOOKUP($D204, regions_lb[], COLUMN(AJ$1)-COLUMN($A$1), FALSE), VLOOKUP($A204,raw_lb[],COLUMN(AJ$1)-COLUMN($A$1),FALSE))</f>
        <v>9.4390356595667059E-4</v>
      </c>
      <c r="AJ204" s="72">
        <f>IF(VLOOKUP($A204,raw_lb[],COLUMN(AK$1)-COLUMN($A$1),FALSE)=0, VLOOKUP($D204, regions_lb[], COLUMN(AK$1)-COLUMN($A$1), FALSE), VLOOKUP($A204,raw_lb[],COLUMN(AK$1)-COLUMN($A$1),FALSE))</f>
        <v>1.5149779386878037E-3</v>
      </c>
      <c r="AK204" s="72">
        <f>IF(VLOOKUP($A204,raw_lb[],COLUMN(AL$1)-COLUMN($A$1),FALSE)=0, VLOOKUP($D204, regions_lb[], COLUMN(AL$1)-COLUMN($A$1), FALSE), VLOOKUP($A204,raw_lb[],COLUMN(AL$1)-COLUMN($A$1),FALSE))</f>
        <v>2.2553600475459334E-3</v>
      </c>
      <c r="AL204" s="72">
        <f>IF(VLOOKUP($A204,raw_lb[],COLUMN(AM$1)-COLUMN($A$1),FALSE)=0, VLOOKUP($D204, regions_lb[], COLUMN(AM$1)-COLUMN($A$1), FALSE), VLOOKUP($A204,raw_lb[],COLUMN(AM$1)-COLUMN($A$1),FALSE))</f>
        <v>3.4224084989433251E-3</v>
      </c>
      <c r="AM204" s="72">
        <f>IF(VLOOKUP($A204,raw_lb[],COLUMN(AN$1)-COLUMN($A$1),FALSE)=0, VLOOKUP($D204, regions_lb[], COLUMN(AN$1)-COLUMN($A$1), FALSE), VLOOKUP($A204,raw_lb[],COLUMN(AN$1)-COLUMN($A$1),FALSE))</f>
        <v>4.7632890246334814E-3</v>
      </c>
      <c r="AN204" s="72">
        <f>IF(VLOOKUP($A204,raw_lb[],COLUMN(AO$1)-COLUMN($A$1),FALSE)=0, VLOOKUP($D204, regions_lb[], COLUMN(AO$1)-COLUMN($A$1), FALSE), VLOOKUP($A204,raw_lb[],COLUMN(AO$1)-COLUMN($A$1),FALSE))</f>
        <v>6.8660743024059594E-3</v>
      </c>
      <c r="AO204" s="72">
        <f>IF(VLOOKUP($A204,raw_lb[],COLUMN(AP$1)-COLUMN($A$1),FALSE)=0, VLOOKUP($D204, regions_lb[], COLUMN(AP$1)-COLUMN($A$1), FALSE), VLOOKUP($A204,raw_lb[],COLUMN(AP$1)-COLUMN($A$1),FALSE))</f>
        <v>1.0058821434012995E-2</v>
      </c>
      <c r="AP204" s="72">
        <f>IF(VLOOKUP($A204,raw_lb[],COLUMN(AQ$1)-COLUMN($A$1),FALSE)=0, VLOOKUP($D204, regions_lb[], COLUMN(AQ$1)-COLUMN($A$1), FALSE), VLOOKUP($A204,raw_lb[],COLUMN(AQ$1)-COLUMN($A$1),FALSE))</f>
        <v>1.5863814053402096E-2</v>
      </c>
      <c r="AQ204" s="72">
        <f>IF(VLOOKUP($A204,raw_lb[],COLUMN(AR$1)-COLUMN($A$1),FALSE)=0, VLOOKUP($D204, regions_lb[], COLUMN(AR$1)-COLUMN($A$1), FALSE), VLOOKUP($A204,raw_lb[],COLUMN(AR$1)-COLUMN($A$1),FALSE))</f>
        <v>2.303282000500247E-2</v>
      </c>
      <c r="AR204" s="72">
        <f>IF(VLOOKUP($A204,raw_lb[],COLUMN(AS$1)-COLUMN($A$1),FALSE)=0, VLOOKUP($D204, regions_lb[], COLUMN(AS$1)-COLUMN($A$1), FALSE), VLOOKUP($A204,raw_lb[],COLUMN(AS$1)-COLUMN($A$1),FALSE))</f>
        <v>4.6328842003960494E-2</v>
      </c>
      <c r="AS204" s="82">
        <f>IF(VLOOKUP($A204,raw_lb[],COLUMN(AS$1),FALSE)=0, VLOOKUP($D204, regions_lb[], COLUMN(AS$1), FALSE), VLOOKUP($A204,raw_lb[],COLUMN(AS$1),FALSE))</f>
        <v>7.8441049770473892E-2</v>
      </c>
      <c r="AT204" s="82">
        <f>IF(VLOOKUP($A204,raw_lb[],COLUMN(AT$1),FALSE)=0, VLOOKUP($D204, regions_lb[], COLUMN(AT$1), FALSE), VLOOKUP($A204,raw_lb[],COLUMN(AT$1),FALSE))</f>
        <v>0.10114010836409791</v>
      </c>
      <c r="AU204" s="82">
        <f>IF(VLOOKUP($A204,raw_lb[],COLUMN(AU$1),FALSE)=0, VLOOKUP($D204, regions_lb[], COLUMN(AU$1), FALSE), VLOOKUP($A204,raw_lb[],COLUMN(AU$1),FALSE))</f>
        <v>0.11997086332119189</v>
      </c>
      <c r="AV204" s="82">
        <f>IF(VLOOKUP($A204,raw_lb[],COLUMN(AV$1),FALSE)=0, VLOOKUP($D204, regions_lb[], COLUMN(AV$1), FALSE), VLOOKUP($A204,raw_lb[],COLUMN(AV$1),FALSE))</f>
        <v>0.13438718112986012</v>
      </c>
      <c r="AW204" s="82">
        <f>IF(VLOOKUP($A204,raw_lb[],COLUMN(AW$1),FALSE)=0, VLOOKUP($D204, regions_lb[], COLUMN(AW$1), FALSE), VLOOKUP($A204,raw_lb[],COLUMN(AW$1),FALSE))</f>
        <v>0.15097219836106582</v>
      </c>
      <c r="AX204" s="82">
        <f>IF(VLOOKUP($A204,raw_lb[],COLUMN(AX$1),FALSE)=0, VLOOKUP($D204, regions_lb[], COLUMN(AX$1), FALSE), VLOOKUP($A204,raw_lb[],COLUMN(AX$1),FALSE))</f>
        <v>67.622900000000001</v>
      </c>
      <c r="AY204" t="str">
        <f t="shared" ref="AY204:AY235" si="7">IF($K204=0,"Yes", "No")</f>
        <v>No</v>
      </c>
    </row>
    <row r="205" spans="1:51" x14ac:dyDescent="0.25">
      <c r="A205" s="55" t="s">
        <v>354</v>
      </c>
      <c r="B205" s="56" t="s">
        <v>355</v>
      </c>
      <c r="C205" s="56">
        <v>418</v>
      </c>
      <c r="D205" s="56" t="s">
        <v>260</v>
      </c>
      <c r="E205" s="56" t="s">
        <v>261</v>
      </c>
      <c r="F205" s="56" t="s">
        <v>262</v>
      </c>
      <c r="G205" s="56" t="s">
        <v>212</v>
      </c>
      <c r="H205" s="74"/>
      <c r="I205" s="74"/>
      <c r="J205" s="67">
        <f>IF(VLOOKUP($A205,raw_lb[],COLUMN(J$1),FALSE)=0, VLOOKUP($D205, regions_lb[], COLUMN(J$1), FALSE), VLOOKUP($A205,raw_lb[],COLUMN(J$1),FALSE))</f>
        <v>0.61275000000000002</v>
      </c>
      <c r="K205" s="77">
        <f>VLOOKUP($A205, raw_lb[], 11, FALSE)</f>
        <v>0.55099999999999993</v>
      </c>
      <c r="L205" s="77">
        <f>VLOOKUP($A205, raw_lb[], 12, FALSE)</f>
        <v>0.75049999999999994</v>
      </c>
      <c r="M205" s="77">
        <f>IF(VLOOKUP($A205,raw_lb[],COLUMN(M$1),FALSE)=0, VLOOKUP($D205, regions_lb[], COLUMN(M$1), FALSE), VLOOKUP($A205,raw_lb[],COLUMN(M$1),FALSE))</f>
        <v>3.9199999999999999E-2</v>
      </c>
      <c r="N205" s="68">
        <f>IF(VLOOKUP($A205,raw_lb[],COLUMN(N$1),FALSE)=0, VLOOKUP($D205, regions_lb[], COLUMN(N$1), FALSE), VLOOKUP($A205,raw_lb[],COLUMN(N$1),FALSE))</f>
        <v>0.18100000000000002</v>
      </c>
      <c r="O205" s="67">
        <f>IF(VLOOKUP($A205,raw_lb[],COLUMN(O$1),FALSE)=0, VLOOKUP($D205, regions_lb[], COLUMN(O$1), FALSE), VLOOKUP($A205,raw_lb[],COLUMN(O$1),FALSE))</f>
        <v>0.7</v>
      </c>
      <c r="P205" s="68">
        <f>IF(VLOOKUP($A205,raw_lb[],COLUMN(P$1),FALSE)=0, VLOOKUP($D205, regions_lb[], COLUMN(P$1), FALSE), VLOOKUP($A205,raw_lb[],COLUMN(P$1),FALSE))</f>
        <v>0.05</v>
      </c>
      <c r="Q205" s="70">
        <f>IF(VLOOKUP($A205,raw_lb[],COLUMN(Q$1),FALSE)=0, VLOOKUP($D205, regions_lb[], COLUMN(Q$1), FALSE), VLOOKUP($A205,raw_lb[],COLUMN(Q$1),FALSE))</f>
        <v>1.4657678480610949</v>
      </c>
      <c r="R205" s="70">
        <f>IF(VLOOKUP($A205,raw_lb[],COLUMN(R$1),FALSE)=0, VLOOKUP($D205, regions_lb[], COLUMN(R$1), FALSE), VLOOKUP($A205,raw_lb[],COLUMN(R$1),FALSE))</f>
        <v>8.5266678480611002</v>
      </c>
      <c r="S205" s="70">
        <f>IF(VLOOKUP($A205,raw_lb[],COLUMN(S$1),FALSE)=0, VLOOKUP($D205, regions_lb[], COLUMN(S$1), FALSE), VLOOKUP($A205,raw_lb[],COLUMN(S$1),FALSE))</f>
        <v>43.895753407346618</v>
      </c>
      <c r="T205" s="70">
        <f>IF(VLOOKUP($A205,raw_lb[],COLUMN(U$1)-COLUMN($A$1),FALSE)=0, VLOOKUP($D205, regions_lb[], COLUMN(U$1)-COLUMN($A$1), FALSE), VLOOKUP($A205,raw_lb[],COLUMN(U$1)-COLUMN($A$1),FALSE))</f>
        <v>47.096137523358543</v>
      </c>
      <c r="U205" s="70">
        <f>IF(VLOOKUP($A205,raw_lb[],COLUMN(V$1)-COLUMN($A$1),FALSE)=0, VLOOKUP($D205, regions_lb[], COLUMN(V$1)-COLUMN($A$1), FALSE), VLOOKUP($A205,raw_lb[],COLUMN(V$1)-COLUMN($A$1),FALSE))</f>
        <v>45.626588784788105</v>
      </c>
      <c r="V205" s="70">
        <f>IF(VLOOKUP($A205,raw_lb[],COLUMN(W$1)-COLUMN($A$1),FALSE)=0, VLOOKUP($D205, regions_lb[], COLUMN(W$1)-COLUMN($A$1), FALSE), VLOOKUP($A205,raw_lb[],COLUMN(W$1)-COLUMN($A$1),FALSE))</f>
        <v>1.0192181766984343</v>
      </c>
      <c r="W205" s="70">
        <f>IF(VLOOKUP($A205,raw_lb[],COLUMN(X$1)-COLUMN($A$1),FALSE)=0, VLOOKUP($D205, regions_lb[], COLUMN(X$1)-COLUMN($A$1), FALSE), VLOOKUP($A205,raw_lb[],COLUMN(X$1)-COLUMN($A$1),FALSE))</f>
        <v>1.6177181766984341</v>
      </c>
      <c r="X205" s="70">
        <f>IF(VLOOKUP($A205,raw_lb[],COLUMN(Y$1)-COLUMN($A$1),FALSE)=0, VLOOKUP($D205, regions_lb[], COLUMN(Y$1)-COLUMN($A$1), FALSE), VLOOKUP($A205,raw_lb[],COLUMN(Y$1)-COLUMN($A$1),FALSE))</f>
        <v>0.54494831309058211</v>
      </c>
      <c r="Y205" s="70">
        <f>IF(VLOOKUP($A205,raw_lb[],COLUMN(Z$1)-COLUMN($A$1),FALSE)=0, VLOOKUP($D205, regions_lb[], COLUMN(Z$1)-COLUMN($A$1), FALSE), VLOOKUP($A205,raw_lb[],COLUMN(Z$1)-COLUMN($A$1),FALSE))</f>
        <v>1.1434483130905821</v>
      </c>
      <c r="Z205" s="70">
        <f>IF(VLOOKUP($A205,raw_lb[],COLUMN(AA$1)-COLUMN($A$1),FALSE)=0, VLOOKUP($D205, regions_lb[], COLUMN(AA$1)-COLUMN($A$1), FALSE), VLOOKUP($A205,raw_lb[],COLUMN(AA$1)-COLUMN($A$1),FALSE))</f>
        <v>1.1392818418201316</v>
      </c>
      <c r="AA205" s="70">
        <f>IF(VLOOKUP($A205,raw_lb[],COLUMN(AB$1)-COLUMN($A$1),FALSE)=0, VLOOKUP($D205, regions_lb[], COLUMN(AB$1)-COLUMN($A$1), FALSE), VLOOKUP($A205,raw_lb[],COLUMN(AB$1)-COLUMN($A$1),FALSE))</f>
        <v>1.1735005018629807</v>
      </c>
      <c r="AB205" s="70">
        <f>IF(VLOOKUP($A205,raw_lb[],COLUMN(AC$1)-COLUMN($A$1),FALSE)=0, VLOOKUP($D205, regions_lb[], COLUMN(AC$1)-COLUMN($A$1), FALSE), VLOOKUP($A205,raw_lb[],COLUMN(AC$1)-COLUMN($A$1),FALSE))</f>
        <v>1.7720005018629807</v>
      </c>
      <c r="AC205" s="72">
        <f>IF(VLOOKUP($A205,raw_lb[],COLUMN(AD$1)-COLUMN($A$1),FALSE)=0, VLOOKUP($D205, regions_lb[], COLUMN(AD$1)-COLUMN($A$1), FALSE), VLOOKUP($A205,raw_lb[],COLUMN(AD$1)-COLUMN($A$1),FALSE))</f>
        <v>3.6838900499999952E-2</v>
      </c>
      <c r="AD205" s="72">
        <f>IF(VLOOKUP($A205,raw_lb[],COLUMN(AE$1)-COLUMN($A$1),FALSE)=0, VLOOKUP($D205, regions_lb[], COLUMN(AE$1)-COLUMN($A$1), FALSE), VLOOKUP($A205,raw_lb[],COLUMN(AE$1)-COLUMN($A$1),FALSE))</f>
        <v>2.3627318963010588E-3</v>
      </c>
      <c r="AE205" s="72">
        <f>IF(VLOOKUP($A205,raw_lb[],COLUMN(AF$1)-COLUMN($A$1),FALSE)=0, VLOOKUP($D205, regions_lb[], COLUMN(AF$1)-COLUMN($A$1), FALSE), VLOOKUP($A205,raw_lb[],COLUMN(AF$1)-COLUMN($A$1),FALSE))</f>
        <v>8.5483061990526471E-4</v>
      </c>
      <c r="AF205" s="72">
        <f>IF(VLOOKUP($A205,raw_lb[],COLUMN(AG$1)-COLUMN($A$1),FALSE)=0, VLOOKUP($D205, regions_lb[], COLUMN(AG$1)-COLUMN($A$1), FALSE), VLOOKUP($A205,raw_lb[],COLUMN(AG$1)-COLUMN($A$1),FALSE))</f>
        <v>6.8463758532205838E-4</v>
      </c>
      <c r="AG205" s="72">
        <f>IF(VLOOKUP($A205,raw_lb[],COLUMN(AH$1)-COLUMN($A$1),FALSE)=0, VLOOKUP($D205, regions_lb[], COLUMN(AH$1)-COLUMN($A$1), FALSE), VLOOKUP($A205,raw_lb[],COLUMN(AH$1)-COLUMN($A$1),FALSE))</f>
        <v>1.1580958338805059E-3</v>
      </c>
      <c r="AH205" s="72">
        <f>IF(VLOOKUP($A205,raw_lb[],COLUMN(AI$1)-COLUMN($A$1),FALSE)=0, VLOOKUP($D205, regions_lb[], COLUMN(AI$1)-COLUMN($A$1), FALSE), VLOOKUP($A205,raw_lb[],COLUMN(AI$1)-COLUMN($A$1),FALSE))</f>
        <v>1.6276894721471765E-3</v>
      </c>
      <c r="AI205" s="72">
        <f>IF(VLOOKUP($A205,raw_lb[],COLUMN(AJ$1)-COLUMN($A$1),FALSE)=0, VLOOKUP($D205, regions_lb[], COLUMN(AJ$1)-COLUMN($A$1), FALSE), VLOOKUP($A205,raw_lb[],COLUMN(AJ$1)-COLUMN($A$1),FALSE))</f>
        <v>1.765578287930363E-3</v>
      </c>
      <c r="AJ205" s="72">
        <f>IF(VLOOKUP($A205,raw_lb[],COLUMN(AK$1)-COLUMN($A$1),FALSE)=0, VLOOKUP($D205, regions_lb[], COLUMN(AK$1)-COLUMN($A$1), FALSE), VLOOKUP($A205,raw_lb[],COLUMN(AK$1)-COLUMN($A$1),FALSE))</f>
        <v>2.0367203875374627E-3</v>
      </c>
      <c r="AK205" s="72">
        <f>IF(VLOOKUP($A205,raw_lb[],COLUMN(AL$1)-COLUMN($A$1),FALSE)=0, VLOOKUP($D205, regions_lb[], COLUMN(AL$1)-COLUMN($A$1), FALSE), VLOOKUP($A205,raw_lb[],COLUMN(AL$1)-COLUMN($A$1),FALSE))</f>
        <v>2.5961849351398688E-3</v>
      </c>
      <c r="AL205" s="72">
        <f>IF(VLOOKUP($A205,raw_lb[],COLUMN(AM$1)-COLUMN($A$1),FALSE)=0, VLOOKUP($D205, regions_lb[], COLUMN(AM$1)-COLUMN($A$1), FALSE), VLOOKUP($A205,raw_lb[],COLUMN(AM$1)-COLUMN($A$1),FALSE))</f>
        <v>3.5799300564852373E-3</v>
      </c>
      <c r="AM205" s="72">
        <f>IF(VLOOKUP($A205,raw_lb[],COLUMN(AN$1)-COLUMN($A$1),FALSE)=0, VLOOKUP($D205, regions_lb[], COLUMN(AN$1)-COLUMN($A$1), FALSE), VLOOKUP($A205,raw_lb[],COLUMN(AN$1)-COLUMN($A$1),FALSE))</f>
        <v>5.2880732074011708E-3</v>
      </c>
      <c r="AN205" s="72">
        <f>IF(VLOOKUP($A205,raw_lb[],COLUMN(AO$1)-COLUMN($A$1),FALSE)=0, VLOOKUP($D205, regions_lb[], COLUMN(AO$1)-COLUMN($A$1), FALSE), VLOOKUP($A205,raw_lb[],COLUMN(AO$1)-COLUMN($A$1),FALSE))</f>
        <v>7.9531063523157215E-3</v>
      </c>
      <c r="AO205" s="72">
        <f>IF(VLOOKUP($A205,raw_lb[],COLUMN(AP$1)-COLUMN($A$1),FALSE)=0, VLOOKUP($D205, regions_lb[], COLUMN(AP$1)-COLUMN($A$1), FALSE), VLOOKUP($A205,raw_lb[],COLUMN(AP$1)-COLUMN($A$1),FALSE))</f>
        <v>1.2110019613039555E-2</v>
      </c>
      <c r="AP205" s="72">
        <f>IF(VLOOKUP($A205,raw_lb[],COLUMN(AQ$1)-COLUMN($A$1),FALSE)=0, VLOOKUP($D205, regions_lb[], COLUMN(AQ$1)-COLUMN($A$1), FALSE), VLOOKUP($A205,raw_lb[],COLUMN(AQ$1)-COLUMN($A$1),FALSE))</f>
        <v>1.8559776864647014E-2</v>
      </c>
      <c r="AQ205" s="72">
        <f>IF(VLOOKUP($A205,raw_lb[],COLUMN(AR$1)-COLUMN($A$1),FALSE)=0, VLOOKUP($D205, regions_lb[], COLUMN(AR$1)-COLUMN($A$1), FALSE), VLOOKUP($A205,raw_lb[],COLUMN(AR$1)-COLUMN($A$1),FALSE))</f>
        <v>2.8501119188533906E-2</v>
      </c>
      <c r="AR205" s="72">
        <f>IF(VLOOKUP($A205,raw_lb[],COLUMN(AS$1)-COLUMN($A$1),FALSE)=0, VLOOKUP($D205, regions_lb[], COLUMN(AS$1)-COLUMN($A$1), FALSE), VLOOKUP($A205,raw_lb[],COLUMN(AS$1)-COLUMN($A$1),FALSE))</f>
        <v>4.4087674404212497E-2</v>
      </c>
      <c r="AS205" s="82">
        <f>IF(VLOOKUP($A205,raw_lb[],COLUMN(AS$1),FALSE)=0, VLOOKUP($D205, regions_lb[], COLUMN(AS$1), FALSE), VLOOKUP($A205,raw_lb[],COLUMN(AS$1),FALSE))</f>
        <v>6.6778949535542156E-2</v>
      </c>
      <c r="AT205" s="82">
        <f>IF(VLOOKUP($A205,raw_lb[],COLUMN(AT$1),FALSE)=0, VLOOKUP($D205, regions_lb[], COLUMN(AT$1), FALSE), VLOOKUP($A205,raw_lb[],COLUMN(AT$1),FALSE))</f>
        <v>9.6756167523152511E-2</v>
      </c>
      <c r="AU205" s="82">
        <f>IF(VLOOKUP($A205,raw_lb[],COLUMN(AU$1),FALSE)=0, VLOOKUP($D205, regions_lb[], COLUMN(AU$1), FALSE), VLOOKUP($A205,raw_lb[],COLUMN(AU$1),FALSE))</f>
        <v>0.12847787610374051</v>
      </c>
      <c r="AV205" s="82">
        <f>IF(VLOOKUP($A205,raw_lb[],COLUMN(AV$1),FALSE)=0, VLOOKUP($D205, regions_lb[], COLUMN(AV$1), FALSE), VLOOKUP($A205,raw_lb[],COLUMN(AV$1),FALSE))</f>
        <v>0.15418902774612428</v>
      </c>
      <c r="AW205" s="82">
        <f>IF(VLOOKUP($A205,raw_lb[],COLUMN(AW$1),FALSE)=0, VLOOKUP($D205, regions_lb[], COLUMN(AW$1), FALSE), VLOOKUP($A205,raw_lb[],COLUMN(AW$1),FALSE))</f>
        <v>0.17071958321636557</v>
      </c>
      <c r="AX205" s="82">
        <f>IF(VLOOKUP($A205,raw_lb[],COLUMN(AX$1),FALSE)=0, VLOOKUP($D205, regions_lb[], COLUMN(AX$1), FALSE), VLOOKUP($A205,raw_lb[],COLUMN(AX$1),FALSE))</f>
        <v>64.068950000000001</v>
      </c>
      <c r="AY205" t="str">
        <f t="shared" si="7"/>
        <v>No</v>
      </c>
    </row>
    <row r="206" spans="1:51" x14ac:dyDescent="0.25">
      <c r="A206" s="53" t="s">
        <v>356</v>
      </c>
      <c r="B206" s="54" t="s">
        <v>357</v>
      </c>
      <c r="C206" s="54">
        <v>422</v>
      </c>
      <c r="D206" s="54" t="s">
        <v>196</v>
      </c>
      <c r="E206" s="54" t="s">
        <v>197</v>
      </c>
      <c r="F206" s="54" t="s">
        <v>197</v>
      </c>
      <c r="G206" s="54" t="s">
        <v>204</v>
      </c>
      <c r="H206" s="73"/>
      <c r="I206" s="73"/>
      <c r="J206" s="67">
        <f>IF(VLOOKUP($A206,raw_lb[],COLUMN(J$1),FALSE)=0, VLOOKUP($D206, regions_lb[], COLUMN(J$1), FALSE), VLOOKUP($A206,raw_lb[],COLUMN(J$1),FALSE))</f>
        <v>0.94904999999999995</v>
      </c>
      <c r="K206" s="77">
        <f>VLOOKUP($A206, raw_lb[], 11, FALSE)</f>
        <v>0.73149999999999993</v>
      </c>
      <c r="L206" s="77">
        <f>VLOOKUP($A206, raw_lb[], 12, FALSE)</f>
        <v>0.67449999999999999</v>
      </c>
      <c r="M206" s="77">
        <f>IF(VLOOKUP($A206,raw_lb[],COLUMN(M$1),FALSE)=0, VLOOKUP($D206, regions_lb[], COLUMN(M$1), FALSE), VLOOKUP($A206,raw_lb[],COLUMN(M$1),FALSE))</f>
        <v>9.300000000000001E-3</v>
      </c>
      <c r="N206" s="68">
        <f>IF(VLOOKUP($A206,raw_lb[],COLUMN(N$1),FALSE)=0, VLOOKUP($D206, regions_lb[], COLUMN(N$1), FALSE), VLOOKUP($A206,raw_lb[],COLUMN(N$1),FALSE))</f>
        <v>0.14980000000000002</v>
      </c>
      <c r="O206" s="67">
        <f>IF(VLOOKUP($A206,raw_lb[],COLUMN(O$1),FALSE)=0, VLOOKUP($D206, regions_lb[], COLUMN(O$1), FALSE), VLOOKUP($A206,raw_lb[],COLUMN(O$1),FALSE))</f>
        <v>0.7</v>
      </c>
      <c r="P206" s="68">
        <f>IF(VLOOKUP($A206,raw_lb[],COLUMN(P$1),FALSE)=0, VLOOKUP($D206, regions_lb[], COLUMN(P$1), FALSE), VLOOKUP($A206,raw_lb[],COLUMN(P$1),FALSE))</f>
        <v>0.05</v>
      </c>
      <c r="Q206" s="70">
        <f>IF(VLOOKUP($A206,raw_lb[],COLUMN(Q$1),FALSE)=0, VLOOKUP($D206, regions_lb[], COLUMN(Q$1), FALSE), VLOOKUP($A206,raw_lb[],COLUMN(Q$1),FALSE))</f>
        <v>2.5438108310626699</v>
      </c>
      <c r="R206" s="70">
        <f>IF(VLOOKUP($A206,raw_lb[],COLUMN(R$1),FALSE)=0, VLOOKUP($D206, regions_lb[], COLUMN(R$1), FALSE), VLOOKUP($A206,raw_lb[],COLUMN(R$1),FALSE))</f>
        <v>9.6047108310626701</v>
      </c>
      <c r="S206" s="70">
        <f>IF(VLOOKUP($A206,raw_lb[],COLUMN(S$1),FALSE)=0, VLOOKUP($D206, regions_lb[], COLUMN(S$1), FALSE), VLOOKUP($A206,raw_lb[],COLUMN(S$1),FALSE))</f>
        <v>55.693405069188252</v>
      </c>
      <c r="T206" s="70">
        <f>IF(VLOOKUP($A206,raw_lb[],COLUMN(U$1)-COLUMN($A$1),FALSE)=0, VLOOKUP($D206, regions_lb[], COLUMN(U$1)-COLUMN($A$1), FALSE), VLOOKUP($A206,raw_lb[],COLUMN(U$1)-COLUMN($A$1),FALSE))</f>
        <v>64.472970839912676</v>
      </c>
      <c r="U206" s="70">
        <f>IF(VLOOKUP($A206,raw_lb[],COLUMN(V$1)-COLUMN($A$1),FALSE)=0, VLOOKUP($D206, regions_lb[], COLUMN(V$1)-COLUMN($A$1), FALSE), VLOOKUP($A206,raw_lb[],COLUMN(V$1)-COLUMN($A$1),FALSE))</f>
        <v>60.441579814374876</v>
      </c>
      <c r="V206" s="70">
        <f>IF(VLOOKUP($A206,raw_lb[],COLUMN(W$1)-COLUMN($A$1),FALSE)=0, VLOOKUP($D206, regions_lb[], COLUMN(W$1)-COLUMN($A$1), FALSE), VLOOKUP($A206,raw_lb[],COLUMN(W$1)-COLUMN($A$1),FALSE))</f>
        <v>1.8125343970550738</v>
      </c>
      <c r="W206" s="70">
        <f>IF(VLOOKUP($A206,raw_lb[],COLUMN(X$1)-COLUMN($A$1),FALSE)=0, VLOOKUP($D206, regions_lb[], COLUMN(X$1)-COLUMN($A$1), FALSE), VLOOKUP($A206,raw_lb[],COLUMN(X$1)-COLUMN($A$1),FALSE))</f>
        <v>2.268534397055074</v>
      </c>
      <c r="X206" s="70">
        <f>IF(VLOOKUP($A206,raw_lb[],COLUMN(Y$1)-COLUMN($A$1),FALSE)=0, VLOOKUP($D206, regions_lb[], COLUMN(Y$1)-COLUMN($A$1), FALSE), VLOOKUP($A206,raw_lb[],COLUMN(Y$1)-COLUMN($A$1),FALSE))</f>
        <v>1.3383657368297821</v>
      </c>
      <c r="Y206" s="70">
        <f>IF(VLOOKUP($A206,raw_lb[],COLUMN(Z$1)-COLUMN($A$1),FALSE)=0, VLOOKUP($D206, regions_lb[], COLUMN(Z$1)-COLUMN($A$1), FALSE), VLOOKUP($A206,raw_lb[],COLUMN(Z$1)-COLUMN($A$1),FALSE))</f>
        <v>1.7943657368297821</v>
      </c>
      <c r="Z206" s="70">
        <f>IF(VLOOKUP($A206,raw_lb[],COLUMN(AA$1)-COLUMN($A$1),FALSE)=0, VLOOKUP($D206, regions_lb[], COLUMN(AA$1)-COLUMN($A$1), FALSE), VLOOKUP($A206,raw_lb[],COLUMN(AA$1)-COLUMN($A$1),FALSE))</f>
        <v>1.7901378981017761</v>
      </c>
      <c r="AA206" s="70">
        <f>IF(VLOOKUP($A206,raw_lb[],COLUMN(AB$1)-COLUMN($A$1),FALSE)=0, VLOOKUP($D206, regions_lb[], COLUMN(AB$1)-COLUMN($A$1), FALSE), VLOOKUP($A206,raw_lb[],COLUMN(AB$1)-COLUMN($A$1),FALSE))</f>
        <v>1.9665044374962919</v>
      </c>
      <c r="AB206" s="70">
        <f>IF(VLOOKUP($A206,raw_lb[],COLUMN(AC$1)-COLUMN($A$1),FALSE)=0, VLOOKUP($D206, regions_lb[], COLUMN(AC$1)-COLUMN($A$1), FALSE), VLOOKUP($A206,raw_lb[],COLUMN(AC$1)-COLUMN($A$1),FALSE))</f>
        <v>2.4225044374962916</v>
      </c>
      <c r="AC206" s="72">
        <f>IF(VLOOKUP($A206,raw_lb[],COLUMN(AD$1)-COLUMN($A$1),FALSE)=0, VLOOKUP($D206, regions_lb[], COLUMN(AD$1)-COLUMN($A$1), FALSE), VLOOKUP($A206,raw_lb[],COLUMN(AD$1)-COLUMN($A$1),FALSE))</f>
        <v>8.9439839999999448E-3</v>
      </c>
      <c r="AD206" s="72">
        <f>IF(VLOOKUP($A206,raw_lb[],COLUMN(AE$1)-COLUMN($A$1),FALSE)=0, VLOOKUP($D206, regions_lb[], COLUMN(AE$1)-COLUMN($A$1), FALSE), VLOOKUP($A206,raw_lb[],COLUMN(AE$1)-COLUMN($A$1),FALSE))</f>
        <v>3.5771781304889532E-4</v>
      </c>
      <c r="AE206" s="72">
        <f>IF(VLOOKUP($A206,raw_lb[],COLUMN(AF$1)-COLUMN($A$1),FALSE)=0, VLOOKUP($D206, regions_lb[], COLUMN(AF$1)-COLUMN($A$1), FALSE), VLOOKUP($A206,raw_lb[],COLUMN(AF$1)-COLUMN($A$1),FALSE))</f>
        <v>1.7405355337161578E-4</v>
      </c>
      <c r="AF206" s="72">
        <f>IF(VLOOKUP($A206,raw_lb[],COLUMN(AG$1)-COLUMN($A$1),FALSE)=0, VLOOKUP($D206, regions_lb[], COLUMN(AG$1)-COLUMN($A$1), FALSE), VLOOKUP($A206,raw_lb[],COLUMN(AG$1)-COLUMN($A$1),FALSE))</f>
        <v>1.4579160709630906E-4</v>
      </c>
      <c r="AG206" s="72">
        <f>IF(VLOOKUP($A206,raw_lb[],COLUMN(AH$1)-COLUMN($A$1),FALSE)=0, VLOOKUP($D206, regions_lb[], COLUMN(AH$1)-COLUMN($A$1), FALSE), VLOOKUP($A206,raw_lb[],COLUMN(AH$1)-COLUMN($A$1),FALSE))</f>
        <v>2.7333490954801516E-4</v>
      </c>
      <c r="AH206" s="72">
        <f>IF(VLOOKUP($A206,raw_lb[],COLUMN(AI$1)-COLUMN($A$1),FALSE)=0, VLOOKUP($D206, regions_lb[], COLUMN(AI$1)-COLUMN($A$1), FALSE), VLOOKUP($A206,raw_lb[],COLUMN(AI$1)-COLUMN($A$1),FALSE))</f>
        <v>3.8105851063625532E-4</v>
      </c>
      <c r="AI206" s="72">
        <f>IF(VLOOKUP($A206,raw_lb[],COLUMN(AJ$1)-COLUMN($A$1),FALSE)=0, VLOOKUP($D206, regions_lb[], COLUMN(AJ$1)-COLUMN($A$1), FALSE), VLOOKUP($A206,raw_lb[],COLUMN(AJ$1)-COLUMN($A$1),FALSE))</f>
        <v>4.079079182583706E-4</v>
      </c>
      <c r="AJ206" s="72">
        <f>IF(VLOOKUP($A206,raw_lb[],COLUMN(AK$1)-COLUMN($A$1),FALSE)=0, VLOOKUP($D206, regions_lb[], COLUMN(AK$1)-COLUMN($A$1), FALSE), VLOOKUP($A206,raw_lb[],COLUMN(AK$1)-COLUMN($A$1),FALSE))</f>
        <v>4.8028913932769658E-4</v>
      </c>
      <c r="AK206" s="72">
        <f>IF(VLOOKUP($A206,raw_lb[],COLUMN(AL$1)-COLUMN($A$1),FALSE)=0, VLOOKUP($D206, regions_lb[], COLUMN(AL$1)-COLUMN($A$1), FALSE), VLOOKUP($A206,raw_lb[],COLUMN(AL$1)-COLUMN($A$1),FALSE))</f>
        <v>6.4653482578109296E-4</v>
      </c>
      <c r="AL206" s="72">
        <f>IF(VLOOKUP($A206,raw_lb[],COLUMN(AM$1)-COLUMN($A$1),FALSE)=0, VLOOKUP($D206, regions_lb[], COLUMN(AM$1)-COLUMN($A$1), FALSE), VLOOKUP($A206,raw_lb[],COLUMN(AM$1)-COLUMN($A$1),FALSE))</f>
        <v>9.9429943554951413E-4</v>
      </c>
      <c r="AM206" s="72">
        <f>IF(VLOOKUP($A206,raw_lb[],COLUMN(AN$1)-COLUMN($A$1),FALSE)=0, VLOOKUP($D206, regions_lb[], COLUMN(AN$1)-COLUMN($A$1), FALSE), VLOOKUP($A206,raw_lb[],COLUMN(AN$1)-COLUMN($A$1),FALSE))</f>
        <v>1.7342095312434496E-3</v>
      </c>
      <c r="AN206" s="72">
        <f>IF(VLOOKUP($A206,raw_lb[],COLUMN(AO$1)-COLUMN($A$1),FALSE)=0, VLOOKUP($D206, regions_lb[], COLUMN(AO$1)-COLUMN($A$1), FALSE), VLOOKUP($A206,raw_lb[],COLUMN(AO$1)-COLUMN($A$1),FALSE))</f>
        <v>2.963526460428678E-3</v>
      </c>
      <c r="AO206" s="72">
        <f>IF(VLOOKUP($A206,raw_lb[],COLUMN(AP$1)-COLUMN($A$1),FALSE)=0, VLOOKUP($D206, regions_lb[], COLUMN(AP$1)-COLUMN($A$1), FALSE), VLOOKUP($A206,raw_lb[],COLUMN(AP$1)-COLUMN($A$1),FALSE))</f>
        <v>5.1683232243441889E-3</v>
      </c>
      <c r="AP206" s="72">
        <f>IF(VLOOKUP($A206,raw_lb[],COLUMN(AQ$1)-COLUMN($A$1),FALSE)=0, VLOOKUP($D206, regions_lb[], COLUMN(AQ$1)-COLUMN($A$1), FALSE), VLOOKUP($A206,raw_lb[],COLUMN(AQ$1)-COLUMN($A$1),FALSE))</f>
        <v>8.2098292152751988E-3</v>
      </c>
      <c r="AQ206" s="72">
        <f>IF(VLOOKUP($A206,raw_lb[],COLUMN(AR$1)-COLUMN($A$1),FALSE)=0, VLOOKUP($D206, regions_lb[], COLUMN(AR$1)-COLUMN($A$1), FALSE), VLOOKUP($A206,raw_lb[],COLUMN(AR$1)-COLUMN($A$1),FALSE))</f>
        <v>1.3997440464389036E-2</v>
      </c>
      <c r="AR206" s="72">
        <f>IF(VLOOKUP($A206,raw_lb[],COLUMN(AS$1)-COLUMN($A$1),FALSE)=0, VLOOKUP($D206, regions_lb[], COLUMN(AS$1)-COLUMN($A$1), FALSE), VLOOKUP($A206,raw_lb[],COLUMN(AS$1)-COLUMN($A$1),FALSE))</f>
        <v>2.4229152548782214E-2</v>
      </c>
      <c r="AS206" s="82">
        <f>IF(VLOOKUP($A206,raw_lb[],COLUMN(AS$1),FALSE)=0, VLOOKUP($D206, regions_lb[], COLUMN(AS$1), FALSE), VLOOKUP($A206,raw_lb[],COLUMN(AS$1),FALSE))</f>
        <v>4.0061017927271535E-2</v>
      </c>
      <c r="AT206" s="82">
        <f>IF(VLOOKUP($A206,raw_lb[],COLUMN(AT$1),FALSE)=0, VLOOKUP($D206, regions_lb[], COLUMN(AT$1), FALSE), VLOOKUP($A206,raw_lb[],COLUMN(AT$1),FALSE))</f>
        <v>6.4722135995976857E-2</v>
      </c>
      <c r="AU206" s="82">
        <f>IF(VLOOKUP($A206,raw_lb[],COLUMN(AU$1),FALSE)=0, VLOOKUP($D206, regions_lb[], COLUMN(AU$1), FALSE), VLOOKUP($A206,raw_lb[],COLUMN(AU$1),FALSE))</f>
        <v>9.6883284803762335E-2</v>
      </c>
      <c r="AV206" s="82">
        <f>IF(VLOOKUP($A206,raw_lb[],COLUMN(AV$1),FALSE)=0, VLOOKUP($D206, regions_lb[], COLUMN(AV$1), FALSE), VLOOKUP($A206,raw_lb[],COLUMN(AV$1),FALSE))</f>
        <v>0.12925083737600901</v>
      </c>
      <c r="AW206" s="82">
        <f>IF(VLOOKUP($A206,raw_lb[],COLUMN(AW$1),FALSE)=0, VLOOKUP($D206, regions_lb[], COLUMN(AW$1), FALSE), VLOOKUP($A206,raw_lb[],COLUMN(AW$1),FALSE))</f>
        <v>0.15491953009875059</v>
      </c>
      <c r="AX206" s="82">
        <f>IF(VLOOKUP($A206,raw_lb[],COLUMN(AX$1),FALSE)=0, VLOOKUP($D206, regions_lb[], COLUMN(AX$1), FALSE), VLOOKUP($A206,raw_lb[],COLUMN(AX$1),FALSE))</f>
        <v>74.881849999999986</v>
      </c>
      <c r="AY206" t="str">
        <f t="shared" si="7"/>
        <v>No</v>
      </c>
    </row>
    <row r="207" spans="1:51" x14ac:dyDescent="0.25">
      <c r="A207" s="55" t="s">
        <v>358</v>
      </c>
      <c r="B207" s="56" t="s">
        <v>359</v>
      </c>
      <c r="C207" s="56">
        <v>426</v>
      </c>
      <c r="D207" s="56" t="s">
        <v>207</v>
      </c>
      <c r="E207" s="56" t="s">
        <v>245</v>
      </c>
      <c r="F207" s="56" t="s">
        <v>211</v>
      </c>
      <c r="G207" s="56" t="s">
        <v>212</v>
      </c>
      <c r="H207" s="74"/>
      <c r="I207" s="74"/>
      <c r="J207" s="67">
        <f>IF(VLOOKUP($A207,raw_lb[],COLUMN(J$1),FALSE)=0, VLOOKUP($D207, regions_lb[], COLUMN(J$1), FALSE), VLOOKUP($A207,raw_lb[],COLUMN(J$1),FALSE))</f>
        <v>0.84929999999999994</v>
      </c>
      <c r="K207" s="77">
        <f>VLOOKUP($A207, raw_lb[], 11, FALSE)</f>
        <v>0</v>
      </c>
      <c r="L207" s="77">
        <f>VLOOKUP($A207, raw_lb[], 12, FALSE)</f>
        <v>0.82650000000000001</v>
      </c>
      <c r="M207" s="77">
        <f>IF(VLOOKUP($A207,raw_lb[],COLUMN(M$1),FALSE)=0, VLOOKUP($D207, regions_lb[], COLUMN(M$1), FALSE), VLOOKUP($A207,raw_lb[],COLUMN(M$1),FALSE))</f>
        <v>7.0999999999999995E-3</v>
      </c>
      <c r="N207" s="68">
        <f>IF(VLOOKUP($A207,raw_lb[],COLUMN(N$1),FALSE)=0, VLOOKUP($D207, regions_lb[], COLUMN(N$1), FALSE), VLOOKUP($A207,raw_lb[],COLUMN(N$1),FALSE))</f>
        <v>0.15109999999999998</v>
      </c>
      <c r="O207" s="67">
        <f>IF(VLOOKUP($A207,raw_lb[],COLUMN(O$1),FALSE)=0, VLOOKUP($D207, regions_lb[], COLUMN(O$1), FALSE), VLOOKUP($A207,raw_lb[],COLUMN(O$1),FALSE))</f>
        <v>7.0000000000000007E-2</v>
      </c>
      <c r="P207" s="68">
        <f>IF(VLOOKUP($A207,raw_lb[],COLUMN(P$1),FALSE)=0, VLOOKUP($D207, regions_lb[], COLUMN(P$1), FALSE), VLOOKUP($A207,raw_lb[],COLUMN(P$1),FALSE))</f>
        <v>1E-3</v>
      </c>
      <c r="Q207" s="70">
        <f>IF(VLOOKUP($A207,raw_lb[],COLUMN(Q$1),FALSE)=0, VLOOKUP($D207, regions_lb[], COLUMN(Q$1), FALSE), VLOOKUP($A207,raw_lb[],COLUMN(Q$1),FALSE))</f>
        <v>0.80221711711711707</v>
      </c>
      <c r="R207" s="70">
        <f>IF(VLOOKUP($A207,raw_lb[],COLUMN(R$1),FALSE)=0, VLOOKUP($D207, regions_lb[], COLUMN(R$1), FALSE), VLOOKUP($A207,raw_lb[],COLUMN(R$1),FALSE))</f>
        <v>7.8631171171171186</v>
      </c>
      <c r="S207" s="70">
        <f>IF(VLOOKUP($A207,raw_lb[],COLUMN(S$1),FALSE)=0, VLOOKUP($D207, regions_lb[], COLUMN(S$1), FALSE), VLOOKUP($A207,raw_lb[],COLUMN(S$1),FALSE))</f>
        <v>38.316474520321847</v>
      </c>
      <c r="T207" s="70">
        <f>IF(VLOOKUP($A207,raw_lb[],COLUMN(U$1)-COLUMN($A$1),FALSE)=0, VLOOKUP($D207, regions_lb[], COLUMN(U$1)-COLUMN($A$1), FALSE), VLOOKUP($A207,raw_lb[],COLUMN(U$1)-COLUMN($A$1),FALSE))</f>
        <v>38.958393941433428</v>
      </c>
      <c r="U207" s="70">
        <f>IF(VLOOKUP($A207,raw_lb[],COLUMN(V$1)-COLUMN($A$1),FALSE)=0, VLOOKUP($D207, regions_lb[], COLUMN(V$1)-COLUMN($A$1), FALSE), VLOOKUP($A207,raw_lb[],COLUMN(V$1)-COLUMN($A$1),FALSE))</f>
        <v>38.663638111707002</v>
      </c>
      <c r="V207" s="70">
        <f>IF(VLOOKUP($A207,raw_lb[],COLUMN(W$1)-COLUMN($A$1),FALSE)=0, VLOOKUP($D207, regions_lb[], COLUMN(W$1)-COLUMN($A$1), FALSE), VLOOKUP($A207,raw_lb[],COLUMN(W$1)-COLUMN($A$1),FALSE))</f>
        <v>2.183584432064595</v>
      </c>
      <c r="W207" s="70">
        <f>IF(VLOOKUP($A207,raw_lb[],COLUMN(X$1)-COLUMN($A$1),FALSE)=0, VLOOKUP($D207, regions_lb[], COLUMN(X$1)-COLUMN($A$1), FALSE), VLOOKUP($A207,raw_lb[],COLUMN(X$1)-COLUMN($A$1),FALSE))</f>
        <v>6.7720844320645952</v>
      </c>
      <c r="X207" s="70">
        <f>IF(VLOOKUP($A207,raw_lb[],COLUMN(Y$1)-COLUMN($A$1),FALSE)=0, VLOOKUP($D207, regions_lb[], COLUMN(Y$1)-COLUMN($A$1), FALSE), VLOOKUP($A207,raw_lb[],COLUMN(Y$1)-COLUMN($A$1),FALSE))</f>
        <v>1.7136454044824414</v>
      </c>
      <c r="Y207" s="70">
        <f>IF(VLOOKUP($A207,raw_lb[],COLUMN(Z$1)-COLUMN($A$1),FALSE)=0, VLOOKUP($D207, regions_lb[], COLUMN(Z$1)-COLUMN($A$1), FALSE), VLOOKUP($A207,raw_lb[],COLUMN(Z$1)-COLUMN($A$1),FALSE))</f>
        <v>6.3021454044824416</v>
      </c>
      <c r="Z207" s="70">
        <f>IF(VLOOKUP($A207,raw_lb[],COLUMN(AA$1)-COLUMN($A$1),FALSE)=0, VLOOKUP($D207, regions_lb[], COLUMN(AA$1)-COLUMN($A$1), FALSE), VLOOKUP($A207,raw_lb[],COLUMN(AA$1)-COLUMN($A$1),FALSE))</f>
        <v>6.3009170248758588</v>
      </c>
      <c r="AA207" s="70">
        <f>IF(VLOOKUP($A207,raw_lb[],COLUMN(AB$1)-COLUMN($A$1),FALSE)=0, VLOOKUP($D207, regions_lb[], COLUMN(AB$1)-COLUMN($A$1), FALSE), VLOOKUP($A207,raw_lb[],COLUMN(AB$1)-COLUMN($A$1),FALSE))</f>
        <v>2.3245030346355575</v>
      </c>
      <c r="AB207" s="70">
        <f>IF(VLOOKUP($A207,raw_lb[],COLUMN(AC$1)-COLUMN($A$1),FALSE)=0, VLOOKUP($D207, regions_lb[], COLUMN(AC$1)-COLUMN($A$1), FALSE), VLOOKUP($A207,raw_lb[],COLUMN(AC$1)-COLUMN($A$1),FALSE))</f>
        <v>6.9130030346355573</v>
      </c>
      <c r="AC207" s="72">
        <f>IF(VLOOKUP($A207,raw_lb[],COLUMN(AD$1)-COLUMN($A$1),FALSE)=0, VLOOKUP($D207, regions_lb[], COLUMN(AD$1)-COLUMN($A$1), FALSE), VLOOKUP($A207,raw_lb[],COLUMN(AD$1)-COLUMN($A$1),FALSE))</f>
        <v>5.9145764999999954E-2</v>
      </c>
      <c r="AD207" s="72">
        <f>IF(VLOOKUP($A207,raw_lb[],COLUMN(AE$1)-COLUMN($A$1),FALSE)=0, VLOOKUP($D207, regions_lb[], COLUMN(AE$1)-COLUMN($A$1), FALSE), VLOOKUP($A207,raw_lb[],COLUMN(AE$1)-COLUMN($A$1),FALSE))</f>
        <v>6.2825696170148559E-3</v>
      </c>
      <c r="AE207" s="72">
        <f>IF(VLOOKUP($A207,raw_lb[],COLUMN(AF$1)-COLUMN($A$1),FALSE)=0, VLOOKUP($D207, regions_lb[], COLUMN(AF$1)-COLUMN($A$1), FALSE), VLOOKUP($A207,raw_lb[],COLUMN(AF$1)-COLUMN($A$1),FALSE))</f>
        <v>1.6403385869732461E-3</v>
      </c>
      <c r="AF207" s="72">
        <f>IF(VLOOKUP($A207,raw_lb[],COLUMN(AG$1)-COLUMN($A$1),FALSE)=0, VLOOKUP($D207, regions_lb[], COLUMN(AG$1)-COLUMN($A$1), FALSE), VLOOKUP($A207,raw_lb[],COLUMN(AG$1)-COLUMN($A$1),FALSE))</f>
        <v>1.3570381908872605E-3</v>
      </c>
      <c r="AG207" s="72">
        <f>IF(VLOOKUP($A207,raw_lb[],COLUMN(AH$1)-COLUMN($A$1),FALSE)=0, VLOOKUP($D207, regions_lb[], COLUMN(AH$1)-COLUMN($A$1), FALSE), VLOOKUP($A207,raw_lb[],COLUMN(AH$1)-COLUMN($A$1),FALSE))</f>
        <v>2.0843198656365284E-3</v>
      </c>
      <c r="AH207" s="72">
        <f>IF(VLOOKUP($A207,raw_lb[],COLUMN(AI$1)-COLUMN($A$1),FALSE)=0, VLOOKUP($D207, regions_lb[], COLUMN(AI$1)-COLUMN($A$1), FALSE), VLOOKUP($A207,raw_lb[],COLUMN(AI$1)-COLUMN($A$1),FALSE))</f>
        <v>3.8236585680442759E-3</v>
      </c>
      <c r="AI207" s="72">
        <f>IF(VLOOKUP($A207,raw_lb[],COLUMN(AJ$1)-COLUMN($A$1),FALSE)=0, VLOOKUP($D207, regions_lb[], COLUMN(AJ$1)-COLUMN($A$1), FALSE), VLOOKUP($A207,raw_lb[],COLUMN(AJ$1)-COLUMN($A$1),FALSE))</f>
        <v>7.0647665568528157E-3</v>
      </c>
      <c r="AJ207" s="72">
        <f>IF(VLOOKUP($A207,raw_lb[],COLUMN(AK$1)-COLUMN($A$1),FALSE)=0, VLOOKUP($D207, regions_lb[], COLUMN(AK$1)-COLUMN($A$1), FALSE), VLOOKUP($A207,raw_lb[],COLUMN(AK$1)-COLUMN($A$1),FALSE))</f>
        <v>1.0660175255321086E-2</v>
      </c>
      <c r="AK207" s="72">
        <f>IF(VLOOKUP($A207,raw_lb[],COLUMN(AL$1)-COLUMN($A$1),FALSE)=0, VLOOKUP($D207, regions_lb[], COLUMN(AL$1)-COLUMN($A$1), FALSE), VLOOKUP($A207,raw_lb[],COLUMN(AL$1)-COLUMN($A$1),FALSE))</f>
        <v>1.5634498463728712E-2</v>
      </c>
      <c r="AL207" s="72">
        <f>IF(VLOOKUP($A207,raw_lb[],COLUMN(AM$1)-COLUMN($A$1),FALSE)=0, VLOOKUP($D207, regions_lb[], COLUMN(AM$1)-COLUMN($A$1), FALSE), VLOOKUP($A207,raw_lb[],COLUMN(AM$1)-COLUMN($A$1),FALSE))</f>
        <v>1.7641642103208021E-2</v>
      </c>
      <c r="AM207" s="72">
        <f>IF(VLOOKUP($A207,raw_lb[],COLUMN(AN$1)-COLUMN($A$1),FALSE)=0, VLOOKUP($D207, regions_lb[], COLUMN(AN$1)-COLUMN($A$1), FALSE), VLOOKUP($A207,raw_lb[],COLUMN(AN$1)-COLUMN($A$1),FALSE))</f>
        <v>1.9584920894772404E-2</v>
      </c>
      <c r="AN207" s="72">
        <f>IF(VLOOKUP($A207,raw_lb[],COLUMN(AO$1)-COLUMN($A$1),FALSE)=0, VLOOKUP($D207, regions_lb[], COLUMN(AO$1)-COLUMN($A$1), FALSE), VLOOKUP($A207,raw_lb[],COLUMN(AO$1)-COLUMN($A$1),FALSE))</f>
        <v>2.1086391397267919E-2</v>
      </c>
      <c r="AO207" s="72">
        <f>IF(VLOOKUP($A207,raw_lb[],COLUMN(AP$1)-COLUMN($A$1),FALSE)=0, VLOOKUP($D207, regions_lb[], COLUMN(AP$1)-COLUMN($A$1), FALSE), VLOOKUP($A207,raw_lb[],COLUMN(AP$1)-COLUMN($A$1),FALSE))</f>
        <v>2.3722252055549231E-2</v>
      </c>
      <c r="AP207" s="72">
        <f>IF(VLOOKUP($A207,raw_lb[],COLUMN(AQ$1)-COLUMN($A$1),FALSE)=0, VLOOKUP($D207, regions_lb[], COLUMN(AQ$1)-COLUMN($A$1), FALSE), VLOOKUP($A207,raw_lb[],COLUMN(AQ$1)-COLUMN($A$1),FALSE))</f>
        <v>2.8712471090952599E-2</v>
      </c>
      <c r="AQ207" s="72">
        <f>IF(VLOOKUP($A207,raw_lb[],COLUMN(AR$1)-COLUMN($A$1),FALSE)=0, VLOOKUP($D207, regions_lb[], COLUMN(AR$1)-COLUMN($A$1), FALSE), VLOOKUP($A207,raw_lb[],COLUMN(AR$1)-COLUMN($A$1),FALSE))</f>
        <v>3.765965321477123E-2</v>
      </c>
      <c r="AR207" s="72">
        <f>IF(VLOOKUP($A207,raw_lb[],COLUMN(AS$1)-COLUMN($A$1),FALSE)=0, VLOOKUP($D207, regions_lb[], COLUMN(AS$1)-COLUMN($A$1), FALSE), VLOOKUP($A207,raw_lb[],COLUMN(AS$1)-COLUMN($A$1),FALSE))</f>
        <v>5.1745341650435463E-2</v>
      </c>
      <c r="AS207" s="82">
        <f>IF(VLOOKUP($A207,raw_lb[],COLUMN(AS$1),FALSE)=0, VLOOKUP($D207, regions_lb[], COLUMN(AS$1), FALSE), VLOOKUP($A207,raw_lb[],COLUMN(AS$1),FALSE))</f>
        <v>7.0862512193891225E-2</v>
      </c>
      <c r="AT207" s="82">
        <f>IF(VLOOKUP($A207,raw_lb[],COLUMN(AT$1),FALSE)=0, VLOOKUP($D207, regions_lb[], COLUMN(AT$1), FALSE), VLOOKUP($A207,raw_lb[],COLUMN(AT$1),FALSE))</f>
        <v>0.10045394695280414</v>
      </c>
      <c r="AU207" s="82">
        <f>IF(VLOOKUP($A207,raw_lb[],COLUMN(AU$1),FALSE)=0, VLOOKUP($D207, regions_lb[], COLUMN(AU$1), FALSE), VLOOKUP($A207,raw_lb[],COLUMN(AU$1),FALSE))</f>
        <v>0.1358674548649042</v>
      </c>
      <c r="AV207" s="82">
        <f>IF(VLOOKUP($A207,raw_lb[],COLUMN(AV$1),FALSE)=0, VLOOKUP($D207, regions_lb[], COLUMN(AV$1), FALSE), VLOOKUP($A207,raw_lb[],COLUMN(AV$1),FALSE))</f>
        <v>0.16247283077024666</v>
      </c>
      <c r="AW207" s="82">
        <f>IF(VLOOKUP($A207,raw_lb[],COLUMN(AW$1),FALSE)=0, VLOOKUP($D207, regions_lb[], COLUMN(AW$1), FALSE), VLOOKUP($A207,raw_lb[],COLUMN(AW$1),FALSE))</f>
        <v>0.17327074249170982</v>
      </c>
      <c r="AX207" s="82">
        <f>IF(VLOOKUP($A207,raw_lb[],COLUMN(AX$1),FALSE)=0, VLOOKUP($D207, regions_lb[], COLUMN(AX$1), FALSE), VLOOKUP($A207,raw_lb[],COLUMN(AX$1),FALSE))</f>
        <v>50.835450000000002</v>
      </c>
      <c r="AY207" t="str">
        <f t="shared" si="7"/>
        <v>Yes</v>
      </c>
    </row>
    <row r="208" spans="1:51" x14ac:dyDescent="0.25">
      <c r="A208" s="53" t="s">
        <v>360</v>
      </c>
      <c r="B208" s="54" t="s">
        <v>361</v>
      </c>
      <c r="C208" s="54">
        <v>430</v>
      </c>
      <c r="D208" s="54" t="s">
        <v>207</v>
      </c>
      <c r="E208" s="54" t="s">
        <v>235</v>
      </c>
      <c r="F208" s="54" t="s">
        <v>211</v>
      </c>
      <c r="G208" s="54" t="s">
        <v>198</v>
      </c>
      <c r="H208" s="73"/>
      <c r="I208" s="73"/>
      <c r="J208" s="67">
        <f>IF(VLOOKUP($A208,raw_lb[],COLUMN(J$1),FALSE)=0, VLOOKUP($D208, regions_lb[], COLUMN(J$1), FALSE), VLOOKUP($A208,raw_lb[],COLUMN(J$1),FALSE))</f>
        <v>0.75809999999999989</v>
      </c>
      <c r="K208" s="77">
        <f>VLOOKUP($A208, raw_lb[], 11, FALSE)</f>
        <v>0</v>
      </c>
      <c r="L208" s="77">
        <f>VLOOKUP($A208, raw_lb[], 12, FALSE)</f>
        <v>0.61749999999999994</v>
      </c>
      <c r="M208" s="77">
        <f>IF(VLOOKUP($A208,raw_lb[],COLUMN(M$1),FALSE)=0, VLOOKUP($D208, regions_lb[], COLUMN(M$1), FALSE), VLOOKUP($A208,raw_lb[],COLUMN(M$1),FALSE))</f>
        <v>0.11550000000000001</v>
      </c>
      <c r="N208" s="68">
        <f>IF(VLOOKUP($A208,raw_lb[],COLUMN(N$1),FALSE)=0, VLOOKUP($D208, regions_lb[], COLUMN(N$1), FALSE), VLOOKUP($A208,raw_lb[],COLUMN(N$1),FALSE))</f>
        <v>0.155</v>
      </c>
      <c r="O208" s="67">
        <f>IF(VLOOKUP($A208,raw_lb[],COLUMN(O$1),FALSE)=0, VLOOKUP($D208, regions_lb[], COLUMN(O$1), FALSE), VLOOKUP($A208,raw_lb[],COLUMN(O$1),FALSE))</f>
        <v>7.0000000000000007E-2</v>
      </c>
      <c r="P208" s="68">
        <f>IF(VLOOKUP($A208,raw_lb[],COLUMN(P$1),FALSE)=0, VLOOKUP($D208, regions_lb[], COLUMN(P$1), FALSE), VLOOKUP($A208,raw_lb[],COLUMN(P$1),FALSE))</f>
        <v>1E-3</v>
      </c>
      <c r="Q208" s="70">
        <f>IF(VLOOKUP($A208,raw_lb[],COLUMN(Q$1),FALSE)=0, VLOOKUP($D208, regions_lb[], COLUMN(Q$1), FALSE), VLOOKUP($A208,raw_lb[],COLUMN(Q$1),FALSE))</f>
        <v>0.59134671916010506</v>
      </c>
      <c r="R208" s="70">
        <f>IF(VLOOKUP($A208,raw_lb[],COLUMN(R$1),FALSE)=0, VLOOKUP($D208, regions_lb[], COLUMN(R$1), FALSE), VLOOKUP($A208,raw_lb[],COLUMN(R$1),FALSE))</f>
        <v>7.6522467191601056</v>
      </c>
      <c r="S208" s="70">
        <f>IF(VLOOKUP($A208,raw_lb[],COLUMN(S$1),FALSE)=0, VLOOKUP($D208, regions_lb[], COLUMN(S$1), FALSE), VLOOKUP($A208,raw_lb[],COLUMN(S$1),FALSE))</f>
        <v>37.156570473624868</v>
      </c>
      <c r="T208" s="70">
        <f>IF(VLOOKUP($A208,raw_lb[],COLUMN(U$1)-COLUMN($A$1),FALSE)=0, VLOOKUP($D208, regions_lb[], COLUMN(U$1)-COLUMN($A$1), FALSE), VLOOKUP($A208,raw_lb[],COLUMN(U$1)-COLUMN($A$1),FALSE))</f>
        <v>37.304551050382308</v>
      </c>
      <c r="U208" s="70">
        <f>IF(VLOOKUP($A208,raw_lb[],COLUMN(V$1)-COLUMN($A$1),FALSE)=0, VLOOKUP($D208, regions_lb[], COLUMN(V$1)-COLUMN($A$1), FALSE), VLOOKUP($A208,raw_lb[],COLUMN(V$1)-COLUMN($A$1),FALSE))</f>
        <v>37.236601497446202</v>
      </c>
      <c r="V208" s="70">
        <f>IF(VLOOKUP($A208,raw_lb[],COLUMN(W$1)-COLUMN($A$1),FALSE)=0, VLOOKUP($D208, regions_lb[], COLUMN(W$1)-COLUMN($A$1), FALSE), VLOOKUP($A208,raw_lb[],COLUMN(W$1)-COLUMN($A$1),FALSE))</f>
        <v>1.2978154735972489</v>
      </c>
      <c r="W208" s="70">
        <f>IF(VLOOKUP($A208,raw_lb[],COLUMN(X$1)-COLUMN($A$1),FALSE)=0, VLOOKUP($D208, regions_lb[], COLUMN(X$1)-COLUMN($A$1), FALSE), VLOOKUP($A208,raw_lb[],COLUMN(X$1)-COLUMN($A$1),FALSE))</f>
        <v>5.8863154735972483</v>
      </c>
      <c r="X208" s="70">
        <f>IF(VLOOKUP($A208,raw_lb[],COLUMN(Y$1)-COLUMN($A$1),FALSE)=0, VLOOKUP($D208, regions_lb[], COLUMN(Y$1)-COLUMN($A$1), FALSE), VLOOKUP($A208,raw_lb[],COLUMN(Y$1)-COLUMN($A$1),FALSE))</f>
        <v>0.82765119361929684</v>
      </c>
      <c r="Y208" s="70">
        <f>IF(VLOOKUP($A208,raw_lb[],COLUMN(Z$1)-COLUMN($A$1),FALSE)=0, VLOOKUP($D208, regions_lb[], COLUMN(Z$1)-COLUMN($A$1), FALSE), VLOOKUP($A208,raw_lb[],COLUMN(Z$1)-COLUMN($A$1),FALSE))</f>
        <v>5.4161511936192968</v>
      </c>
      <c r="Z208" s="70">
        <f>IF(VLOOKUP($A208,raw_lb[],COLUMN(AA$1)-COLUMN($A$1),FALSE)=0, VLOOKUP($D208, regions_lb[], COLUMN(AA$1)-COLUMN($A$1), FALSE), VLOOKUP($A208,raw_lb[],COLUMN(AA$1)-COLUMN($A$1),FALSE))</f>
        <v>5.4147869943107896</v>
      </c>
      <c r="AA208" s="70">
        <f>IF(VLOOKUP($A208,raw_lb[],COLUMN(AB$1)-COLUMN($A$1),FALSE)=0, VLOOKUP($D208, regions_lb[], COLUMN(AB$1)-COLUMN($A$1), FALSE), VLOOKUP($A208,raw_lb[],COLUMN(AB$1)-COLUMN($A$1),FALSE))</f>
        <v>1.4394291407038189</v>
      </c>
      <c r="AB208" s="70">
        <f>IF(VLOOKUP($A208,raw_lb[],COLUMN(AC$1)-COLUMN($A$1),FALSE)=0, VLOOKUP($D208, regions_lb[], COLUMN(AC$1)-COLUMN($A$1), FALSE), VLOOKUP($A208,raw_lb[],COLUMN(AC$1)-COLUMN($A$1),FALSE))</f>
        <v>6.0279291407038187</v>
      </c>
      <c r="AC208" s="72">
        <f>IF(VLOOKUP($A208,raw_lb[],COLUMN(AD$1)-COLUMN($A$1),FALSE)=0, VLOOKUP($D208, regions_lb[], COLUMN(AD$1)-COLUMN($A$1), FALSE), VLOOKUP($A208,raw_lb[],COLUMN(AD$1)-COLUMN($A$1),FALSE))</f>
        <v>5.1370261999999937E-2</v>
      </c>
      <c r="AD208" s="72">
        <f>IF(VLOOKUP($A208,raw_lb[],COLUMN(AE$1)-COLUMN($A$1),FALSE)=0, VLOOKUP($D208, regions_lb[], COLUMN(AE$1)-COLUMN($A$1), FALSE), VLOOKUP($A208,raw_lb[],COLUMN(AE$1)-COLUMN($A$1),FALSE))</f>
        <v>5.030967193798818E-3</v>
      </c>
      <c r="AE208" s="72">
        <f>IF(VLOOKUP($A208,raw_lb[],COLUMN(AF$1)-COLUMN($A$1),FALSE)=0, VLOOKUP($D208, regions_lb[], COLUMN(AF$1)-COLUMN($A$1), FALSE), VLOOKUP($A208,raw_lb[],COLUMN(AF$1)-COLUMN($A$1),FALSE))</f>
        <v>1.4482350125820259E-3</v>
      </c>
      <c r="AF208" s="72">
        <f>IF(VLOOKUP($A208,raw_lb[],COLUMN(AG$1)-COLUMN($A$1),FALSE)=0, VLOOKUP($D208, regions_lb[], COLUMN(AG$1)-COLUMN($A$1), FALSE), VLOOKUP($A208,raw_lb[],COLUMN(AG$1)-COLUMN($A$1),FALSE))</f>
        <v>1.0289491948835411E-3</v>
      </c>
      <c r="AG208" s="72">
        <f>IF(VLOOKUP($A208,raw_lb[],COLUMN(AH$1)-COLUMN($A$1),FALSE)=0, VLOOKUP($D208, regions_lb[], COLUMN(AH$1)-COLUMN($A$1), FALSE), VLOOKUP($A208,raw_lb[],COLUMN(AH$1)-COLUMN($A$1),FALSE))</f>
        <v>1.6172831463998017E-3</v>
      </c>
      <c r="AH208" s="72">
        <f>IF(VLOOKUP($A208,raw_lb[],COLUMN(AI$1)-COLUMN($A$1),FALSE)=0, VLOOKUP($D208, regions_lb[], COLUMN(AI$1)-COLUMN($A$1), FALSE), VLOOKUP($A208,raw_lb[],COLUMN(AI$1)-COLUMN($A$1),FALSE))</f>
        <v>2.3798681298810619E-3</v>
      </c>
      <c r="AI208" s="72">
        <f>IF(VLOOKUP($A208,raw_lb[],COLUMN(AJ$1)-COLUMN($A$1),FALSE)=0, VLOOKUP($D208, regions_lb[], COLUMN(AJ$1)-COLUMN($A$1), FALSE), VLOOKUP($A208,raw_lb[],COLUMN(AJ$1)-COLUMN($A$1),FALSE))</f>
        <v>2.8924034846330602E-3</v>
      </c>
      <c r="AJ208" s="72">
        <f>IF(VLOOKUP($A208,raw_lb[],COLUMN(AK$1)-COLUMN($A$1),FALSE)=0, VLOOKUP($D208, regions_lb[], COLUMN(AK$1)-COLUMN($A$1), FALSE), VLOOKUP($A208,raw_lb[],COLUMN(AK$1)-COLUMN($A$1),FALSE))</f>
        <v>3.4827659108951012E-3</v>
      </c>
      <c r="AK208" s="72">
        <f>IF(VLOOKUP($A208,raw_lb[],COLUMN(AL$1)-COLUMN($A$1),FALSE)=0, VLOOKUP($D208, regions_lb[], COLUMN(AL$1)-COLUMN($A$1), FALSE), VLOOKUP($A208,raw_lb[],COLUMN(AL$1)-COLUMN($A$1),FALSE))</f>
        <v>4.3390493914699201E-3</v>
      </c>
      <c r="AL208" s="72">
        <f>IF(VLOOKUP($A208,raw_lb[],COLUMN(AM$1)-COLUMN($A$1),FALSE)=0, VLOOKUP($D208, regions_lb[], COLUMN(AM$1)-COLUMN($A$1), FALSE), VLOOKUP($A208,raw_lb[],COLUMN(AM$1)-COLUMN($A$1),FALSE))</f>
        <v>5.4400846282349809E-3</v>
      </c>
      <c r="AM208" s="72">
        <f>IF(VLOOKUP($A208,raw_lb[],COLUMN(AN$1)-COLUMN($A$1),FALSE)=0, VLOOKUP($D208, regions_lb[], COLUMN(AN$1)-COLUMN($A$1), FALSE), VLOOKUP($A208,raw_lb[],COLUMN(AN$1)-COLUMN($A$1),FALSE))</f>
        <v>6.7682314171223926E-3</v>
      </c>
      <c r="AN208" s="72">
        <f>IF(VLOOKUP($A208,raw_lb[],COLUMN(AO$1)-COLUMN($A$1),FALSE)=0, VLOOKUP($D208, regions_lb[], COLUMN(AO$1)-COLUMN($A$1), FALSE), VLOOKUP($A208,raw_lb[],COLUMN(AO$1)-COLUMN($A$1),FALSE))</f>
        <v>9.3566797810908289E-3</v>
      </c>
      <c r="AO208" s="72">
        <f>IF(VLOOKUP($A208,raw_lb[],COLUMN(AP$1)-COLUMN($A$1),FALSE)=0, VLOOKUP($D208, regions_lb[], COLUMN(AP$1)-COLUMN($A$1), FALSE), VLOOKUP($A208,raw_lb[],COLUMN(AP$1)-COLUMN($A$1),FALSE))</f>
        <v>1.2409499545615833E-2</v>
      </c>
      <c r="AP208" s="72">
        <f>IF(VLOOKUP($A208,raw_lb[],COLUMN(AQ$1)-COLUMN($A$1),FALSE)=0, VLOOKUP($D208, regions_lb[], COLUMN(AQ$1)-COLUMN($A$1), FALSE), VLOOKUP($A208,raw_lb[],COLUMN(AQ$1)-COLUMN($A$1),FALSE))</f>
        <v>1.842281795731323E-2</v>
      </c>
      <c r="AQ208" s="72">
        <f>IF(VLOOKUP($A208,raw_lb[],COLUMN(AR$1)-COLUMN($A$1),FALSE)=0, VLOOKUP($D208, regions_lb[], COLUMN(AR$1)-COLUMN($A$1), FALSE), VLOOKUP($A208,raw_lb[],COLUMN(AR$1)-COLUMN($A$1),FALSE))</f>
        <v>2.8283466633527338E-2</v>
      </c>
      <c r="AR208" s="72">
        <f>IF(VLOOKUP($A208,raw_lb[],COLUMN(AS$1)-COLUMN($A$1),FALSE)=0, VLOOKUP($D208, regions_lb[], COLUMN(AS$1)-COLUMN($A$1), FALSE), VLOOKUP($A208,raw_lb[],COLUMN(AS$1)-COLUMN($A$1),FALSE))</f>
        <v>4.3953769461105199E-2</v>
      </c>
      <c r="AS208" s="82">
        <f>IF(VLOOKUP($A208,raw_lb[],COLUMN(AS$1),FALSE)=0, VLOOKUP($D208, regions_lb[], COLUMN(AS$1), FALSE), VLOOKUP($A208,raw_lb[],COLUMN(AS$1),FALSE))</f>
        <v>6.7267336478127895E-2</v>
      </c>
      <c r="AT208" s="82">
        <f>IF(VLOOKUP($A208,raw_lb[],COLUMN(AT$1),FALSE)=0, VLOOKUP($D208, regions_lb[], COLUMN(AT$1), FALSE), VLOOKUP($A208,raw_lb[],COLUMN(AT$1),FALSE))</f>
        <v>0.1004660498728287</v>
      </c>
      <c r="AU208" s="82">
        <f>IF(VLOOKUP($A208,raw_lb[],COLUMN(AU$1),FALSE)=0, VLOOKUP($D208, regions_lb[], COLUMN(AU$1), FALSE), VLOOKUP($A208,raw_lb[],COLUMN(AU$1),FALSE))</f>
        <v>0.13833679232578644</v>
      </c>
      <c r="AV208" s="82">
        <f>IF(VLOOKUP($A208,raw_lb[],COLUMN(AV$1),FALSE)=0, VLOOKUP($D208, regions_lb[], COLUMN(AV$1), FALSE), VLOOKUP($A208,raw_lb[],COLUMN(AV$1),FALSE))</f>
        <v>0.16946087051170691</v>
      </c>
      <c r="AW208" s="82">
        <f>IF(VLOOKUP($A208,raw_lb[],COLUMN(AW$1),FALSE)=0, VLOOKUP($D208, regions_lb[], COLUMN(AW$1), FALSE), VLOOKUP($A208,raw_lb[],COLUMN(AW$1),FALSE))</f>
        <v>0.17959427908577799</v>
      </c>
      <c r="AX208" s="82">
        <f>IF(VLOOKUP($A208,raw_lb[],COLUMN(AX$1),FALSE)=0, VLOOKUP($D208, regions_lb[], COLUMN(AX$1), FALSE), VLOOKUP($A208,raw_lb[],COLUMN(AX$1),FALSE))</f>
        <v>60.416199999999996</v>
      </c>
      <c r="AY208" t="str">
        <f t="shared" si="7"/>
        <v>Yes</v>
      </c>
    </row>
    <row r="209" spans="1:51" x14ac:dyDescent="0.25">
      <c r="A209" s="55" t="s">
        <v>362</v>
      </c>
      <c r="B209" s="56" t="s">
        <v>363</v>
      </c>
      <c r="C209" s="56">
        <v>434</v>
      </c>
      <c r="D209" s="56" t="s">
        <v>196</v>
      </c>
      <c r="E209" s="56" t="s">
        <v>197</v>
      </c>
      <c r="F209" s="56" t="s">
        <v>197</v>
      </c>
      <c r="G209" s="56" t="s">
        <v>204</v>
      </c>
      <c r="H209" s="74"/>
      <c r="I209" s="74"/>
      <c r="J209" s="67">
        <f>IF(VLOOKUP($A209,raw_lb[],COLUMN(J$1),FALSE)=0, VLOOKUP($D209, regions_lb[], COLUMN(J$1), FALSE), VLOOKUP($A209,raw_lb[],COLUMN(J$1),FALSE))</f>
        <v>0.94904999999999995</v>
      </c>
      <c r="K209" s="77">
        <f>VLOOKUP($A209, raw_lb[], 11, FALSE)</f>
        <v>0</v>
      </c>
      <c r="L209" s="77">
        <f>VLOOKUP($A209, raw_lb[], 12, FALSE)</f>
        <v>0.69350000000000001</v>
      </c>
      <c r="M209" s="77">
        <f>IF(VLOOKUP($A209,raw_lb[],COLUMN(M$1),FALSE)=0, VLOOKUP($D209, regions_lb[], COLUMN(M$1), FALSE), VLOOKUP($A209,raw_lb[],COLUMN(M$1),FALSE))</f>
        <v>1.6399999999999998E-2</v>
      </c>
      <c r="N209" s="68">
        <f>IF(VLOOKUP($A209,raw_lb[],COLUMN(N$1),FALSE)=0, VLOOKUP($D209, regions_lb[], COLUMN(N$1), FALSE), VLOOKUP($A209,raw_lb[],COLUMN(N$1),FALSE))</f>
        <v>0.14980000000000002</v>
      </c>
      <c r="O209" s="67">
        <f>IF(VLOOKUP($A209,raw_lb[],COLUMN(O$1),FALSE)=0, VLOOKUP($D209, regions_lb[], COLUMN(O$1), FALSE), VLOOKUP($A209,raw_lb[],COLUMN(O$1),FALSE))</f>
        <v>0.7</v>
      </c>
      <c r="P209" s="68">
        <f>IF(VLOOKUP($A209,raw_lb[],COLUMN(P$1),FALSE)=0, VLOOKUP($D209, regions_lb[], COLUMN(P$1), FALSE), VLOOKUP($A209,raw_lb[],COLUMN(P$1),FALSE))</f>
        <v>0.05</v>
      </c>
      <c r="Q209" s="70">
        <f>IF(VLOOKUP($A209,raw_lb[],COLUMN(Q$1),FALSE)=0, VLOOKUP($D209, regions_lb[], COLUMN(Q$1), FALSE), VLOOKUP($A209,raw_lb[],COLUMN(Q$1),FALSE))</f>
        <v>2.2256367581175098</v>
      </c>
      <c r="R209" s="70">
        <f>IF(VLOOKUP($A209,raw_lb[],COLUMN(R$1),FALSE)=0, VLOOKUP($D209, regions_lb[], COLUMN(R$1), FALSE), VLOOKUP($A209,raw_lb[],COLUMN(R$1),FALSE))</f>
        <v>9.28653675811751</v>
      </c>
      <c r="S209" s="70">
        <f>IF(VLOOKUP($A209,raw_lb[],COLUMN(S$1),FALSE)=0, VLOOKUP($D209, regions_lb[], COLUMN(S$1), FALSE), VLOOKUP($A209,raw_lb[],COLUMN(S$1),FALSE))</f>
        <v>54.872722688849692</v>
      </c>
      <c r="T209" s="70">
        <f>IF(VLOOKUP($A209,raw_lb[],COLUMN(U$1)-COLUMN($A$1),FALSE)=0, VLOOKUP($D209, regions_lb[], COLUMN(U$1)-COLUMN($A$1), FALSE), VLOOKUP($A209,raw_lb[],COLUMN(U$1)-COLUMN($A$1),FALSE))</f>
        <v>63.390750448817812</v>
      </c>
      <c r="U209" s="70">
        <f>IF(VLOOKUP($A209,raw_lb[],COLUMN(V$1)-COLUMN($A$1),FALSE)=0, VLOOKUP($D209, regions_lb[], COLUMN(V$1)-COLUMN($A$1), FALSE), VLOOKUP($A209,raw_lb[],COLUMN(V$1)-COLUMN($A$1),FALSE))</f>
        <v>59.479452149610012</v>
      </c>
      <c r="V209" s="70">
        <f>IF(VLOOKUP($A209,raw_lb[],COLUMN(W$1)-COLUMN($A$1),FALSE)=0, VLOOKUP($D209, regions_lb[], COLUMN(W$1)-COLUMN($A$1), FALSE), VLOOKUP($A209,raw_lb[],COLUMN(W$1)-COLUMN($A$1),FALSE))</f>
        <v>2.8805062868285347</v>
      </c>
      <c r="W209" s="70">
        <f>IF(VLOOKUP($A209,raw_lb[],COLUMN(X$1)-COLUMN($A$1),FALSE)=0, VLOOKUP($D209, regions_lb[], COLUMN(X$1)-COLUMN($A$1), FALSE), VLOOKUP($A209,raw_lb[],COLUMN(X$1)-COLUMN($A$1),FALSE))</f>
        <v>3.3365062868285347</v>
      </c>
      <c r="X209" s="70">
        <f>IF(VLOOKUP($A209,raw_lb[],COLUMN(Y$1)-COLUMN($A$1),FALSE)=0, VLOOKUP($D209, regions_lb[], COLUMN(Y$1)-COLUMN($A$1), FALSE), VLOOKUP($A209,raw_lb[],COLUMN(Y$1)-COLUMN($A$1),FALSE))</f>
        <v>2.4079237896376999</v>
      </c>
      <c r="Y209" s="70">
        <f>IF(VLOOKUP($A209,raw_lb[],COLUMN(Z$1)-COLUMN($A$1),FALSE)=0, VLOOKUP($D209, regions_lb[], COLUMN(Z$1)-COLUMN($A$1), FALSE), VLOOKUP($A209,raw_lb[],COLUMN(Z$1)-COLUMN($A$1),FALSE))</f>
        <v>2.8639237896376999</v>
      </c>
      <c r="Z209" s="70">
        <f>IF(VLOOKUP($A209,raw_lb[],COLUMN(AA$1)-COLUMN($A$1),FALSE)=0, VLOOKUP($D209, regions_lb[], COLUMN(AA$1)-COLUMN($A$1), FALSE), VLOOKUP($A209,raw_lb[],COLUMN(AA$1)-COLUMN($A$1),FALSE))</f>
        <v>2.8610087123415791</v>
      </c>
      <c r="AA209" s="70">
        <f>IF(VLOOKUP($A209,raw_lb[],COLUMN(AB$1)-COLUMN($A$1),FALSE)=0, VLOOKUP($D209, regions_lb[], COLUMN(AB$1)-COLUMN($A$1), FALSE), VLOOKUP($A209,raw_lb[],COLUMN(AB$1)-COLUMN($A$1),FALSE))</f>
        <v>3.0295818813348552</v>
      </c>
      <c r="AB209" s="70">
        <f>IF(VLOOKUP($A209,raw_lb[],COLUMN(AC$1)-COLUMN($A$1),FALSE)=0, VLOOKUP($D209, regions_lb[], COLUMN(AC$1)-COLUMN($A$1), FALSE), VLOOKUP($A209,raw_lb[],COLUMN(AC$1)-COLUMN($A$1),FALSE))</f>
        <v>3.4855818813348551</v>
      </c>
      <c r="AC209" s="72">
        <f>IF(VLOOKUP($A209,raw_lb[],COLUMN(AD$1)-COLUMN($A$1),FALSE)=0, VLOOKUP($D209, regions_lb[], COLUMN(AD$1)-COLUMN($A$1), FALSE), VLOOKUP($A209,raw_lb[],COLUMN(AD$1)-COLUMN($A$1),FALSE))</f>
        <v>1.0004849000000067E-2</v>
      </c>
      <c r="AD209" s="72">
        <f>IF(VLOOKUP($A209,raw_lb[],COLUMN(AE$1)-COLUMN($A$1),FALSE)=0, VLOOKUP($D209, regions_lb[], COLUMN(AE$1)-COLUMN($A$1), FALSE), VLOOKUP($A209,raw_lb[],COLUMN(AE$1)-COLUMN($A$1),FALSE))</f>
        <v>5.212444441641328E-4</v>
      </c>
      <c r="AE209" s="72">
        <f>IF(VLOOKUP($A209,raw_lb[],COLUMN(AF$1)-COLUMN($A$1),FALSE)=0, VLOOKUP($D209, regions_lb[], COLUMN(AF$1)-COLUMN($A$1), FALSE), VLOOKUP($A209,raw_lb[],COLUMN(AF$1)-COLUMN($A$1),FALSE))</f>
        <v>3.6694379435861898E-4</v>
      </c>
      <c r="AF209" s="72">
        <f>IF(VLOOKUP($A209,raw_lb[],COLUMN(AG$1)-COLUMN($A$1),FALSE)=0, VLOOKUP($D209, regions_lb[], COLUMN(AG$1)-COLUMN($A$1), FALSE), VLOOKUP($A209,raw_lb[],COLUMN(AG$1)-COLUMN($A$1),FALSE))</f>
        <v>3.7363887807167568E-4</v>
      </c>
      <c r="AG209" s="72">
        <f>IF(VLOOKUP($A209,raw_lb[],COLUMN(AH$1)-COLUMN($A$1),FALSE)=0, VLOOKUP($D209, regions_lb[], COLUMN(AH$1)-COLUMN($A$1), FALSE), VLOOKUP($A209,raw_lb[],COLUMN(AH$1)-COLUMN($A$1),FALSE))</f>
        <v>9.4089420328248086E-4</v>
      </c>
      <c r="AH209" s="72">
        <f>IF(VLOOKUP($A209,raw_lb[],COLUMN(AI$1)-COLUMN($A$1),FALSE)=0, VLOOKUP($D209, regions_lb[], COLUMN(AI$1)-COLUMN($A$1), FALSE), VLOOKUP($A209,raw_lb[],COLUMN(AI$1)-COLUMN($A$1),FALSE))</f>
        <v>1.2732191122482193E-3</v>
      </c>
      <c r="AI209" s="72">
        <f>IF(VLOOKUP($A209,raw_lb[],COLUMN(AJ$1)-COLUMN($A$1),FALSE)=0, VLOOKUP($D209, regions_lb[], COLUMN(AJ$1)-COLUMN($A$1), FALSE), VLOOKUP($A209,raw_lb[],COLUMN(AJ$1)-COLUMN($A$1),FALSE))</f>
        <v>1.3529884858479106E-3</v>
      </c>
      <c r="AJ209" s="72">
        <f>IF(VLOOKUP($A209,raw_lb[],COLUMN(AK$1)-COLUMN($A$1),FALSE)=0, VLOOKUP($D209, regions_lb[], COLUMN(AK$1)-COLUMN($A$1), FALSE), VLOOKUP($A209,raw_lb[],COLUMN(AK$1)-COLUMN($A$1),FALSE))</f>
        <v>1.4910850438849372E-3</v>
      </c>
      <c r="AK209" s="72">
        <f>IF(VLOOKUP($A209,raw_lb[],COLUMN(AL$1)-COLUMN($A$1),FALSE)=0, VLOOKUP($D209, regions_lb[], COLUMN(AL$1)-COLUMN($A$1), FALSE), VLOOKUP($A209,raw_lb[],COLUMN(AL$1)-COLUMN($A$1),FALSE))</f>
        <v>1.8718313425406066E-3</v>
      </c>
      <c r="AL209" s="72">
        <f>IF(VLOOKUP($A209,raw_lb[],COLUMN(AM$1)-COLUMN($A$1),FALSE)=0, VLOOKUP($D209, regions_lb[], COLUMN(AM$1)-COLUMN($A$1), FALSE), VLOOKUP($A209,raw_lb[],COLUMN(AM$1)-COLUMN($A$1),FALSE))</f>
        <v>2.637260680520827E-3</v>
      </c>
      <c r="AM209" s="72">
        <f>IF(VLOOKUP($A209,raw_lb[],COLUMN(AN$1)-COLUMN($A$1),FALSE)=0, VLOOKUP($D209, regions_lb[], COLUMN(AN$1)-COLUMN($A$1), FALSE), VLOOKUP($A209,raw_lb[],COLUMN(AN$1)-COLUMN($A$1),FALSE))</f>
        <v>3.7594967354708428E-3</v>
      </c>
      <c r="AN209" s="72">
        <f>IF(VLOOKUP($A209,raw_lb[],COLUMN(AO$1)-COLUMN($A$1),FALSE)=0, VLOOKUP($D209, regions_lb[], COLUMN(AO$1)-COLUMN($A$1), FALSE), VLOOKUP($A209,raw_lb[],COLUMN(AO$1)-COLUMN($A$1),FALSE))</f>
        <v>5.9076461328454229E-3</v>
      </c>
      <c r="AO209" s="72">
        <f>IF(VLOOKUP($A209,raw_lb[],COLUMN(AP$1)-COLUMN($A$1),FALSE)=0, VLOOKUP($D209, regions_lb[], COLUMN(AP$1)-COLUMN($A$1), FALSE), VLOOKUP($A209,raw_lb[],COLUMN(AP$1)-COLUMN($A$1),FALSE))</f>
        <v>9.431230676518498E-3</v>
      </c>
      <c r="AP209" s="72">
        <f>IF(VLOOKUP($A209,raw_lb[],COLUMN(AQ$1)-COLUMN($A$1),FALSE)=0, VLOOKUP($D209, regions_lb[], COLUMN(AQ$1)-COLUMN($A$1), FALSE), VLOOKUP($A209,raw_lb[],COLUMN(AQ$1)-COLUMN($A$1),FALSE))</f>
        <v>1.486770838024049E-2</v>
      </c>
      <c r="AQ209" s="72">
        <f>IF(VLOOKUP($A209,raw_lb[],COLUMN(AR$1)-COLUMN($A$1),FALSE)=0, VLOOKUP($D209, regions_lb[], COLUMN(AR$1)-COLUMN($A$1), FALSE), VLOOKUP($A209,raw_lb[],COLUMN(AR$1)-COLUMN($A$1),FALSE))</f>
        <v>2.3943980951375943E-2</v>
      </c>
      <c r="AR209" s="72">
        <f>IF(VLOOKUP($A209,raw_lb[],COLUMN(AS$1)-COLUMN($A$1),FALSE)=0, VLOOKUP($D209, regions_lb[], COLUMN(AS$1)-COLUMN($A$1), FALSE), VLOOKUP($A209,raw_lb[],COLUMN(AS$1)-COLUMN($A$1),FALSE))</f>
        <v>3.6906024800835338E-2</v>
      </c>
      <c r="AS209" s="82">
        <f>IF(VLOOKUP($A209,raw_lb[],COLUMN(AS$1),FALSE)=0, VLOOKUP($D209, regions_lb[], COLUMN(AS$1), FALSE), VLOOKUP($A209,raw_lb[],COLUMN(AS$1),FALSE))</f>
        <v>5.7894581415307865E-2</v>
      </c>
      <c r="AT209" s="82">
        <f>IF(VLOOKUP($A209,raw_lb[],COLUMN(AT$1),FALSE)=0, VLOOKUP($D209, regions_lb[], COLUMN(AT$1), FALSE), VLOOKUP($A209,raw_lb[],COLUMN(AT$1),FALSE))</f>
        <v>8.7590227523592828E-2</v>
      </c>
      <c r="AU209" s="82">
        <f>IF(VLOOKUP($A209,raw_lb[],COLUMN(AU$1),FALSE)=0, VLOOKUP($D209, regions_lb[], COLUMN(AU$1), FALSE), VLOOKUP($A209,raw_lb[],COLUMN(AU$1),FALSE))</f>
        <v>0.12061919792252451</v>
      </c>
      <c r="AV209" s="82">
        <f>IF(VLOOKUP($A209,raw_lb[],COLUMN(AV$1),FALSE)=0, VLOOKUP($D209, regions_lb[], COLUMN(AV$1), FALSE), VLOOKUP($A209,raw_lb[],COLUMN(AV$1),FALSE))</f>
        <v>0.14981592306342881</v>
      </c>
      <c r="AW209" s="82">
        <f>IF(VLOOKUP($A209,raw_lb[],COLUMN(AW$1),FALSE)=0, VLOOKUP($D209, regions_lb[], COLUMN(AW$1), FALSE), VLOOKUP($A209,raw_lb[],COLUMN(AW$1),FALSE))</f>
        <v>0.16756979371027877</v>
      </c>
      <c r="AX209" s="82">
        <f>IF(VLOOKUP($A209,raw_lb[],COLUMN(AX$1),FALSE)=0, VLOOKUP($D209, regions_lb[], COLUMN(AX$1), FALSE), VLOOKUP($A209,raw_lb[],COLUMN(AX$1),FALSE))</f>
        <v>69.065949999999987</v>
      </c>
      <c r="AY209" t="str">
        <f t="shared" si="7"/>
        <v>Yes</v>
      </c>
    </row>
    <row r="210" spans="1:51" x14ac:dyDescent="0.25">
      <c r="A210" s="53" t="s">
        <v>364</v>
      </c>
      <c r="B210" s="54" t="s">
        <v>365</v>
      </c>
      <c r="C210" s="54">
        <v>450</v>
      </c>
      <c r="D210" s="54" t="s">
        <v>207</v>
      </c>
      <c r="E210" s="54" t="s">
        <v>255</v>
      </c>
      <c r="F210" s="54" t="s">
        <v>211</v>
      </c>
      <c r="G210" s="54" t="s">
        <v>198</v>
      </c>
      <c r="H210" s="73"/>
      <c r="I210" s="73"/>
      <c r="J210" s="67">
        <f>IF(VLOOKUP($A210,raw_lb[],COLUMN(J$1),FALSE)=0, VLOOKUP($D210, regions_lb[], COLUMN(J$1), FALSE), VLOOKUP($A210,raw_lb[],COLUMN(J$1),FALSE))</f>
        <v>0.36764999999999998</v>
      </c>
      <c r="K210" s="77">
        <f>VLOOKUP($A210, raw_lb[], 11, FALSE)</f>
        <v>0</v>
      </c>
      <c r="L210" s="77">
        <f>VLOOKUP($A210, raw_lb[], 12, FALSE)</f>
        <v>0.66499999999999992</v>
      </c>
      <c r="M210" s="77">
        <f>IF(VLOOKUP($A210,raw_lb[],COLUMN(M$1),FALSE)=0, VLOOKUP($D210, regions_lb[], COLUMN(M$1), FALSE), VLOOKUP($A210,raw_lb[],COLUMN(M$1),FALSE))</f>
        <v>5.7300000000000004E-2</v>
      </c>
      <c r="N210" s="68">
        <f>IF(VLOOKUP($A210,raw_lb[],COLUMN(N$1),FALSE)=0, VLOOKUP($D210, regions_lb[], COLUMN(N$1), FALSE), VLOOKUP($A210,raw_lb[],COLUMN(N$1),FALSE))</f>
        <v>0.15560000000000002</v>
      </c>
      <c r="O210" s="67">
        <f>IF(VLOOKUP($A210,raw_lb[],COLUMN(O$1),FALSE)=0, VLOOKUP($D210, regions_lb[], COLUMN(O$1), FALSE), VLOOKUP($A210,raw_lb[],COLUMN(O$1),FALSE))</f>
        <v>7.0000000000000007E-2</v>
      </c>
      <c r="P210" s="68">
        <f>IF(VLOOKUP($A210,raw_lb[],COLUMN(P$1),FALSE)=0, VLOOKUP($D210, regions_lb[], COLUMN(P$1), FALSE), VLOOKUP($A210,raw_lb[],COLUMN(P$1),FALSE))</f>
        <v>1E-3</v>
      </c>
      <c r="Q210" s="70">
        <f>IF(VLOOKUP($A210,raw_lb[],COLUMN(Q$1),FALSE)=0, VLOOKUP($D210, regions_lb[], COLUMN(Q$1), FALSE), VLOOKUP($A210,raw_lb[],COLUMN(Q$1),FALSE))</f>
        <v>0.59121961057023609</v>
      </c>
      <c r="R210" s="70">
        <f>IF(VLOOKUP($A210,raw_lb[],COLUMN(R$1),FALSE)=0, VLOOKUP($D210, regions_lb[], COLUMN(R$1), FALSE), VLOOKUP($A210,raw_lb[],COLUMN(R$1),FALSE))</f>
        <v>7.6521196105702369</v>
      </c>
      <c r="S210" s="70">
        <f>IF(VLOOKUP($A210,raw_lb[],COLUMN(S$1),FALSE)=0, VLOOKUP($D210, regions_lb[], COLUMN(S$1), FALSE), VLOOKUP($A210,raw_lb[],COLUMN(S$1),FALSE))</f>
        <v>37.205502041832716</v>
      </c>
      <c r="T210" s="70">
        <f>IF(VLOOKUP($A210,raw_lb[],COLUMN(U$1)-COLUMN($A$1),FALSE)=0, VLOOKUP($D210, regions_lb[], COLUMN(U$1)-COLUMN($A$1), FALSE), VLOOKUP($A210,raw_lb[],COLUMN(U$1)-COLUMN($A$1),FALSE))</f>
        <v>37.379015945206319</v>
      </c>
      <c r="U210" s="70">
        <f>IF(VLOOKUP($A210,raw_lb[],COLUMN(V$1)-COLUMN($A$1),FALSE)=0, VLOOKUP($D210, regions_lb[], COLUMN(V$1)-COLUMN($A$1), FALSE), VLOOKUP($A210,raw_lb[],COLUMN(V$1)-COLUMN($A$1),FALSE))</f>
        <v>37.299342028393838</v>
      </c>
      <c r="V210" s="70">
        <f>IF(VLOOKUP($A210,raw_lb[],COLUMN(W$1)-COLUMN($A$1),FALSE)=0, VLOOKUP($D210, regions_lb[], COLUMN(W$1)-COLUMN($A$1), FALSE), VLOOKUP($A210,raw_lb[],COLUMN(W$1)-COLUMN($A$1),FALSE))</f>
        <v>0.80217391068414079</v>
      </c>
      <c r="W210" s="70">
        <f>IF(VLOOKUP($A210,raw_lb[],COLUMN(X$1)-COLUMN($A$1),FALSE)=0, VLOOKUP($D210, regions_lb[], COLUMN(X$1)-COLUMN($A$1), FALSE), VLOOKUP($A210,raw_lb[],COLUMN(X$1)-COLUMN($A$1),FALSE))</f>
        <v>5.390673910684141</v>
      </c>
      <c r="X210" s="70">
        <f>IF(VLOOKUP($A210,raw_lb[],COLUMN(Y$1)-COLUMN($A$1),FALSE)=0, VLOOKUP($D210, regions_lb[], COLUMN(Y$1)-COLUMN($A$1), FALSE), VLOOKUP($A210,raw_lb[],COLUMN(Y$1)-COLUMN($A$1),FALSE))</f>
        <v>0.33240227425864488</v>
      </c>
      <c r="Y210" s="70">
        <f>IF(VLOOKUP($A210,raw_lb[],COLUMN(Z$1)-COLUMN($A$1),FALSE)=0, VLOOKUP($D210, regions_lb[], COLUMN(Z$1)-COLUMN($A$1), FALSE), VLOOKUP($A210,raw_lb[],COLUMN(Z$1)-COLUMN($A$1),FALSE))</f>
        <v>4.920902274258645</v>
      </c>
      <c r="Z210" s="70">
        <f>IF(VLOOKUP($A210,raw_lb[],COLUMN(AA$1)-COLUMN($A$1),FALSE)=0, VLOOKUP($D210, regions_lb[], COLUMN(AA$1)-COLUMN($A$1), FALSE), VLOOKUP($A210,raw_lb[],COLUMN(AA$1)-COLUMN($A$1),FALSE))</f>
        <v>4.919638079117524</v>
      </c>
      <c r="AA210" s="70">
        <f>IF(VLOOKUP($A210,raw_lb[],COLUMN(AB$1)-COLUMN($A$1),FALSE)=0, VLOOKUP($D210, regions_lb[], COLUMN(AB$1)-COLUMN($A$1), FALSE), VLOOKUP($A210,raw_lb[],COLUMN(AB$1)-COLUMN($A$1),FALSE))</f>
        <v>0.94257599197170272</v>
      </c>
      <c r="AB210" s="70">
        <f>IF(VLOOKUP($A210,raw_lb[],COLUMN(AC$1)-COLUMN($A$1),FALSE)=0, VLOOKUP($D210, regions_lb[], COLUMN(AC$1)-COLUMN($A$1), FALSE), VLOOKUP($A210,raw_lb[],COLUMN(AC$1)-COLUMN($A$1),FALSE))</f>
        <v>5.5310759919717025</v>
      </c>
      <c r="AC210" s="72">
        <f>IF(VLOOKUP($A210,raw_lb[],COLUMN(AD$1)-COLUMN($A$1),FALSE)=0, VLOOKUP($D210, regions_lb[], COLUMN(AD$1)-COLUMN($A$1), FALSE), VLOOKUP($A210,raw_lb[],COLUMN(AD$1)-COLUMN($A$1),FALSE))</f>
        <v>2.7590118499999983E-2</v>
      </c>
      <c r="AD210" s="72">
        <f>IF(VLOOKUP($A210,raw_lb[],COLUMN(AE$1)-COLUMN($A$1),FALSE)=0, VLOOKUP($D210, regions_lb[], COLUMN(AE$1)-COLUMN($A$1), FALSE), VLOOKUP($A210,raw_lb[],COLUMN(AE$1)-COLUMN($A$1),FALSE))</f>
        <v>3.4617680900787384E-3</v>
      </c>
      <c r="AE210" s="72">
        <f>IF(VLOOKUP($A210,raw_lb[],COLUMN(AF$1)-COLUMN($A$1),FALSE)=0, VLOOKUP($D210, regions_lb[], COLUMN(AF$1)-COLUMN($A$1), FALSE), VLOOKUP($A210,raw_lb[],COLUMN(AF$1)-COLUMN($A$1),FALSE))</f>
        <v>1.5992797363710079E-3</v>
      </c>
      <c r="AF210" s="72">
        <f>IF(VLOOKUP($A210,raw_lb[],COLUMN(AG$1)-COLUMN($A$1),FALSE)=0, VLOOKUP($D210, regions_lb[], COLUMN(AG$1)-COLUMN($A$1), FALSE), VLOOKUP($A210,raw_lb[],COLUMN(AG$1)-COLUMN($A$1),FALSE))</f>
        <v>1.2573723991004023E-3</v>
      </c>
      <c r="AG210" s="72">
        <f>IF(VLOOKUP($A210,raw_lb[],COLUMN(AH$1)-COLUMN($A$1),FALSE)=0, VLOOKUP($D210, regions_lb[], COLUMN(AH$1)-COLUMN($A$1), FALSE), VLOOKUP($A210,raw_lb[],COLUMN(AH$1)-COLUMN($A$1),FALSE))</f>
        <v>1.7485279736519535E-3</v>
      </c>
      <c r="AH210" s="72">
        <f>IF(VLOOKUP($A210,raw_lb[],COLUMN(AI$1)-COLUMN($A$1),FALSE)=0, VLOOKUP($D210, regions_lb[], COLUMN(AI$1)-COLUMN($A$1), FALSE), VLOOKUP($A210,raw_lb[],COLUMN(AI$1)-COLUMN($A$1),FALSE))</f>
        <v>2.0232221781811286E-3</v>
      </c>
      <c r="AI210" s="72">
        <f>IF(VLOOKUP($A210,raw_lb[],COLUMN(AJ$1)-COLUMN($A$1),FALSE)=0, VLOOKUP($D210, regions_lb[], COLUMN(AJ$1)-COLUMN($A$1), FALSE), VLOOKUP($A210,raw_lb[],COLUMN(AJ$1)-COLUMN($A$1),FALSE))</f>
        <v>2.2417675127433482E-3</v>
      </c>
      <c r="AJ210" s="72">
        <f>IF(VLOOKUP($A210,raw_lb[],COLUMN(AK$1)-COLUMN($A$1),FALSE)=0, VLOOKUP($D210, regions_lb[], COLUMN(AK$1)-COLUMN($A$1), FALSE), VLOOKUP($A210,raw_lb[],COLUMN(AK$1)-COLUMN($A$1),FALSE))</f>
        <v>2.8939676803559728E-3</v>
      </c>
      <c r="AK210" s="72">
        <f>IF(VLOOKUP($A210,raw_lb[],COLUMN(AL$1)-COLUMN($A$1),FALSE)=0, VLOOKUP($D210, regions_lb[], COLUMN(AL$1)-COLUMN($A$1), FALSE), VLOOKUP($A210,raw_lb[],COLUMN(AL$1)-COLUMN($A$1),FALSE))</f>
        <v>3.7200459373783585E-3</v>
      </c>
      <c r="AL210" s="72">
        <f>IF(VLOOKUP($A210,raw_lb[],COLUMN(AM$1)-COLUMN($A$1),FALSE)=0, VLOOKUP($D210, regions_lb[], COLUMN(AM$1)-COLUMN($A$1), FALSE), VLOOKUP($A210,raw_lb[],COLUMN(AM$1)-COLUMN($A$1),FALSE))</f>
        <v>4.8032887001881247E-3</v>
      </c>
      <c r="AM210" s="72">
        <f>IF(VLOOKUP($A210,raw_lb[],COLUMN(AN$1)-COLUMN($A$1),FALSE)=0, VLOOKUP($D210, regions_lb[], COLUMN(AN$1)-COLUMN($A$1), FALSE), VLOOKUP($A210,raw_lb[],COLUMN(AN$1)-COLUMN($A$1),FALSE))</f>
        <v>6.3278980997258389E-3</v>
      </c>
      <c r="AN210" s="72">
        <f>IF(VLOOKUP($A210,raw_lb[],COLUMN(AO$1)-COLUMN($A$1),FALSE)=0, VLOOKUP($D210, regions_lb[], COLUMN(AO$1)-COLUMN($A$1), FALSE), VLOOKUP($A210,raw_lb[],COLUMN(AO$1)-COLUMN($A$1),FALSE))</f>
        <v>8.4636902708689378E-3</v>
      </c>
      <c r="AO210" s="72">
        <f>IF(VLOOKUP($A210,raw_lb[],COLUMN(AP$1)-COLUMN($A$1),FALSE)=0, VLOOKUP($D210, regions_lb[], COLUMN(AP$1)-COLUMN($A$1), FALSE), VLOOKUP($A210,raw_lb[],COLUMN(AP$1)-COLUMN($A$1),FALSE))</f>
        <v>1.1912948115099546E-2</v>
      </c>
      <c r="AP210" s="72">
        <f>IF(VLOOKUP($A210,raw_lb[],COLUMN(AQ$1)-COLUMN($A$1),FALSE)=0, VLOOKUP($D210, regions_lb[], COLUMN(AQ$1)-COLUMN($A$1), FALSE), VLOOKUP($A210,raw_lb[],COLUMN(AQ$1)-COLUMN($A$1),FALSE))</f>
        <v>1.8205612353105891E-2</v>
      </c>
      <c r="AQ210" s="72">
        <f>IF(VLOOKUP($A210,raw_lb[],COLUMN(AR$1)-COLUMN($A$1),FALSE)=0, VLOOKUP($D210, regions_lb[], COLUMN(AR$1)-COLUMN($A$1), FALSE), VLOOKUP($A210,raw_lb[],COLUMN(AR$1)-COLUMN($A$1),FALSE))</f>
        <v>2.9325298194772514E-2</v>
      </c>
      <c r="AR210" s="72">
        <f>IF(VLOOKUP($A210,raw_lb[],COLUMN(AS$1)-COLUMN($A$1),FALSE)=0, VLOOKUP($D210, regions_lb[], COLUMN(AS$1)-COLUMN($A$1), FALSE), VLOOKUP($A210,raw_lb[],COLUMN(AS$1)-COLUMN($A$1),FALSE))</f>
        <v>4.4796108625900229E-2</v>
      </c>
      <c r="AS210" s="82">
        <f>IF(VLOOKUP($A210,raw_lb[],COLUMN(AS$1),FALSE)=0, VLOOKUP($D210, regions_lb[], COLUMN(AS$1), FALSE), VLOOKUP($A210,raw_lb[],COLUMN(AS$1),FALSE))</f>
        <v>6.516716339746334E-2</v>
      </c>
      <c r="AT210" s="82">
        <f>IF(VLOOKUP($A210,raw_lb[],COLUMN(AT$1),FALSE)=0, VLOOKUP($D210, regions_lb[], COLUMN(AT$1), FALSE), VLOOKUP($A210,raw_lb[],COLUMN(AT$1),FALSE))</f>
        <v>9.0217700418039407E-2</v>
      </c>
      <c r="AU210" s="82">
        <f>IF(VLOOKUP($A210,raw_lb[],COLUMN(AU$1),FALSE)=0, VLOOKUP($D210, regions_lb[], COLUMN(AU$1), FALSE), VLOOKUP($A210,raw_lb[],COLUMN(AU$1),FALSE))</f>
        <v>0.11736498573978038</v>
      </c>
      <c r="AV210" s="82">
        <f>IF(VLOOKUP($A210,raw_lb[],COLUMN(AV$1),FALSE)=0, VLOOKUP($D210, regions_lb[], COLUMN(AV$1), FALSE), VLOOKUP($A210,raw_lb[],COLUMN(AV$1),FALSE))</f>
        <v>0.14240799063333512</v>
      </c>
      <c r="AW210" s="82">
        <f>IF(VLOOKUP($A210,raw_lb[],COLUMN(AW$1),FALSE)=0, VLOOKUP($D210, regions_lb[], COLUMN(AW$1), FALSE), VLOOKUP($A210,raw_lb[],COLUMN(AW$1),FALSE))</f>
        <v>0.16129594414486181</v>
      </c>
      <c r="AX210" s="82">
        <f>IF(VLOOKUP($A210,raw_lb[],COLUMN(AX$1),FALSE)=0, VLOOKUP($D210, regions_lb[], COLUMN(AX$1), FALSE), VLOOKUP($A210,raw_lb[],COLUMN(AX$1),FALSE))</f>
        <v>63.162649999999992</v>
      </c>
      <c r="AY210" t="str">
        <f t="shared" si="7"/>
        <v>Yes</v>
      </c>
    </row>
    <row r="211" spans="1:51" x14ac:dyDescent="0.25">
      <c r="A211" s="55" t="s">
        <v>366</v>
      </c>
      <c r="B211" s="56" t="s">
        <v>367</v>
      </c>
      <c r="C211" s="56">
        <v>454</v>
      </c>
      <c r="D211" s="56" t="s">
        <v>207</v>
      </c>
      <c r="E211" s="56" t="s">
        <v>255</v>
      </c>
      <c r="F211" s="56" t="s">
        <v>211</v>
      </c>
      <c r="G211" s="56" t="s">
        <v>198</v>
      </c>
      <c r="H211" s="74"/>
      <c r="I211" s="74"/>
      <c r="J211" s="67">
        <f>IF(VLOOKUP($A211,raw_lb[],COLUMN(J$1),FALSE)=0, VLOOKUP($D211, regions_lb[], COLUMN(J$1), FALSE), VLOOKUP($A211,raw_lb[],COLUMN(J$1),FALSE))</f>
        <v>0.86829999999999996</v>
      </c>
      <c r="K211" s="77">
        <f>VLOOKUP($A211, raw_lb[], 11, FALSE)</f>
        <v>0</v>
      </c>
      <c r="L211" s="77">
        <f>VLOOKUP($A211, raw_lb[], 12, FALSE)</f>
        <v>0.85499999999999998</v>
      </c>
      <c r="M211" s="77">
        <f>IF(VLOOKUP($A211,raw_lb[],COLUMN(M$1),FALSE)=0, VLOOKUP($D211, regions_lb[], COLUMN(M$1), FALSE), VLOOKUP($A211,raw_lb[],COLUMN(M$1),FALSE))</f>
        <v>4.1599999999999998E-2</v>
      </c>
      <c r="N211" s="68">
        <f>IF(VLOOKUP($A211,raw_lb[],COLUMN(N$1),FALSE)=0, VLOOKUP($D211, regions_lb[], COLUMN(N$1), FALSE), VLOOKUP($A211,raw_lb[],COLUMN(N$1),FALSE))</f>
        <v>0.15560000000000002</v>
      </c>
      <c r="O211" s="67">
        <f>IF(VLOOKUP($A211,raw_lb[],COLUMN(O$1),FALSE)=0, VLOOKUP($D211, regions_lb[], COLUMN(O$1), FALSE), VLOOKUP($A211,raw_lb[],COLUMN(O$1),FALSE))</f>
        <v>7.0000000000000007E-2</v>
      </c>
      <c r="P211" s="68">
        <f>IF(VLOOKUP($A211,raw_lb[],COLUMN(P$1),FALSE)=0, VLOOKUP($D211, regions_lb[], COLUMN(P$1), FALSE), VLOOKUP($A211,raw_lb[],COLUMN(P$1),FALSE))</f>
        <v>1E-3</v>
      </c>
      <c r="Q211" s="70">
        <f>IF(VLOOKUP($A211,raw_lb[],COLUMN(Q$1),FALSE)=0, VLOOKUP($D211, regions_lb[], COLUMN(Q$1), FALSE), VLOOKUP($A211,raw_lb[],COLUMN(Q$1),FALSE))</f>
        <v>0.65929601837672303</v>
      </c>
      <c r="R211" s="70">
        <f>IF(VLOOKUP($A211,raw_lb[],COLUMN(R$1),FALSE)=0, VLOOKUP($D211, regions_lb[], COLUMN(R$1), FALSE), VLOOKUP($A211,raw_lb[],COLUMN(R$1),FALSE))</f>
        <v>7.7201960183767238</v>
      </c>
      <c r="S211" s="70">
        <f>IF(VLOOKUP($A211,raw_lb[],COLUMN(S$1),FALSE)=0, VLOOKUP($D211, regions_lb[], COLUMN(S$1), FALSE), VLOOKUP($A211,raw_lb[],COLUMN(S$1),FALSE))</f>
        <v>37.42065512825554</v>
      </c>
      <c r="T211" s="70">
        <f>IF(VLOOKUP($A211,raw_lb[],COLUMN(U$1)-COLUMN($A$1),FALSE)=0, VLOOKUP($D211, regions_lb[], COLUMN(U$1)-COLUMN($A$1), FALSE), VLOOKUP($A211,raw_lb[],COLUMN(U$1)-COLUMN($A$1),FALSE))</f>
        <v>37.670717302350262</v>
      </c>
      <c r="U211" s="70">
        <f>IF(VLOOKUP($A211,raw_lb[],COLUMN(V$1)-COLUMN($A$1),FALSE)=0, VLOOKUP($D211, regions_lb[], COLUMN(V$1)-COLUMN($A$1), FALSE), VLOOKUP($A211,raw_lb[],COLUMN(V$1)-COLUMN($A$1),FALSE))</f>
        <v>37.555894037646958</v>
      </c>
      <c r="V211" s="70">
        <f>IF(VLOOKUP($A211,raw_lb[],COLUMN(W$1)-COLUMN($A$1),FALSE)=0, VLOOKUP($D211, regions_lb[], COLUMN(W$1)-COLUMN($A$1), FALSE), VLOOKUP($A211,raw_lb[],COLUMN(W$1)-COLUMN($A$1),FALSE))</f>
        <v>1.009291225662692</v>
      </c>
      <c r="W211" s="70">
        <f>IF(VLOOKUP($A211,raw_lb[],COLUMN(X$1)-COLUMN($A$1),FALSE)=0, VLOOKUP($D211, regions_lb[], COLUMN(X$1)-COLUMN($A$1), FALSE), VLOOKUP($A211,raw_lb[],COLUMN(X$1)-COLUMN($A$1),FALSE))</f>
        <v>5.597791225662692</v>
      </c>
      <c r="X211" s="70">
        <f>IF(VLOOKUP($A211,raw_lb[],COLUMN(Y$1)-COLUMN($A$1),FALSE)=0, VLOOKUP($D211, regions_lb[], COLUMN(Y$1)-COLUMN($A$1), FALSE), VLOOKUP($A211,raw_lb[],COLUMN(Y$1)-COLUMN($A$1),FALSE))</f>
        <v>0.5391089301283809</v>
      </c>
      <c r="Y211" s="70">
        <f>IF(VLOOKUP($A211,raw_lb[],COLUMN(Z$1)-COLUMN($A$1),FALSE)=0, VLOOKUP($D211, regions_lb[], COLUMN(Z$1)-COLUMN($A$1), FALSE), VLOOKUP($A211,raw_lb[],COLUMN(Z$1)-COLUMN($A$1),FALSE))</f>
        <v>5.1276089301283809</v>
      </c>
      <c r="Z211" s="70">
        <f>IF(VLOOKUP($A211,raw_lb[],COLUMN(AA$1)-COLUMN($A$1),FALSE)=0, VLOOKUP($D211, regions_lb[], COLUMN(AA$1)-COLUMN($A$1), FALSE), VLOOKUP($A211,raw_lb[],COLUMN(AA$1)-COLUMN($A$1),FALSE))</f>
        <v>5.126230083322751</v>
      </c>
      <c r="AA211" s="70">
        <f>IF(VLOOKUP($A211,raw_lb[],COLUMN(AB$1)-COLUMN($A$1),FALSE)=0, VLOOKUP($D211, regions_lb[], COLUMN(AB$1)-COLUMN($A$1), FALSE), VLOOKUP($A211,raw_lb[],COLUMN(AB$1)-COLUMN($A$1),FALSE))</f>
        <v>1.1509604836288838</v>
      </c>
      <c r="AB211" s="70">
        <f>IF(VLOOKUP($A211,raw_lb[],COLUMN(AC$1)-COLUMN($A$1),FALSE)=0, VLOOKUP($D211, regions_lb[], COLUMN(AC$1)-COLUMN($A$1), FALSE), VLOOKUP($A211,raw_lb[],COLUMN(AC$1)-COLUMN($A$1),FALSE))</f>
        <v>5.7394604836288838</v>
      </c>
      <c r="AC211" s="72">
        <f>IF(VLOOKUP($A211,raw_lb[],COLUMN(AD$1)-COLUMN($A$1),FALSE)=0, VLOOKUP($D211, regions_lb[], COLUMN(AD$1)-COLUMN($A$1), FALSE), VLOOKUP($A211,raw_lb[],COLUMN(AD$1)-COLUMN($A$1),FALSE))</f>
        <v>3.9268696500000054E-2</v>
      </c>
      <c r="AD211" s="72">
        <f>IF(VLOOKUP($A211,raw_lb[],COLUMN(AE$1)-COLUMN($A$1),FALSE)=0, VLOOKUP($D211, regions_lb[], COLUMN(AE$1)-COLUMN($A$1), FALSE), VLOOKUP($A211,raw_lb[],COLUMN(AE$1)-COLUMN($A$1),FALSE))</f>
        <v>3.4973670612388034E-3</v>
      </c>
      <c r="AE211" s="72">
        <f>IF(VLOOKUP($A211,raw_lb[],COLUMN(AF$1)-COLUMN($A$1),FALSE)=0, VLOOKUP($D211, regions_lb[], COLUMN(AF$1)-COLUMN($A$1), FALSE), VLOOKUP($A211,raw_lb[],COLUMN(AF$1)-COLUMN($A$1),FALSE))</f>
        <v>1.1846171161731017E-3</v>
      </c>
      <c r="AF211" s="72">
        <f>IF(VLOOKUP($A211,raw_lb[],COLUMN(AG$1)-COLUMN($A$1),FALSE)=0, VLOOKUP($D211, regions_lb[], COLUMN(AG$1)-COLUMN($A$1), FALSE), VLOOKUP($A211,raw_lb[],COLUMN(AG$1)-COLUMN($A$1),FALSE))</f>
        <v>9.2400528081368186E-4</v>
      </c>
      <c r="AG211" s="72">
        <f>IF(VLOOKUP($A211,raw_lb[],COLUMN(AH$1)-COLUMN($A$1),FALSE)=0, VLOOKUP($D211, regions_lb[], COLUMN(AH$1)-COLUMN($A$1), FALSE), VLOOKUP($A211,raw_lb[],COLUMN(AH$1)-COLUMN($A$1),FALSE))</f>
        <v>1.5194186500664185E-3</v>
      </c>
      <c r="AH211" s="72">
        <f>IF(VLOOKUP($A211,raw_lb[],COLUMN(AI$1)-COLUMN($A$1),FALSE)=0, VLOOKUP($D211, regions_lb[], COLUMN(AI$1)-COLUMN($A$1), FALSE), VLOOKUP($A211,raw_lb[],COLUMN(AI$1)-COLUMN($A$1),FALSE))</f>
        <v>2.4011463251929384E-3</v>
      </c>
      <c r="AI211" s="72">
        <f>IF(VLOOKUP($A211,raw_lb[],COLUMN(AJ$1)-COLUMN($A$1),FALSE)=0, VLOOKUP($D211, regions_lb[], COLUMN(AJ$1)-COLUMN($A$1), FALSE), VLOOKUP($A211,raw_lb[],COLUMN(AJ$1)-COLUMN($A$1),FALSE))</f>
        <v>3.2978673137895645E-3</v>
      </c>
      <c r="AJ211" s="72">
        <f>IF(VLOOKUP($A211,raw_lb[],COLUMN(AK$1)-COLUMN($A$1),FALSE)=0, VLOOKUP($D211, regions_lb[], COLUMN(AK$1)-COLUMN($A$1), FALSE), VLOOKUP($A211,raw_lb[],COLUMN(AK$1)-COLUMN($A$1),FALSE))</f>
        <v>4.2998613910693005E-3</v>
      </c>
      <c r="AK211" s="72">
        <f>IF(VLOOKUP($A211,raw_lb[],COLUMN(AL$1)-COLUMN($A$1),FALSE)=0, VLOOKUP($D211, regions_lb[], COLUMN(AL$1)-COLUMN($A$1), FALSE), VLOOKUP($A211,raw_lb[],COLUMN(AL$1)-COLUMN($A$1),FALSE))</f>
        <v>5.7363046527028989E-3</v>
      </c>
      <c r="AL211" s="72">
        <f>IF(VLOOKUP($A211,raw_lb[],COLUMN(AM$1)-COLUMN($A$1),FALSE)=0, VLOOKUP($D211, regions_lb[], COLUMN(AM$1)-COLUMN($A$1), FALSE), VLOOKUP($A211,raw_lb[],COLUMN(AM$1)-COLUMN($A$1),FALSE))</f>
        <v>7.1231366687273343E-3</v>
      </c>
      <c r="AM211" s="72">
        <f>IF(VLOOKUP($A211,raw_lb[],COLUMN(AN$1)-COLUMN($A$1),FALSE)=0, VLOOKUP($D211, regions_lb[], COLUMN(AN$1)-COLUMN($A$1), FALSE), VLOOKUP($A211,raw_lb[],COLUMN(AN$1)-COLUMN($A$1),FALSE))</f>
        <v>8.7728184576895598E-3</v>
      </c>
      <c r="AN211" s="72">
        <f>IF(VLOOKUP($A211,raw_lb[],COLUMN(AO$1)-COLUMN($A$1),FALSE)=0, VLOOKUP($D211, regions_lb[], COLUMN(AO$1)-COLUMN($A$1), FALSE), VLOOKUP($A211,raw_lb[],COLUMN(AO$1)-COLUMN($A$1),FALSE))</f>
        <v>1.1495673451895482E-2</v>
      </c>
      <c r="AO211" s="72">
        <f>IF(VLOOKUP($A211,raw_lb[],COLUMN(AP$1)-COLUMN($A$1),FALSE)=0, VLOOKUP($D211, regions_lb[], COLUMN(AP$1)-COLUMN($A$1), FALSE), VLOOKUP($A211,raw_lb[],COLUMN(AP$1)-COLUMN($A$1),FALSE))</f>
        <v>1.4687690279240143E-2</v>
      </c>
      <c r="AP211" s="72">
        <f>IF(VLOOKUP($A211,raw_lb[],COLUMN(AQ$1)-COLUMN($A$1),FALSE)=0, VLOOKUP($D211, regions_lb[], COLUMN(AQ$1)-COLUMN($A$1), FALSE), VLOOKUP($A211,raw_lb[],COLUMN(AQ$1)-COLUMN($A$1),FALSE))</f>
        <v>2.0709775178139746E-2</v>
      </c>
      <c r="AQ211" s="72">
        <f>IF(VLOOKUP($A211,raw_lb[],COLUMN(AR$1)-COLUMN($A$1),FALSE)=0, VLOOKUP($D211, regions_lb[], COLUMN(AR$1)-COLUMN($A$1), FALSE), VLOOKUP($A211,raw_lb[],COLUMN(AR$1)-COLUMN($A$1),FALSE))</f>
        <v>3.0408194965134264E-2</v>
      </c>
      <c r="AR211" s="72">
        <f>IF(VLOOKUP($A211,raw_lb[],COLUMN(AS$1)-COLUMN($A$1),FALSE)=0, VLOOKUP($D211, regions_lb[], COLUMN(AS$1)-COLUMN($A$1), FALSE), VLOOKUP($A211,raw_lb[],COLUMN(AS$1)-COLUMN($A$1),FALSE))</f>
        <v>4.5390438167418071E-2</v>
      </c>
      <c r="AS211" s="82">
        <f>IF(VLOOKUP($A211,raw_lb[],COLUMN(AS$1),FALSE)=0, VLOOKUP($D211, regions_lb[], COLUMN(AS$1), FALSE), VLOOKUP($A211,raw_lb[],COLUMN(AS$1),FALSE))</f>
        <v>6.7483924337195605E-2</v>
      </c>
      <c r="AT211" s="82">
        <f>IF(VLOOKUP($A211,raw_lb[],COLUMN(AT$1),FALSE)=0, VLOOKUP($D211, regions_lb[], COLUMN(AT$1), FALSE), VLOOKUP($A211,raw_lb[],COLUMN(AT$1),FALSE))</f>
        <v>9.9851176084888263E-2</v>
      </c>
      <c r="AU211" s="82">
        <f>IF(VLOOKUP($A211,raw_lb[],COLUMN(AU$1),FALSE)=0, VLOOKUP($D211, regions_lb[], COLUMN(AU$1), FALSE), VLOOKUP($A211,raw_lb[],COLUMN(AU$1),FALSE))</f>
        <v>0.13748125082601351</v>
      </c>
      <c r="AV211" s="82">
        <f>IF(VLOOKUP($A211,raw_lb[],COLUMN(AV$1),FALSE)=0, VLOOKUP($D211, regions_lb[], COLUMN(AV$1), FALSE), VLOOKUP($A211,raw_lb[],COLUMN(AV$1),FALSE))</f>
        <v>0.16834140552339177</v>
      </c>
      <c r="AW211" s="82">
        <f>IF(VLOOKUP($A211,raw_lb[],COLUMN(AW$1),FALSE)=0, VLOOKUP($D211, regions_lb[], COLUMN(AW$1), FALSE), VLOOKUP($A211,raw_lb[],COLUMN(AW$1),FALSE))</f>
        <v>0.17912613461231874</v>
      </c>
      <c r="AX211" s="82">
        <f>IF(VLOOKUP($A211,raw_lb[],COLUMN(AX$1),FALSE)=0, VLOOKUP($D211, regions_lb[], COLUMN(AX$1), FALSE), VLOOKUP($A211,raw_lb[],COLUMN(AX$1),FALSE))</f>
        <v>60.260399999999997</v>
      </c>
      <c r="AY211" t="str">
        <f t="shared" si="7"/>
        <v>Yes</v>
      </c>
    </row>
    <row r="212" spans="1:51" x14ac:dyDescent="0.25">
      <c r="A212" s="53" t="s">
        <v>368</v>
      </c>
      <c r="B212" s="54" t="s">
        <v>369</v>
      </c>
      <c r="C212" s="54">
        <v>458</v>
      </c>
      <c r="D212" s="54" t="s">
        <v>260</v>
      </c>
      <c r="E212" s="54" t="s">
        <v>261</v>
      </c>
      <c r="F212" s="54" t="s">
        <v>262</v>
      </c>
      <c r="G212" s="54" t="s">
        <v>204</v>
      </c>
      <c r="H212" s="73"/>
      <c r="I212" s="73"/>
      <c r="J212" s="67">
        <f>IF(VLOOKUP($A212,raw_lb[],COLUMN(J$1),FALSE)=0, VLOOKUP($D212, regions_lb[], COLUMN(J$1), FALSE), VLOOKUP($A212,raw_lb[],COLUMN(J$1),FALSE))</f>
        <v>0.93955000000000011</v>
      </c>
      <c r="K212" s="77">
        <f>VLOOKUP($A212, raw_lb[], 11, FALSE)</f>
        <v>0.9405</v>
      </c>
      <c r="L212" s="77">
        <f>VLOOKUP($A212, raw_lb[], 12, FALSE)</f>
        <v>0.9405</v>
      </c>
      <c r="M212" s="77">
        <f>IF(VLOOKUP($A212,raw_lb[],COLUMN(M$1),FALSE)=0, VLOOKUP($D212, regions_lb[], COLUMN(M$1), FALSE), VLOOKUP($A212,raw_lb[],COLUMN(M$1),FALSE))</f>
        <v>1.06E-2</v>
      </c>
      <c r="N212" s="68">
        <f>IF(VLOOKUP($A212,raw_lb[],COLUMN(N$1),FALSE)=0, VLOOKUP($D212, regions_lb[], COLUMN(N$1), FALSE), VLOOKUP($A212,raw_lb[],COLUMN(N$1),FALSE))</f>
        <v>0.18100000000000002</v>
      </c>
      <c r="O212" s="67">
        <f>IF(VLOOKUP($A212,raw_lb[],COLUMN(O$1),FALSE)=0, VLOOKUP($D212, regions_lb[], COLUMN(O$1), FALSE), VLOOKUP($A212,raw_lb[],COLUMN(O$1),FALSE))</f>
        <v>0.7</v>
      </c>
      <c r="P212" s="68">
        <f>IF(VLOOKUP($A212,raw_lb[],COLUMN(P$1),FALSE)=0, VLOOKUP($D212, regions_lb[], COLUMN(P$1), FALSE), VLOOKUP($A212,raw_lb[],COLUMN(P$1),FALSE))</f>
        <v>0.05</v>
      </c>
      <c r="Q212" s="70">
        <f>IF(VLOOKUP($A212,raw_lb[],COLUMN(Q$1),FALSE)=0, VLOOKUP($D212, regions_lb[], COLUMN(Q$1), FALSE), VLOOKUP($A212,raw_lb[],COLUMN(Q$1),FALSE))</f>
        <v>2.2230576556921902</v>
      </c>
      <c r="R212" s="70">
        <f>IF(VLOOKUP($A212,raw_lb[],COLUMN(R$1),FALSE)=0, VLOOKUP($D212, regions_lb[], COLUMN(R$1), FALSE), VLOOKUP($A212,raw_lb[],COLUMN(R$1),FALSE))</f>
        <v>9.2839576556921912</v>
      </c>
      <c r="S212" s="70">
        <f>IF(VLOOKUP($A212,raw_lb[],COLUMN(S$1),FALSE)=0, VLOOKUP($D212, regions_lb[], COLUMN(S$1), FALSE), VLOOKUP($A212,raw_lb[],COLUMN(S$1),FALSE))</f>
        <v>53.033620508340604</v>
      </c>
      <c r="T212" s="70">
        <f>IF(VLOOKUP($A212,raw_lb[],COLUMN(U$1)-COLUMN($A$1),FALSE)=0, VLOOKUP($D212, regions_lb[], COLUMN(U$1)-COLUMN($A$1), FALSE), VLOOKUP($A212,raw_lb[],COLUMN(U$1)-COLUMN($A$1),FALSE))</f>
        <v>60.595802194755066</v>
      </c>
      <c r="U212" s="70">
        <f>IF(VLOOKUP($A212,raw_lb[],COLUMN(V$1)-COLUMN($A$1),FALSE)=0, VLOOKUP($D212, regions_lb[], COLUMN(V$1)-COLUMN($A$1), FALSE), VLOOKUP($A212,raw_lb[],COLUMN(V$1)-COLUMN($A$1),FALSE))</f>
        <v>57.123408208511016</v>
      </c>
      <c r="V212" s="70">
        <f>IF(VLOOKUP($A212,raw_lb[],COLUMN(W$1)-COLUMN($A$1),FALSE)=0, VLOOKUP($D212, regions_lb[], COLUMN(W$1)-COLUMN($A$1), FALSE), VLOOKUP($A212,raw_lb[],COLUMN(W$1)-COLUMN($A$1),FALSE))</f>
        <v>2.2521086453744199</v>
      </c>
      <c r="W212" s="70">
        <f>IF(VLOOKUP($A212,raw_lb[],COLUMN(X$1)-COLUMN($A$1),FALSE)=0, VLOOKUP($D212, regions_lb[], COLUMN(X$1)-COLUMN($A$1), FALSE), VLOOKUP($A212,raw_lb[],COLUMN(X$1)-COLUMN($A$1),FALSE))</f>
        <v>2.8506086453744199</v>
      </c>
      <c r="X212" s="70">
        <f>IF(VLOOKUP($A212,raw_lb[],COLUMN(Y$1)-COLUMN($A$1),FALSE)=0, VLOOKUP($D212, regions_lb[], COLUMN(Y$1)-COLUMN($A$1), FALSE), VLOOKUP($A212,raw_lb[],COLUMN(Y$1)-COLUMN($A$1),FALSE))</f>
        <v>1.7709283534882208</v>
      </c>
      <c r="Y212" s="70">
        <f>IF(VLOOKUP($A212,raw_lb[],COLUMN(Z$1)-COLUMN($A$1),FALSE)=0, VLOOKUP($D212, regions_lb[], COLUMN(Z$1)-COLUMN($A$1), FALSE), VLOOKUP($A212,raw_lb[],COLUMN(Z$1)-COLUMN($A$1),FALSE))</f>
        <v>2.3694283534882206</v>
      </c>
      <c r="Z212" s="70">
        <f>IF(VLOOKUP($A212,raw_lb[],COLUMN(AA$1)-COLUMN($A$1),FALSE)=0, VLOOKUP($D212, regions_lb[], COLUMN(AA$1)-COLUMN($A$1), FALSE), VLOOKUP($A212,raw_lb[],COLUMN(AA$1)-COLUMN($A$1),FALSE))</f>
        <v>2.3609644858630165</v>
      </c>
      <c r="AA212" s="70">
        <f>IF(VLOOKUP($A212,raw_lb[],COLUMN(AB$1)-COLUMN($A$1),FALSE)=0, VLOOKUP($D212, regions_lb[], COLUMN(AB$1)-COLUMN($A$1), FALSE), VLOOKUP($A212,raw_lb[],COLUMN(AB$1)-COLUMN($A$1),FALSE))</f>
        <v>2.4277145777978655</v>
      </c>
      <c r="AB212" s="70">
        <f>IF(VLOOKUP($A212,raw_lb[],COLUMN(AC$1)-COLUMN($A$1),FALSE)=0, VLOOKUP($D212, regions_lb[], COLUMN(AC$1)-COLUMN($A$1), FALSE), VLOOKUP($A212,raw_lb[],COLUMN(AC$1)-COLUMN($A$1),FALSE))</f>
        <v>3.0262145777978655</v>
      </c>
      <c r="AC212" s="72">
        <f>IF(VLOOKUP($A212,raw_lb[],COLUMN(AD$1)-COLUMN($A$1),FALSE)=0, VLOOKUP($D212, regions_lb[], COLUMN(AD$1)-COLUMN($A$1), FALSE), VLOOKUP($A212,raw_lb[],COLUMN(AD$1)-COLUMN($A$1),FALSE))</f>
        <v>5.6030715000000564E-3</v>
      </c>
      <c r="AD212" s="72">
        <f>IF(VLOOKUP($A212,raw_lb[],COLUMN(AE$1)-COLUMN($A$1),FALSE)=0, VLOOKUP($D212, regions_lb[], COLUMN(AE$1)-COLUMN($A$1), FALSE), VLOOKUP($A212,raw_lb[],COLUMN(AE$1)-COLUMN($A$1),FALSE))</f>
        <v>2.5564227044179959E-4</v>
      </c>
      <c r="AE212" s="72">
        <f>IF(VLOOKUP($A212,raw_lb[],COLUMN(AF$1)-COLUMN($A$1),FALSE)=0, VLOOKUP($D212, regions_lb[], COLUMN(AF$1)-COLUMN($A$1), FALSE), VLOOKUP($A212,raw_lb[],COLUMN(AF$1)-COLUMN($A$1),FALSE))</f>
        <v>1.6530806827277973E-4</v>
      </c>
      <c r="AF212" s="72">
        <f>IF(VLOOKUP($A212,raw_lb[],COLUMN(AG$1)-COLUMN($A$1),FALSE)=0, VLOOKUP($D212, regions_lb[], COLUMN(AG$1)-COLUMN($A$1), FALSE), VLOOKUP($A212,raw_lb[],COLUMN(AG$1)-COLUMN($A$1),FALSE))</f>
        <v>2.2946083496484381E-4</v>
      </c>
      <c r="AG212" s="72">
        <f>IF(VLOOKUP($A212,raw_lb[],COLUMN(AH$1)-COLUMN($A$1),FALSE)=0, VLOOKUP($D212, regions_lb[], COLUMN(AH$1)-COLUMN($A$1), FALSE), VLOOKUP($A212,raw_lb[],COLUMN(AH$1)-COLUMN($A$1),FALSE))</f>
        <v>5.3639153355413587E-4</v>
      </c>
      <c r="AH212" s="72">
        <f>IF(VLOOKUP($A212,raw_lb[],COLUMN(AI$1)-COLUMN($A$1),FALSE)=0, VLOOKUP($D212, regions_lb[], COLUMN(AI$1)-COLUMN($A$1), FALSE), VLOOKUP($A212,raw_lb[],COLUMN(AI$1)-COLUMN($A$1),FALSE))</f>
        <v>5.6242699652660915E-4</v>
      </c>
      <c r="AI212" s="72">
        <f>IF(VLOOKUP($A212,raw_lb[],COLUMN(AJ$1)-COLUMN($A$1),FALSE)=0, VLOOKUP($D212, regions_lb[], COLUMN(AJ$1)-COLUMN($A$1), FALSE), VLOOKUP($A212,raw_lb[],COLUMN(AJ$1)-COLUMN($A$1),FALSE))</f>
        <v>5.9130530949175067E-4</v>
      </c>
      <c r="AJ212" s="72">
        <f>IF(VLOOKUP($A212,raw_lb[],COLUMN(AK$1)-COLUMN($A$1),FALSE)=0, VLOOKUP($D212, regions_lb[], COLUMN(AK$1)-COLUMN($A$1), FALSE), VLOOKUP($A212,raw_lb[],COLUMN(AK$1)-COLUMN($A$1),FALSE))</f>
        <v>1.022435471937195E-3</v>
      </c>
      <c r="AK212" s="72">
        <f>IF(VLOOKUP($A212,raw_lb[],COLUMN(AL$1)-COLUMN($A$1),FALSE)=0, VLOOKUP($D212, regions_lb[], COLUMN(AL$1)-COLUMN($A$1), FALSE), VLOOKUP($A212,raw_lb[],COLUMN(AL$1)-COLUMN($A$1),FALSE))</f>
        <v>1.5222242920445209E-3</v>
      </c>
      <c r="AL212" s="72">
        <f>IF(VLOOKUP($A212,raw_lb[],COLUMN(AM$1)-COLUMN($A$1),FALSE)=0, VLOOKUP($D212, regions_lb[], COLUMN(AM$1)-COLUMN($A$1), FALSE), VLOOKUP($A212,raw_lb[],COLUMN(AM$1)-COLUMN($A$1),FALSE))</f>
        <v>2.2612981290101456E-3</v>
      </c>
      <c r="AM212" s="72">
        <f>IF(VLOOKUP($A212,raw_lb[],COLUMN(AN$1)-COLUMN($A$1),FALSE)=0, VLOOKUP($D212, regions_lb[], COLUMN(AN$1)-COLUMN($A$1), FALSE), VLOOKUP($A212,raw_lb[],COLUMN(AN$1)-COLUMN($A$1),FALSE))</f>
        <v>3.9489686971579752E-3</v>
      </c>
      <c r="AN212" s="72">
        <f>IF(VLOOKUP($A212,raw_lb[],COLUMN(AO$1)-COLUMN($A$1),FALSE)=0, VLOOKUP($D212, regions_lb[], COLUMN(AO$1)-COLUMN($A$1), FALSE), VLOOKUP($A212,raw_lb[],COLUMN(AO$1)-COLUMN($A$1),FALSE))</f>
        <v>5.9861733250361152E-3</v>
      </c>
      <c r="AO212" s="72">
        <f>IF(VLOOKUP($A212,raw_lb[],COLUMN(AP$1)-COLUMN($A$1),FALSE)=0, VLOOKUP($D212, regions_lb[], COLUMN(AP$1)-COLUMN($A$1), FALSE), VLOOKUP($A212,raw_lb[],COLUMN(AP$1)-COLUMN($A$1),FALSE))</f>
        <v>8.7120669508740749E-3</v>
      </c>
      <c r="AP212" s="72">
        <f>IF(VLOOKUP($A212,raw_lb[],COLUMN(AQ$1)-COLUMN($A$1),FALSE)=0, VLOOKUP($D212, regions_lb[], COLUMN(AQ$1)-COLUMN($A$1), FALSE), VLOOKUP($A212,raw_lb[],COLUMN(AQ$1)-COLUMN($A$1),FALSE))</f>
        <v>1.1995452753091542E-2</v>
      </c>
      <c r="AQ212" s="72">
        <f>IF(VLOOKUP($A212,raw_lb[],COLUMN(AR$1)-COLUMN($A$1),FALSE)=0, VLOOKUP($D212, regions_lb[], COLUMN(AR$1)-COLUMN($A$1), FALSE), VLOOKUP($A212,raw_lb[],COLUMN(AR$1)-COLUMN($A$1),FALSE))</f>
        <v>1.9262594686177689E-2</v>
      </c>
      <c r="AR212" s="72">
        <f>IF(VLOOKUP($A212,raw_lb[],COLUMN(AS$1)-COLUMN($A$1),FALSE)=0, VLOOKUP($D212, regions_lb[], COLUMN(AS$1)-COLUMN($A$1), FALSE), VLOOKUP($A212,raw_lb[],COLUMN(AS$1)-COLUMN($A$1),FALSE))</f>
        <v>3.2368596829322693E-2</v>
      </c>
      <c r="AS212" s="82">
        <f>IF(VLOOKUP($A212,raw_lb[],COLUMN(AS$1),FALSE)=0, VLOOKUP($D212, regions_lb[], COLUMN(AS$1), FALSE), VLOOKUP($A212,raw_lb[],COLUMN(AS$1),FALSE))</f>
        <v>4.5957029309086114E-2</v>
      </c>
      <c r="AT212" s="82">
        <f>IF(VLOOKUP($A212,raw_lb[],COLUMN(AT$1),FALSE)=0, VLOOKUP($D212, regions_lb[], COLUMN(AT$1), FALSE), VLOOKUP($A212,raw_lb[],COLUMN(AT$1),FALSE))</f>
        <v>6.6824583168029764E-2</v>
      </c>
      <c r="AU212" s="82">
        <f>IF(VLOOKUP($A212,raw_lb[],COLUMN(AU$1),FALSE)=0, VLOOKUP($D212, regions_lb[], COLUMN(AU$1), FALSE), VLOOKUP($A212,raw_lb[],COLUMN(AU$1),FALSE))</f>
        <v>9.1253303884483258E-2</v>
      </c>
      <c r="AV212" s="82">
        <f>IF(VLOOKUP($A212,raw_lb[],COLUMN(AV$1),FALSE)=0, VLOOKUP($D212, regions_lb[], COLUMN(AV$1), FALSE), VLOOKUP($A212,raw_lb[],COLUMN(AV$1),FALSE))</f>
        <v>0.11535209519162341</v>
      </c>
      <c r="AW212" s="82">
        <f>IF(VLOOKUP($A212,raw_lb[],COLUMN(AW$1),FALSE)=0, VLOOKUP($D212, regions_lb[], COLUMN(AW$1), FALSE), VLOOKUP($A212,raw_lb[],COLUMN(AW$1),FALSE))</f>
        <v>0.13412686171627208</v>
      </c>
      <c r="AX212" s="82">
        <f>IF(VLOOKUP($A212,raw_lb[],COLUMN(AX$1),FALSE)=0, VLOOKUP($D212, regions_lb[], COLUMN(AX$1), FALSE), VLOOKUP($A212,raw_lb[],COLUMN(AX$1),FALSE))</f>
        <v>72.130650000000003</v>
      </c>
      <c r="AY212" t="str">
        <f t="shared" si="7"/>
        <v>No</v>
      </c>
    </row>
    <row r="213" spans="1:51" x14ac:dyDescent="0.25">
      <c r="A213" s="55" t="s">
        <v>370</v>
      </c>
      <c r="B213" s="56" t="s">
        <v>371</v>
      </c>
      <c r="C213" s="56">
        <v>462</v>
      </c>
      <c r="D213" s="56" t="s">
        <v>225</v>
      </c>
      <c r="E213" s="56" t="s">
        <v>261</v>
      </c>
      <c r="F213" s="56" t="s">
        <v>262</v>
      </c>
      <c r="G213" s="56" t="s">
        <v>204</v>
      </c>
      <c r="H213" s="74"/>
      <c r="I213" s="74"/>
      <c r="J213" s="67">
        <f>IF(VLOOKUP($A213,raw_lb[],COLUMN(J$1),FALSE)=0, VLOOKUP($D213, regions_lb[], COLUMN(J$1), FALSE), VLOOKUP($A213,raw_lb[],COLUMN(J$1),FALSE))</f>
        <v>0.89774999999999994</v>
      </c>
      <c r="K213" s="77">
        <f>VLOOKUP($A213, raw_lb[], 11, FALSE)</f>
        <v>0.9405</v>
      </c>
      <c r="L213" s="77">
        <f>VLOOKUP($A213, raw_lb[], 12, FALSE)</f>
        <v>0.9405</v>
      </c>
      <c r="M213" s="77">
        <f>IF(VLOOKUP($A213,raw_lb[],COLUMN(M$1),FALSE)=0, VLOOKUP($D213, regions_lb[], COLUMN(M$1), FALSE), VLOOKUP($A213,raw_lb[],COLUMN(M$1),FALSE))</f>
        <v>2.7000000000000001E-3</v>
      </c>
      <c r="N213" s="68">
        <f>IF(VLOOKUP($A213,raw_lb[],COLUMN(N$1),FALSE)=0, VLOOKUP($D213, regions_lb[], COLUMN(N$1), FALSE), VLOOKUP($A213,raw_lb[],COLUMN(N$1),FALSE))</f>
        <v>0.18100000000000002</v>
      </c>
      <c r="O213" s="67">
        <f>IF(VLOOKUP($A213,raw_lb[],COLUMN(O$1),FALSE)=0, VLOOKUP($D213, regions_lb[], COLUMN(O$1), FALSE), VLOOKUP($A213,raw_lb[],COLUMN(O$1),FALSE))</f>
        <v>0.7</v>
      </c>
      <c r="P213" s="68">
        <f>IF(VLOOKUP($A213,raw_lb[],COLUMN(P$1),FALSE)=0, VLOOKUP($D213, regions_lb[], COLUMN(P$1), FALSE), VLOOKUP($A213,raw_lb[],COLUMN(P$1),FALSE))</f>
        <v>0.05</v>
      </c>
      <c r="Q213" s="70">
        <f>IF(VLOOKUP($A213,raw_lb[],COLUMN(Q$1),FALSE)=0, VLOOKUP($D213, regions_lb[], COLUMN(Q$1), FALSE), VLOOKUP($A213,raw_lb[],COLUMN(Q$1),FALSE))</f>
        <v>0.87296720072689904</v>
      </c>
      <c r="R213" s="70">
        <f>IF(VLOOKUP($A213,raw_lb[],COLUMN(R$1),FALSE)=0, VLOOKUP($D213, regions_lb[], COLUMN(R$1), FALSE), VLOOKUP($A213,raw_lb[],COLUMN(R$1),FALSE))</f>
        <v>7.9338672007268993</v>
      </c>
      <c r="S213" s="70">
        <f>IF(VLOOKUP($A213,raw_lb[],COLUMN(S$1),FALSE)=0, VLOOKUP($D213, regions_lb[], COLUMN(S$1), FALSE), VLOOKUP($A213,raw_lb[],COLUMN(S$1),FALSE))</f>
        <v>39.1706580270655</v>
      </c>
      <c r="T213" s="70">
        <f>IF(VLOOKUP($A213,raw_lb[],COLUMN(U$1)-COLUMN($A$1),FALSE)=0, VLOOKUP($D213, regions_lb[], COLUMN(U$1)-COLUMN($A$1), FALSE), VLOOKUP($A213,raw_lb[],COLUMN(U$1)-COLUMN($A$1),FALSE))</f>
        <v>40.22032716302116</v>
      </c>
      <c r="U213" s="70">
        <f>IF(VLOOKUP($A213,raw_lb[],COLUMN(V$1)-COLUMN($A$1),FALSE)=0, VLOOKUP($D213, regions_lb[], COLUMN(V$1)-COLUMN($A$1), FALSE), VLOOKUP($A213,raw_lb[],COLUMN(V$1)-COLUMN($A$1),FALSE))</f>
        <v>39.738341282969316</v>
      </c>
      <c r="V213" s="70">
        <f>IF(VLOOKUP($A213,raw_lb[],COLUMN(W$1)-COLUMN($A$1),FALSE)=0, VLOOKUP($D213, regions_lb[], COLUMN(W$1)-COLUMN($A$1), FALSE), VLOOKUP($A213,raw_lb[],COLUMN(W$1)-COLUMN($A$1),FALSE))</f>
        <v>5.3645493910870776</v>
      </c>
      <c r="W213" s="70">
        <f>IF(VLOOKUP($A213,raw_lb[],COLUMN(X$1)-COLUMN($A$1),FALSE)=0, VLOOKUP($D213, regions_lb[], COLUMN(X$1)-COLUMN($A$1), FALSE), VLOOKUP($A213,raw_lb[],COLUMN(X$1)-COLUMN($A$1),FALSE))</f>
        <v>5.9630493910870772</v>
      </c>
      <c r="X213" s="70">
        <f>IF(VLOOKUP($A213,raw_lb[],COLUMN(Y$1)-COLUMN($A$1),FALSE)=0, VLOOKUP($D213, regions_lb[], COLUMN(Y$1)-COLUMN($A$1), FALSE), VLOOKUP($A213,raw_lb[],COLUMN(Y$1)-COLUMN($A$1),FALSE))</f>
        <v>4.8876009097897848</v>
      </c>
      <c r="Y213" s="70">
        <f>IF(VLOOKUP($A213,raw_lb[],COLUMN(Z$1)-COLUMN($A$1),FALSE)=0, VLOOKUP($D213, regions_lb[], COLUMN(Z$1)-COLUMN($A$1), FALSE), VLOOKUP($A213,raw_lb[],COLUMN(Z$1)-COLUMN($A$1),FALSE))</f>
        <v>5.4861009097897844</v>
      </c>
      <c r="Z213" s="70">
        <f>IF(VLOOKUP($A213,raw_lb[],COLUMN(AA$1)-COLUMN($A$1),FALSE)=0, VLOOKUP($D213, regions_lb[], COLUMN(AA$1)-COLUMN($A$1), FALSE), VLOOKUP($A213,raw_lb[],COLUMN(AA$1)-COLUMN($A$1),FALSE))</f>
        <v>5.4801834764413995</v>
      </c>
      <c r="AA213" s="70">
        <f>IF(VLOOKUP($A213,raw_lb[],COLUMN(AB$1)-COLUMN($A$1),FALSE)=0, VLOOKUP($D213, regions_lb[], COLUMN(AB$1)-COLUMN($A$1), FALSE), VLOOKUP($A213,raw_lb[],COLUMN(AB$1)-COLUMN($A$1),FALSE))</f>
        <v>5.5270971651218996</v>
      </c>
      <c r="AB213" s="70">
        <f>IF(VLOOKUP($A213,raw_lb[],COLUMN(AC$1)-COLUMN($A$1),FALSE)=0, VLOOKUP($D213, regions_lb[], COLUMN(AC$1)-COLUMN($A$1), FALSE), VLOOKUP($A213,raw_lb[],COLUMN(AC$1)-COLUMN($A$1),FALSE))</f>
        <v>6.1255971651218992</v>
      </c>
      <c r="AC213" s="72">
        <f>IF(VLOOKUP($A213,raw_lb[],COLUMN(AD$1)-COLUMN($A$1),FALSE)=0, VLOOKUP($D213, regions_lb[], COLUMN(AD$1)-COLUMN($A$1), FALSE), VLOOKUP($A213,raw_lb[],COLUMN(AD$1)-COLUMN($A$1),FALSE))</f>
        <v>6.4266739999999838E-3</v>
      </c>
      <c r="AD213" s="72">
        <f>IF(VLOOKUP($A213,raw_lb[],COLUMN(AE$1)-COLUMN($A$1),FALSE)=0, VLOOKUP($D213, regions_lb[], COLUMN(AE$1)-COLUMN($A$1), FALSE), VLOOKUP($A213,raw_lb[],COLUMN(AE$1)-COLUMN($A$1),FALSE))</f>
        <v>2.7666864122438673E-4</v>
      </c>
      <c r="AE213" s="72">
        <f>IF(VLOOKUP($A213,raw_lb[],COLUMN(AF$1)-COLUMN($A$1),FALSE)=0, VLOOKUP($D213, regions_lb[], COLUMN(AF$1)-COLUMN($A$1), FALSE), VLOOKUP($A213,raw_lb[],COLUMN(AF$1)-COLUMN($A$1),FALSE))</f>
        <v>2.3997487133171509E-4</v>
      </c>
      <c r="AF213" s="72">
        <f>IF(VLOOKUP($A213,raw_lb[],COLUMN(AG$1)-COLUMN($A$1),FALSE)=0, VLOOKUP($D213, regions_lb[], COLUMN(AG$1)-COLUMN($A$1), FALSE), VLOOKUP($A213,raw_lb[],COLUMN(AG$1)-COLUMN($A$1),FALSE))</f>
        <v>3.222152181824975E-4</v>
      </c>
      <c r="AG213" s="72">
        <f>IF(VLOOKUP($A213,raw_lb[],COLUMN(AH$1)-COLUMN($A$1),FALSE)=0, VLOOKUP($D213, regions_lb[], COLUMN(AH$1)-COLUMN($A$1), FALSE), VLOOKUP($A213,raw_lb[],COLUMN(AH$1)-COLUMN($A$1),FALSE))</f>
        <v>3.2903608209157914E-4</v>
      </c>
      <c r="AH213" s="72">
        <f>IF(VLOOKUP($A213,raw_lb[],COLUMN(AI$1)-COLUMN($A$1),FALSE)=0, VLOOKUP($D213, regions_lb[], COLUMN(AI$1)-COLUMN($A$1), FALSE), VLOOKUP($A213,raw_lb[],COLUMN(AI$1)-COLUMN($A$1),FALSE))</f>
        <v>4.8147307883782337E-4</v>
      </c>
      <c r="AI213" s="72">
        <f>IF(VLOOKUP($A213,raw_lb[],COLUMN(AJ$1)-COLUMN($A$1),FALSE)=0, VLOOKUP($D213, regions_lb[], COLUMN(AJ$1)-COLUMN($A$1), FALSE), VLOOKUP($A213,raw_lb[],COLUMN(AJ$1)-COLUMN($A$1),FALSE))</f>
        <v>4.4706823286200405E-4</v>
      </c>
      <c r="AJ213" s="72">
        <f>IF(VLOOKUP($A213,raw_lb[],COLUMN(AK$1)-COLUMN($A$1),FALSE)=0, VLOOKUP($D213, regions_lb[], COLUMN(AK$1)-COLUMN($A$1), FALSE), VLOOKUP($A213,raw_lb[],COLUMN(AK$1)-COLUMN($A$1),FALSE))</f>
        <v>4.9983351007145598E-4</v>
      </c>
      <c r="AK213" s="72">
        <f>IF(VLOOKUP($A213,raw_lb[],COLUMN(AL$1)-COLUMN($A$1),FALSE)=0, VLOOKUP($D213, regions_lb[], COLUMN(AL$1)-COLUMN($A$1), FALSE), VLOOKUP($A213,raw_lb[],COLUMN(AL$1)-COLUMN($A$1),FALSE))</f>
        <v>5.5668658445061315E-4</v>
      </c>
      <c r="AL213" s="72">
        <f>IF(VLOOKUP($A213,raw_lb[],COLUMN(AM$1)-COLUMN($A$1),FALSE)=0, VLOOKUP($D213, regions_lb[], COLUMN(AM$1)-COLUMN($A$1), FALSE), VLOOKUP($A213,raw_lb[],COLUMN(AM$1)-COLUMN($A$1),FALSE))</f>
        <v>8.872811886401473E-4</v>
      </c>
      <c r="AM213" s="72">
        <f>IF(VLOOKUP($A213,raw_lb[],COLUMN(AN$1)-COLUMN($A$1),FALSE)=0, VLOOKUP($D213, regions_lb[], COLUMN(AN$1)-COLUMN($A$1), FALSE), VLOOKUP($A213,raw_lb[],COLUMN(AN$1)-COLUMN($A$1),FALSE))</f>
        <v>1.5628921221263888E-3</v>
      </c>
      <c r="AN213" s="72">
        <f>IF(VLOOKUP($A213,raw_lb[],COLUMN(AO$1)-COLUMN($A$1),FALSE)=0, VLOOKUP($D213, regions_lb[], COLUMN(AO$1)-COLUMN($A$1), FALSE), VLOOKUP($A213,raw_lb[],COLUMN(AO$1)-COLUMN($A$1),FALSE))</f>
        <v>2.2723878829196452E-3</v>
      </c>
      <c r="AO213" s="72">
        <f>IF(VLOOKUP($A213,raw_lb[],COLUMN(AP$1)-COLUMN($A$1),FALSE)=0, VLOOKUP($D213, regions_lb[], COLUMN(AP$1)-COLUMN($A$1), FALSE), VLOOKUP($A213,raw_lb[],COLUMN(AP$1)-COLUMN($A$1),FALSE))</f>
        <v>4.3759788253286067E-3</v>
      </c>
      <c r="AP213" s="72">
        <f>IF(VLOOKUP($A213,raw_lb[],COLUMN(AQ$1)-COLUMN($A$1),FALSE)=0, VLOOKUP($D213, regions_lb[], COLUMN(AQ$1)-COLUMN($A$1), FALSE), VLOOKUP($A213,raw_lb[],COLUMN(AQ$1)-COLUMN($A$1),FALSE))</f>
        <v>8.1702140757710234E-3</v>
      </c>
      <c r="AQ213" s="72">
        <f>IF(VLOOKUP($A213,raw_lb[],COLUMN(AR$1)-COLUMN($A$1),FALSE)=0, VLOOKUP($D213, regions_lb[], COLUMN(AR$1)-COLUMN($A$1), FALSE), VLOOKUP($A213,raw_lb[],COLUMN(AR$1)-COLUMN($A$1),FALSE))</f>
        <v>1.530261081775925E-2</v>
      </c>
      <c r="AR213" s="72">
        <f>IF(VLOOKUP($A213,raw_lb[],COLUMN(AS$1)-COLUMN($A$1),FALSE)=0, VLOOKUP($D213, regions_lb[], COLUMN(AS$1)-COLUMN($A$1), FALSE), VLOOKUP($A213,raw_lb[],COLUMN(AS$1)-COLUMN($A$1),FALSE))</f>
        <v>2.8225627597170649E-2</v>
      </c>
      <c r="AS213" s="82">
        <f>IF(VLOOKUP($A213,raw_lb[],COLUMN(AS$1),FALSE)=0, VLOOKUP($D213, regions_lb[], COLUMN(AS$1), FALSE), VLOOKUP($A213,raw_lb[],COLUMN(AS$1),FALSE))</f>
        <v>5.0530930055292939E-2</v>
      </c>
      <c r="AT213" s="82">
        <f>IF(VLOOKUP($A213,raw_lb[],COLUMN(AT$1),FALSE)=0, VLOOKUP($D213, regions_lb[], COLUMN(AT$1), FALSE), VLOOKUP($A213,raw_lb[],COLUMN(AT$1),FALSE))</f>
        <v>6.8852287780459556E-2</v>
      </c>
      <c r="AU213" s="82">
        <f>IF(VLOOKUP($A213,raw_lb[],COLUMN(AU$1),FALSE)=0, VLOOKUP($D213, regions_lb[], COLUMN(AU$1), FALSE), VLOOKUP($A213,raw_lb[],COLUMN(AU$1),FALSE))</f>
        <v>9.3330233296054277E-2</v>
      </c>
      <c r="AV213" s="82">
        <f>IF(VLOOKUP($A213,raw_lb[],COLUMN(AV$1),FALSE)=0, VLOOKUP($D213, regions_lb[], COLUMN(AV$1), FALSE), VLOOKUP($A213,raw_lb[],COLUMN(AV$1),FALSE))</f>
        <v>0.11814213132546875</v>
      </c>
      <c r="AW213" s="82">
        <f>IF(VLOOKUP($A213,raw_lb[],COLUMN(AW$1),FALSE)=0, VLOOKUP($D213, regions_lb[], COLUMN(AW$1), FALSE), VLOOKUP($A213,raw_lb[],COLUMN(AW$1),FALSE))</f>
        <v>0.14006579850125997</v>
      </c>
      <c r="AX213" s="82">
        <f>IF(VLOOKUP($A213,raw_lb[],COLUMN(AX$1),FALSE)=0, VLOOKUP($D213, regions_lb[], COLUMN(AX$1), FALSE), VLOOKUP($A213,raw_lb[],COLUMN(AX$1),FALSE))</f>
        <v>74.542699999999996</v>
      </c>
      <c r="AY213" t="str">
        <f t="shared" si="7"/>
        <v>No</v>
      </c>
    </row>
    <row r="214" spans="1:51" x14ac:dyDescent="0.25">
      <c r="A214" s="53" t="s">
        <v>372</v>
      </c>
      <c r="B214" s="54" t="s">
        <v>373</v>
      </c>
      <c r="C214" s="54">
        <v>466</v>
      </c>
      <c r="D214" s="54" t="s">
        <v>207</v>
      </c>
      <c r="E214" s="54" t="s">
        <v>235</v>
      </c>
      <c r="F214" s="54" t="s">
        <v>211</v>
      </c>
      <c r="G214" s="54" t="s">
        <v>198</v>
      </c>
      <c r="H214" s="73"/>
      <c r="I214" s="73"/>
      <c r="J214" s="67">
        <f>IF(VLOOKUP($A214,raw_lb[],COLUMN(J$1),FALSE)=0, VLOOKUP($D214, regions_lb[], COLUMN(J$1), FALSE), VLOOKUP($A214,raw_lb[],COLUMN(J$1),FALSE))</f>
        <v>0.63459999999999994</v>
      </c>
      <c r="K214" s="77">
        <f>VLOOKUP($A214, raw_lb[], 11, FALSE)</f>
        <v>0</v>
      </c>
      <c r="L214" s="77">
        <f>VLOOKUP($A214, raw_lb[], 12, FALSE)</f>
        <v>0.66499999999999992</v>
      </c>
      <c r="M214" s="77">
        <f>IF(VLOOKUP($A214,raw_lb[],COLUMN(M$1),FALSE)=0, VLOOKUP($D214, regions_lb[], COLUMN(M$1), FALSE), VLOOKUP($A214,raw_lb[],COLUMN(M$1),FALSE))</f>
        <v>9.4200000000000006E-2</v>
      </c>
      <c r="N214" s="68">
        <f>IF(VLOOKUP($A214,raw_lb[],COLUMN(N$1),FALSE)=0, VLOOKUP($D214, regions_lb[], COLUMN(N$1), FALSE), VLOOKUP($A214,raw_lb[],COLUMN(N$1),FALSE))</f>
        <v>0.155</v>
      </c>
      <c r="O214" s="67">
        <f>IF(VLOOKUP($A214,raw_lb[],COLUMN(O$1),FALSE)=0, VLOOKUP($D214, regions_lb[], COLUMN(O$1), FALSE), VLOOKUP($A214,raw_lb[],COLUMN(O$1),FALSE))</f>
        <v>7.0000000000000007E-2</v>
      </c>
      <c r="P214" s="68">
        <f>IF(VLOOKUP($A214,raw_lb[],COLUMN(P$1),FALSE)=0, VLOOKUP($D214, regions_lb[], COLUMN(P$1), FALSE), VLOOKUP($A214,raw_lb[],COLUMN(P$1),FALSE))</f>
        <v>1E-3</v>
      </c>
      <c r="Q214" s="70">
        <f>IF(VLOOKUP($A214,raw_lb[],COLUMN(Q$1),FALSE)=0, VLOOKUP($D214, regions_lb[], COLUMN(Q$1), FALSE), VLOOKUP($A214,raw_lb[],COLUMN(Q$1),FALSE))</f>
        <v>0.67111823708206697</v>
      </c>
      <c r="R214" s="70">
        <f>IF(VLOOKUP($A214,raw_lb[],COLUMN(R$1),FALSE)=0, VLOOKUP($D214, regions_lb[], COLUMN(R$1), FALSE), VLOOKUP($A214,raw_lb[],COLUMN(R$1),FALSE))</f>
        <v>7.7320182370820678</v>
      </c>
      <c r="S214" s="70">
        <f>IF(VLOOKUP($A214,raw_lb[],COLUMN(S$1),FALSE)=0, VLOOKUP($D214, regions_lb[], COLUMN(S$1), FALSE), VLOOKUP($A214,raw_lb[],COLUMN(S$1),FALSE))</f>
        <v>37.596227404559059</v>
      </c>
      <c r="T214" s="70">
        <f>IF(VLOOKUP($A214,raw_lb[],COLUMN(U$1)-COLUMN($A$1),FALSE)=0, VLOOKUP($D214, regions_lb[], COLUMN(U$1)-COLUMN($A$1), FALSE), VLOOKUP($A214,raw_lb[],COLUMN(U$1)-COLUMN($A$1),FALSE))</f>
        <v>37.931515760381217</v>
      </c>
      <c r="U214" s="70">
        <f>IF(VLOOKUP($A214,raw_lb[],COLUMN(V$1)-COLUMN($A$1),FALSE)=0, VLOOKUP($D214, regions_lb[], COLUMN(V$1)-COLUMN($A$1), FALSE), VLOOKUP($A214,raw_lb[],COLUMN(V$1)-COLUMN($A$1),FALSE))</f>
        <v>37.777558434480667</v>
      </c>
      <c r="V214" s="70">
        <f>IF(VLOOKUP($A214,raw_lb[],COLUMN(W$1)-COLUMN($A$1),FALSE)=0, VLOOKUP($D214, regions_lb[], COLUMN(W$1)-COLUMN($A$1), FALSE), VLOOKUP($A214,raw_lb[],COLUMN(W$1)-COLUMN($A$1),FALSE))</f>
        <v>0.84661946602693394</v>
      </c>
      <c r="W214" s="70">
        <f>IF(VLOOKUP($A214,raw_lb[],COLUMN(X$1)-COLUMN($A$1),FALSE)=0, VLOOKUP($D214, regions_lb[], COLUMN(X$1)-COLUMN($A$1), FALSE), VLOOKUP($A214,raw_lb[],COLUMN(X$1)-COLUMN($A$1),FALSE))</f>
        <v>5.4351194660269337</v>
      </c>
      <c r="X214" s="70">
        <f>IF(VLOOKUP($A214,raw_lb[],COLUMN(Y$1)-COLUMN($A$1),FALSE)=0, VLOOKUP($D214, regions_lb[], COLUMN(Y$1)-COLUMN($A$1), FALSE), VLOOKUP($A214,raw_lb[],COLUMN(Y$1)-COLUMN($A$1),FALSE))</f>
        <v>0.37552130681322915</v>
      </c>
      <c r="Y214" s="70">
        <f>IF(VLOOKUP($A214,raw_lb[],COLUMN(Z$1)-COLUMN($A$1),FALSE)=0, VLOOKUP($D214, regions_lb[], COLUMN(Z$1)-COLUMN($A$1), FALSE), VLOOKUP($A214,raw_lb[],COLUMN(Z$1)-COLUMN($A$1),FALSE))</f>
        <v>4.9640213068132288</v>
      </c>
      <c r="Z214" s="70">
        <f>IF(VLOOKUP($A214,raw_lb[],COLUMN(AA$1)-COLUMN($A$1),FALSE)=0, VLOOKUP($D214, regions_lb[], COLUMN(AA$1)-COLUMN($A$1), FALSE), VLOOKUP($A214,raw_lb[],COLUMN(AA$1)-COLUMN($A$1),FALSE))</f>
        <v>4.9619782501307483</v>
      </c>
      <c r="AA214" s="70">
        <f>IF(VLOOKUP($A214,raw_lb[],COLUMN(AB$1)-COLUMN($A$1),FALSE)=0, VLOOKUP($D214, regions_lb[], COLUMN(AB$1)-COLUMN($A$1), FALSE), VLOOKUP($A214,raw_lb[],COLUMN(AB$1)-COLUMN($A$1),FALSE))</f>
        <v>0.99111481763239773</v>
      </c>
      <c r="AB214" s="70">
        <f>IF(VLOOKUP($A214,raw_lb[],COLUMN(AC$1)-COLUMN($A$1),FALSE)=0, VLOOKUP($D214, regions_lb[], COLUMN(AC$1)-COLUMN($A$1), FALSE), VLOOKUP($A214,raw_lb[],COLUMN(AC$1)-COLUMN($A$1),FALSE))</f>
        <v>5.5796148176323976</v>
      </c>
      <c r="AC214" s="72">
        <f>IF(VLOOKUP($A214,raw_lb[],COLUMN(AD$1)-COLUMN($A$1),FALSE)=0, VLOOKUP($D214, regions_lb[], COLUMN(AD$1)-COLUMN($A$1), FALSE), VLOOKUP($A214,raw_lb[],COLUMN(AD$1)-COLUMN($A$1),FALSE))</f>
        <v>6.2529199499999938E-2</v>
      </c>
      <c r="AD214" s="72">
        <f>IF(VLOOKUP($A214,raw_lb[],COLUMN(AE$1)-COLUMN($A$1),FALSE)=0, VLOOKUP($D214, regions_lb[], COLUMN(AE$1)-COLUMN($A$1), FALSE), VLOOKUP($A214,raw_lb[],COLUMN(AE$1)-COLUMN($A$1),FALSE))</f>
        <v>1.0076756745080092E-2</v>
      </c>
      <c r="AE214" s="72">
        <f>IF(VLOOKUP($A214,raw_lb[],COLUMN(AF$1)-COLUMN($A$1),FALSE)=0, VLOOKUP($D214, regions_lb[], COLUMN(AF$1)-COLUMN($A$1), FALSE), VLOOKUP($A214,raw_lb[],COLUMN(AF$1)-COLUMN($A$1),FALSE))</f>
        <v>3.2967871149634765E-3</v>
      </c>
      <c r="AF214" s="72">
        <f>IF(VLOOKUP($A214,raw_lb[],COLUMN(AG$1)-COLUMN($A$1),FALSE)=0, VLOOKUP($D214, regions_lb[], COLUMN(AG$1)-COLUMN($A$1), FALSE), VLOOKUP($A214,raw_lb[],COLUMN(AG$1)-COLUMN($A$1),FALSE))</f>
        <v>1.8671165680324471E-3</v>
      </c>
      <c r="AG214" s="72">
        <f>IF(VLOOKUP($A214,raw_lb[],COLUMN(AH$1)-COLUMN($A$1),FALSE)=0, VLOOKUP($D214, regions_lb[], COLUMN(AH$1)-COLUMN($A$1), FALSE), VLOOKUP($A214,raw_lb[],COLUMN(AH$1)-COLUMN($A$1),FALSE))</f>
        <v>2.8206605448414528E-3</v>
      </c>
      <c r="AH214" s="72">
        <f>IF(VLOOKUP($A214,raw_lb[],COLUMN(AI$1)-COLUMN($A$1),FALSE)=0, VLOOKUP($D214, regions_lb[], COLUMN(AI$1)-COLUMN($A$1), FALSE), VLOOKUP($A214,raw_lb[],COLUMN(AI$1)-COLUMN($A$1),FALSE))</f>
        <v>3.6329197235775304E-3</v>
      </c>
      <c r="AI214" s="72">
        <f>IF(VLOOKUP($A214,raw_lb[],COLUMN(AJ$1)-COLUMN($A$1),FALSE)=0, VLOOKUP($D214, regions_lb[], COLUMN(AJ$1)-COLUMN($A$1), FALSE), VLOOKUP($A214,raw_lb[],COLUMN(AJ$1)-COLUMN($A$1),FALSE))</f>
        <v>4.079202454613593E-3</v>
      </c>
      <c r="AJ214" s="72">
        <f>IF(VLOOKUP($A214,raw_lb[],COLUMN(AK$1)-COLUMN($A$1),FALSE)=0, VLOOKUP($D214, regions_lb[], COLUMN(AK$1)-COLUMN($A$1), FALSE), VLOOKUP($A214,raw_lb[],COLUMN(AK$1)-COLUMN($A$1),FALSE))</f>
        <v>4.3301449205382135E-3</v>
      </c>
      <c r="AK214" s="72">
        <f>IF(VLOOKUP($A214,raw_lb[],COLUMN(AL$1)-COLUMN($A$1),FALSE)=0, VLOOKUP($D214, regions_lb[], COLUMN(AL$1)-COLUMN($A$1), FALSE), VLOOKUP($A214,raw_lb[],COLUMN(AL$1)-COLUMN($A$1),FALSE))</f>
        <v>4.8594510093226588E-3</v>
      </c>
      <c r="AL214" s="72">
        <f>IF(VLOOKUP($A214,raw_lb[],COLUMN(AM$1)-COLUMN($A$1),FALSE)=0, VLOOKUP($D214, regions_lb[], COLUMN(AM$1)-COLUMN($A$1), FALSE), VLOOKUP($A214,raw_lb[],COLUMN(AM$1)-COLUMN($A$1),FALSE))</f>
        <v>5.7754165967564804E-3</v>
      </c>
      <c r="AM214" s="72">
        <f>IF(VLOOKUP($A214,raw_lb[],COLUMN(AN$1)-COLUMN($A$1),FALSE)=0, VLOOKUP($D214, regions_lb[], COLUMN(AN$1)-COLUMN($A$1), FALSE), VLOOKUP($A214,raw_lb[],COLUMN(AN$1)-COLUMN($A$1),FALSE))</f>
        <v>6.7510639095889188E-3</v>
      </c>
      <c r="AN214" s="72">
        <f>IF(VLOOKUP($A214,raw_lb[],COLUMN(AO$1)-COLUMN($A$1),FALSE)=0, VLOOKUP($D214, regions_lb[], COLUMN(AO$1)-COLUMN($A$1), FALSE), VLOOKUP($A214,raw_lb[],COLUMN(AO$1)-COLUMN($A$1),FALSE))</f>
        <v>9.5116052570416564E-3</v>
      </c>
      <c r="AO214" s="72">
        <f>IF(VLOOKUP($A214,raw_lb[],COLUMN(AP$1)-COLUMN($A$1),FALSE)=0, VLOOKUP($D214, regions_lb[], COLUMN(AP$1)-COLUMN($A$1), FALSE), VLOOKUP($A214,raw_lb[],COLUMN(AP$1)-COLUMN($A$1),FALSE))</f>
        <v>1.3588202027475222E-2</v>
      </c>
      <c r="AP214" s="72">
        <f>IF(VLOOKUP($A214,raw_lb[],COLUMN(AQ$1)-COLUMN($A$1),FALSE)=0, VLOOKUP($D214, regions_lb[], COLUMN(AQ$1)-COLUMN($A$1), FALSE), VLOOKUP($A214,raw_lb[],COLUMN(AQ$1)-COLUMN($A$1),FALSE))</f>
        <v>2.1265903032231692E-2</v>
      </c>
      <c r="AQ214" s="72">
        <f>IF(VLOOKUP($A214,raw_lb[],COLUMN(AR$1)-COLUMN($A$1),FALSE)=0, VLOOKUP($D214, regions_lb[], COLUMN(AR$1)-COLUMN($A$1), FALSE), VLOOKUP($A214,raw_lb[],COLUMN(AR$1)-COLUMN($A$1),FALSE))</f>
        <v>3.2883552086836097E-2</v>
      </c>
      <c r="AR214" s="72">
        <f>IF(VLOOKUP($A214,raw_lb[],COLUMN(AS$1)-COLUMN($A$1),FALSE)=0, VLOOKUP($D214, regions_lb[], COLUMN(AS$1)-COLUMN($A$1), FALSE), VLOOKUP($A214,raw_lb[],COLUMN(AS$1)-COLUMN($A$1),FALSE))</f>
        <v>5.2730089744085065E-2</v>
      </c>
      <c r="AS214" s="82">
        <f>IF(VLOOKUP($A214,raw_lb[],COLUMN(AS$1),FALSE)=0, VLOOKUP($D214, regions_lb[], COLUMN(AS$1), FALSE), VLOOKUP($A214,raw_lb[],COLUMN(AS$1),FALSE))</f>
        <v>8.1038455824475025E-2</v>
      </c>
      <c r="AT214" s="82">
        <f>IF(VLOOKUP($A214,raw_lb[],COLUMN(AT$1),FALSE)=0, VLOOKUP($D214, regions_lb[], COLUMN(AT$1), FALSE), VLOOKUP($A214,raw_lb[],COLUMN(AT$1),FALSE))</f>
        <v>0.11558826376136665</v>
      </c>
      <c r="AU214" s="82">
        <f>IF(VLOOKUP($A214,raw_lb[],COLUMN(AU$1),FALSE)=0, VLOOKUP($D214, regions_lb[], COLUMN(AU$1), FALSE), VLOOKUP($A214,raw_lb[],COLUMN(AU$1),FALSE))</f>
        <v>0.14704748639536355</v>
      </c>
      <c r="AV214" s="82">
        <f>IF(VLOOKUP($A214,raw_lb[],COLUMN(AV$1),FALSE)=0, VLOOKUP($D214, regions_lb[], COLUMN(AV$1), FALSE), VLOOKUP($A214,raw_lb[],COLUMN(AV$1),FALSE))</f>
        <v>0.16862114773887582</v>
      </c>
      <c r="AW214" s="82">
        <f>IF(VLOOKUP($A214,raw_lb[],COLUMN(AW$1),FALSE)=0, VLOOKUP($D214, regions_lb[], COLUMN(AW$1), FALSE), VLOOKUP($A214,raw_lb[],COLUMN(AW$1),FALSE))</f>
        <v>0.17859081359848822</v>
      </c>
      <c r="AX214" s="82">
        <f>IF(VLOOKUP($A214,raw_lb[],COLUMN(AX$1),FALSE)=0, VLOOKUP($D214, regions_lb[], COLUMN(AX$1), FALSE), VLOOKUP($A214,raw_lb[],COLUMN(AX$1),FALSE))</f>
        <v>55.774499999999996</v>
      </c>
      <c r="AY214" t="str">
        <f t="shared" si="7"/>
        <v>Yes</v>
      </c>
    </row>
    <row r="215" spans="1:51" x14ac:dyDescent="0.25">
      <c r="A215" s="55" t="s">
        <v>374</v>
      </c>
      <c r="B215" s="56" t="s">
        <v>375</v>
      </c>
      <c r="C215" s="56">
        <v>584</v>
      </c>
      <c r="D215" s="56" t="s">
        <v>260</v>
      </c>
      <c r="E215" s="56" t="s">
        <v>309</v>
      </c>
      <c r="F215" s="56" t="s">
        <v>262</v>
      </c>
      <c r="G215" s="56" t="s">
        <v>204</v>
      </c>
      <c r="H215" s="74"/>
      <c r="I215" s="74"/>
      <c r="J215" s="67">
        <f>IF(VLOOKUP($A215,raw_lb[],COLUMN(J$1),FALSE)=0, VLOOKUP($D215, regions_lb[], COLUMN(J$1), FALSE), VLOOKUP($A215,raw_lb[],COLUMN(J$1),FALSE))</f>
        <v>0.80844999999999989</v>
      </c>
      <c r="K215" s="77">
        <f>VLOOKUP($A215, raw_lb[], 11, FALSE)</f>
        <v>0.93099999999999994</v>
      </c>
      <c r="L215" s="77">
        <f>VLOOKUP($A215, raw_lb[], 12, FALSE)</f>
        <v>0.77899999999999991</v>
      </c>
      <c r="M215" s="77">
        <f>IF(VLOOKUP($A215,raw_lb[],COLUMN(M$1),FALSE)=0, VLOOKUP($D215, regions_lb[], COLUMN(M$1), FALSE), VLOOKUP($A215,raw_lb[],COLUMN(M$1),FALSE))</f>
        <v>5.3499999999999999E-2</v>
      </c>
      <c r="N215" s="68">
        <f>IF(VLOOKUP($A215,raw_lb[],COLUMN(N$1),FALSE)=0, VLOOKUP($D215, regions_lb[], COLUMN(N$1), FALSE), VLOOKUP($A215,raw_lb[],COLUMN(N$1),FALSE))</f>
        <v>0.18286915583064589</v>
      </c>
      <c r="O215" s="67">
        <f>IF(VLOOKUP($A215,raw_lb[],COLUMN(O$1),FALSE)=0, VLOOKUP($D215, regions_lb[], COLUMN(O$1), FALSE), VLOOKUP($A215,raw_lb[],COLUMN(O$1),FALSE))</f>
        <v>0.7</v>
      </c>
      <c r="P215" s="68">
        <f>IF(VLOOKUP($A215,raw_lb[],COLUMN(P$1),FALSE)=0, VLOOKUP($D215, regions_lb[], COLUMN(P$1), FALSE), VLOOKUP($A215,raw_lb[],COLUMN(P$1),FALSE))</f>
        <v>0.05</v>
      </c>
      <c r="Q215" s="70">
        <f>IF(VLOOKUP($A215,raw_lb[],COLUMN(Q$1),FALSE)=0, VLOOKUP($D215, regions_lb[], COLUMN(Q$1), FALSE), VLOOKUP($A215,raw_lb[],COLUMN(Q$1),FALSE))</f>
        <v>1.3059775778850371</v>
      </c>
      <c r="R215" s="70">
        <f>IF(VLOOKUP($A215,raw_lb[],COLUMN(R$1),FALSE)=0, VLOOKUP($D215, regions_lb[], COLUMN(R$1), FALSE), VLOOKUP($A215,raw_lb[],COLUMN(R$1),FALSE))</f>
        <v>8.3668775778850382</v>
      </c>
      <c r="S215" s="70">
        <f>IF(VLOOKUP($A215,raw_lb[],COLUMN(S$1),FALSE)=0, VLOOKUP($D215, regions_lb[], COLUMN(S$1), FALSE), VLOOKUP($A215,raw_lb[],COLUMN(S$1),FALSE))</f>
        <v>40.984689502773868</v>
      </c>
      <c r="T215" s="70">
        <f>IF(VLOOKUP($A215,raw_lb[],COLUMN(U$1)-COLUMN($A$1),FALSE)=0, VLOOKUP($D215, regions_lb[], COLUMN(U$1)-COLUMN($A$1), FALSE), VLOOKUP($A215,raw_lb[],COLUMN(U$1)-COLUMN($A$1),FALSE))</f>
        <v>42.753131852252849</v>
      </c>
      <c r="U215" s="70">
        <f>IF(VLOOKUP($A215,raw_lb[],COLUMN(V$1)-COLUMN($A$1),FALSE)=0, VLOOKUP($D215, regions_lb[], COLUMN(V$1)-COLUMN($A$1), FALSE), VLOOKUP($A215,raw_lb[],COLUMN(V$1)-COLUMN($A$1),FALSE))</f>
        <v>41.941100505481316</v>
      </c>
      <c r="V215" s="70">
        <f>IF(VLOOKUP($A215,raw_lb[],COLUMN(W$1)-COLUMN($A$1),FALSE)=0, VLOOKUP($D215, regions_lb[], COLUMN(W$1)-COLUMN($A$1), FALSE), VLOOKUP($A215,raw_lb[],COLUMN(W$1)-COLUMN($A$1),FALSE))</f>
        <v>3.0566669365626735</v>
      </c>
      <c r="W215" s="70">
        <f>IF(VLOOKUP($A215,raw_lb[],COLUMN(X$1)-COLUMN($A$1),FALSE)=0, VLOOKUP($D215, regions_lb[], COLUMN(X$1)-COLUMN($A$1), FALSE), VLOOKUP($A215,raw_lb[],COLUMN(X$1)-COLUMN($A$1),FALSE))</f>
        <v>3.6551669365626736</v>
      </c>
      <c r="X215" s="70">
        <f>IF(VLOOKUP($A215,raw_lb[],COLUMN(Y$1)-COLUMN($A$1),FALSE)=0, VLOOKUP($D215, regions_lb[], COLUMN(Y$1)-COLUMN($A$1), FALSE), VLOOKUP($A215,raw_lb[],COLUMN(Y$1)-COLUMN($A$1),FALSE))</f>
        <v>2.5836897012460169</v>
      </c>
      <c r="Y215" s="70">
        <f>IF(VLOOKUP($A215,raw_lb[],COLUMN(Z$1)-COLUMN($A$1),FALSE)=0, VLOOKUP($D215, regions_lb[], COLUMN(Z$1)-COLUMN($A$1), FALSE), VLOOKUP($A215,raw_lb[],COLUMN(Z$1)-COLUMN($A$1),FALSE))</f>
        <v>3.182189701246017</v>
      </c>
      <c r="Z215" s="70">
        <f>IF(VLOOKUP($A215,raw_lb[],COLUMN(AA$1)-COLUMN($A$1),FALSE)=0, VLOOKUP($D215, regions_lb[], COLUMN(AA$1)-COLUMN($A$1), FALSE), VLOOKUP($A215,raw_lb[],COLUMN(AA$1)-COLUMN($A$1),FALSE))</f>
        <v>3.1791425974521106</v>
      </c>
      <c r="AA215" s="70">
        <f>IF(VLOOKUP($A215,raw_lb[],COLUMN(AB$1)-COLUMN($A$1),FALSE)=0, VLOOKUP($D215, regions_lb[], COLUMN(AB$1)-COLUMN($A$1), FALSE), VLOOKUP($A215,raw_lb[],COLUMN(AB$1)-COLUMN($A$1),FALSE))</f>
        <v>3.206960580142959</v>
      </c>
      <c r="AB215" s="70">
        <f>IF(VLOOKUP($A215,raw_lb[],COLUMN(AC$1)-COLUMN($A$1),FALSE)=0, VLOOKUP($D215, regions_lb[], COLUMN(AC$1)-COLUMN($A$1), FALSE), VLOOKUP($A215,raw_lb[],COLUMN(AC$1)-COLUMN($A$1),FALSE))</f>
        <v>3.8054605801429591</v>
      </c>
      <c r="AC215" s="72">
        <f>IF(VLOOKUP($A215,raw_lb[],COLUMN(AD$1)-COLUMN($A$1),FALSE)=0, VLOOKUP($D215, regions_lb[], COLUMN(AD$1)-COLUMN($A$1), FALSE), VLOOKUP($A215,raw_lb[],COLUMN(AD$1)-COLUMN($A$1),FALSE))</f>
        <v>1.1523742726354593E-2</v>
      </c>
      <c r="AD215" s="72">
        <f>IF(VLOOKUP($A215,raw_lb[],COLUMN(AE$1)-COLUMN($A$1),FALSE)=0, VLOOKUP($D215, regions_lb[], COLUMN(AE$1)-COLUMN($A$1), FALSE), VLOOKUP($A215,raw_lb[],COLUMN(AE$1)-COLUMN($A$1),FALSE))</f>
        <v>6.4416826181326646E-4</v>
      </c>
      <c r="AE215" s="72">
        <f>IF(VLOOKUP($A215,raw_lb[],COLUMN(AF$1)-COLUMN($A$1),FALSE)=0, VLOOKUP($D215, regions_lb[], COLUMN(AF$1)-COLUMN($A$1), FALSE), VLOOKUP($A215,raw_lb[],COLUMN(AF$1)-COLUMN($A$1),FALSE))</f>
        <v>3.7184834738016075E-4</v>
      </c>
      <c r="AF215" s="72">
        <f>IF(VLOOKUP($A215,raw_lb[],COLUMN(AG$1)-COLUMN($A$1),FALSE)=0, VLOOKUP($D215, regions_lb[], COLUMN(AG$1)-COLUMN($A$1), FALSE), VLOOKUP($A215,raw_lb[],COLUMN(AG$1)-COLUMN($A$1),FALSE))</f>
        <v>2.9295441530775515E-4</v>
      </c>
      <c r="AG215" s="72">
        <f>IF(VLOOKUP($A215,raw_lb[],COLUMN(AH$1)-COLUMN($A$1),FALSE)=0, VLOOKUP($D215, regions_lb[], COLUMN(AH$1)-COLUMN($A$1), FALSE), VLOOKUP($A215,raw_lb[],COLUMN(AH$1)-COLUMN($A$1),FALSE))</f>
        <v>4.6602766282551099E-4</v>
      </c>
      <c r="AH215" s="72">
        <f>IF(VLOOKUP($A215,raw_lb[],COLUMN(AI$1)-COLUMN($A$1),FALSE)=0, VLOOKUP($D215, regions_lb[], COLUMN(AI$1)-COLUMN($A$1), FALSE), VLOOKUP($A215,raw_lb[],COLUMN(AI$1)-COLUMN($A$1),FALSE))</f>
        <v>6.483356200326166E-4</v>
      </c>
      <c r="AI215" s="72">
        <f>IF(VLOOKUP($A215,raw_lb[],COLUMN(AJ$1)-COLUMN($A$1),FALSE)=0, VLOOKUP($D215, regions_lb[], COLUMN(AJ$1)-COLUMN($A$1), FALSE), VLOOKUP($A215,raw_lb[],COLUMN(AJ$1)-COLUMN($A$1),FALSE))</f>
        <v>8.0918790417641435E-4</v>
      </c>
      <c r="AJ215" s="72">
        <f>IF(VLOOKUP($A215,raw_lb[],COLUMN(AK$1)-COLUMN($A$1),FALSE)=0, VLOOKUP($D215, regions_lb[], COLUMN(AK$1)-COLUMN($A$1), FALSE), VLOOKUP($A215,raw_lb[],COLUMN(AK$1)-COLUMN($A$1),FALSE))</f>
        <v>1.0072409527763799E-3</v>
      </c>
      <c r="AK215" s="72">
        <f>IF(VLOOKUP($A215,raw_lb[],COLUMN(AL$1)-COLUMN($A$1),FALSE)=0, VLOOKUP($D215, regions_lb[], COLUMN(AL$1)-COLUMN($A$1), FALSE), VLOOKUP($A215,raw_lb[],COLUMN(AL$1)-COLUMN($A$1),FALSE))</f>
        <v>1.2939239518039061E-3</v>
      </c>
      <c r="AL215" s="72">
        <f>IF(VLOOKUP($A215,raw_lb[],COLUMN(AM$1)-COLUMN($A$1),FALSE)=0, VLOOKUP($D215, regions_lb[], COLUMN(AM$1)-COLUMN($A$1), FALSE), VLOOKUP($A215,raw_lb[],COLUMN(AM$1)-COLUMN($A$1),FALSE))</f>
        <v>1.8212620564475456E-3</v>
      </c>
      <c r="AM215" s="72">
        <f>IF(VLOOKUP($A215,raw_lb[],COLUMN(AN$1)-COLUMN($A$1),FALSE)=0, VLOOKUP($D215, regions_lb[], COLUMN(AN$1)-COLUMN($A$1), FALSE), VLOOKUP($A215,raw_lb[],COLUMN(AN$1)-COLUMN($A$1),FALSE))</f>
        <v>2.6694380894867909E-3</v>
      </c>
      <c r="AN215" s="72">
        <f>IF(VLOOKUP($A215,raw_lb[],COLUMN(AO$1)-COLUMN($A$1),FALSE)=0, VLOOKUP($D215, regions_lb[], COLUMN(AO$1)-COLUMN($A$1), FALSE), VLOOKUP($A215,raw_lb[],COLUMN(AO$1)-COLUMN($A$1),FALSE))</f>
        <v>4.250414821637633E-3</v>
      </c>
      <c r="AO215" s="72">
        <f>IF(VLOOKUP($A215,raw_lb[],COLUMN(AP$1)-COLUMN($A$1),FALSE)=0, VLOOKUP($D215, regions_lb[], COLUMN(AP$1)-COLUMN($A$1), FALSE), VLOOKUP($A215,raw_lb[],COLUMN(AP$1)-COLUMN($A$1),FALSE))</f>
        <v>6.8007185670634117E-3</v>
      </c>
      <c r="AP215" s="72">
        <f>IF(VLOOKUP($A215,raw_lb[],COLUMN(AQ$1)-COLUMN($A$1),FALSE)=0, VLOOKUP($D215, regions_lb[], COLUMN(AQ$1)-COLUMN($A$1), FALSE), VLOOKUP($A215,raw_lb[],COLUMN(AQ$1)-COLUMN($A$1),FALSE))</f>
        <v>1.152568966710163E-2</v>
      </c>
      <c r="AQ215" s="72">
        <f>IF(VLOOKUP($A215,raw_lb[],COLUMN(AR$1)-COLUMN($A$1),FALSE)=0, VLOOKUP($D215, regions_lb[], COLUMN(AR$1)-COLUMN($A$1), FALSE), VLOOKUP($A215,raw_lb[],COLUMN(AR$1)-COLUMN($A$1),FALSE))</f>
        <v>1.9372590142895035E-2</v>
      </c>
      <c r="AR215" s="72">
        <f>IF(VLOOKUP($A215,raw_lb[],COLUMN(AS$1)-COLUMN($A$1),FALSE)=0, VLOOKUP($D215, regions_lb[], COLUMN(AS$1)-COLUMN($A$1), FALSE), VLOOKUP($A215,raw_lb[],COLUMN(AS$1)-COLUMN($A$1),FALSE))</f>
        <v>3.2703199461531267E-2</v>
      </c>
      <c r="AS215" s="82">
        <f>IF(VLOOKUP($A215,raw_lb[],COLUMN(AS$1),FALSE)=0, VLOOKUP($D215, regions_lb[], COLUMN(AS$1), FALSE), VLOOKUP($A215,raw_lb[],COLUMN(AS$1),FALSE))</f>
        <v>5.1174212083972055E-2</v>
      </c>
      <c r="AT215" s="82">
        <f>IF(VLOOKUP($A215,raw_lb[],COLUMN(AT$1),FALSE)=0, VLOOKUP($D215, regions_lb[], COLUMN(AT$1), FALSE), VLOOKUP($A215,raw_lb[],COLUMN(AT$1),FALSE))</f>
        <v>7.2985218965190946E-2</v>
      </c>
      <c r="AU215" s="82">
        <f>IF(VLOOKUP($A215,raw_lb[],COLUMN(AU$1),FALSE)=0, VLOOKUP($D215, regions_lb[], COLUMN(AU$1), FALSE), VLOOKUP($A215,raw_lb[],COLUMN(AU$1),FALSE))</f>
        <v>0.10061158165397555</v>
      </c>
      <c r="AV215" s="82">
        <f>IF(VLOOKUP($A215,raw_lb[],COLUMN(AV$1),FALSE)=0, VLOOKUP($D215, regions_lb[], COLUMN(AV$1), FALSE), VLOOKUP($A215,raw_lb[],COLUMN(AV$1),FALSE))</f>
        <v>0.12550745881240277</v>
      </c>
      <c r="AW215" s="82">
        <f>IF(VLOOKUP($A215,raw_lb[],COLUMN(AW$1),FALSE)=0, VLOOKUP($D215, regions_lb[], COLUMN(AW$1), FALSE), VLOOKUP($A215,raw_lb[],COLUMN(AW$1),FALSE))</f>
        <v>0.14642775941331135</v>
      </c>
      <c r="AX215" s="82">
        <f>IF(VLOOKUP($A215,raw_lb[],COLUMN(AX$1),FALSE)=0, VLOOKUP($D215, regions_lb[], COLUMN(AX$1), FALSE), VLOOKUP($A215,raw_lb[],COLUMN(AX$1),FALSE))</f>
        <v>71.800592147312173</v>
      </c>
      <c r="AY215" t="str">
        <f t="shared" si="7"/>
        <v>No</v>
      </c>
    </row>
    <row r="216" spans="1:51" x14ac:dyDescent="0.25">
      <c r="A216" s="53" t="s">
        <v>376</v>
      </c>
      <c r="B216" s="54" t="s">
        <v>377</v>
      </c>
      <c r="C216" s="54">
        <v>478</v>
      </c>
      <c r="D216" s="54" t="s">
        <v>207</v>
      </c>
      <c r="E216" s="54" t="s">
        <v>235</v>
      </c>
      <c r="F216" s="54" t="s">
        <v>211</v>
      </c>
      <c r="G216" s="54" t="s">
        <v>212</v>
      </c>
      <c r="H216" s="73"/>
      <c r="I216" s="73"/>
      <c r="J216" s="67">
        <f>IF(VLOOKUP($A216,raw_lb[],COLUMN(J$1),FALSE)=0, VLOOKUP($D216, regions_lb[], COLUMN(J$1), FALSE), VLOOKUP($A216,raw_lb[],COLUMN(J$1),FALSE))</f>
        <v>0.65834999999999988</v>
      </c>
      <c r="K216" s="77">
        <f>VLOOKUP($A216, raw_lb[], 11, FALSE)</f>
        <v>0</v>
      </c>
      <c r="L216" s="77">
        <f>VLOOKUP($A216, raw_lb[], 12, FALSE)</f>
        <v>0.67449999999999999</v>
      </c>
      <c r="M216" s="77">
        <f>IF(VLOOKUP($A216,raw_lb[],COLUMN(M$1),FALSE)=0, VLOOKUP($D216, regions_lb[], COLUMN(M$1), FALSE), VLOOKUP($A216,raw_lb[],COLUMN(M$1),FALSE))</f>
        <v>9.5199999999999993E-2</v>
      </c>
      <c r="N216" s="68">
        <f>IF(VLOOKUP($A216,raw_lb[],COLUMN(N$1),FALSE)=0, VLOOKUP($D216, regions_lb[], COLUMN(N$1), FALSE), VLOOKUP($A216,raw_lb[],COLUMN(N$1),FALSE))</f>
        <v>0.155</v>
      </c>
      <c r="O216" s="67">
        <f>IF(VLOOKUP($A216,raw_lb[],COLUMN(O$1),FALSE)=0, VLOOKUP($D216, regions_lb[], COLUMN(O$1), FALSE), VLOOKUP($A216,raw_lb[],COLUMN(O$1),FALSE))</f>
        <v>7.0000000000000007E-2</v>
      </c>
      <c r="P216" s="68">
        <f>IF(VLOOKUP($A216,raw_lb[],COLUMN(P$1),FALSE)=0, VLOOKUP($D216, regions_lb[], COLUMN(P$1), FALSE), VLOOKUP($A216,raw_lb[],COLUMN(P$1),FALSE))</f>
        <v>1E-3</v>
      </c>
      <c r="Q216" s="70">
        <f>IF(VLOOKUP($A216,raw_lb[],COLUMN(Q$1),FALSE)=0, VLOOKUP($D216, regions_lb[], COLUMN(Q$1), FALSE), VLOOKUP($A216,raw_lb[],COLUMN(Q$1),FALSE))</f>
        <v>0.76473600590260704</v>
      </c>
      <c r="R216" s="70">
        <f>IF(VLOOKUP($A216,raw_lb[],COLUMN(R$1),FALSE)=0, VLOOKUP($D216, regions_lb[], COLUMN(R$1), FALSE), VLOOKUP($A216,raw_lb[],COLUMN(R$1),FALSE))</f>
        <v>7.8256360059026076</v>
      </c>
      <c r="S216" s="70">
        <f>IF(VLOOKUP($A216,raw_lb[],COLUMN(S$1),FALSE)=0, VLOOKUP($D216, regions_lb[], COLUMN(S$1), FALSE), VLOOKUP($A216,raw_lb[],COLUMN(S$1),FALSE))</f>
        <v>38.327180588301353</v>
      </c>
      <c r="T216" s="70">
        <f>IF(VLOOKUP($A216,raw_lb[],COLUMN(U$1)-COLUMN($A$1),FALSE)=0, VLOOKUP($D216, regions_lb[], COLUMN(U$1)-COLUMN($A$1), FALSE), VLOOKUP($A216,raw_lb[],COLUMN(U$1)-COLUMN($A$1),FALSE))</f>
        <v>38.994179751986216</v>
      </c>
      <c r="U216" s="70">
        <f>IF(VLOOKUP($A216,raw_lb[],COLUMN(V$1)-COLUMN($A$1),FALSE)=0, VLOOKUP($D216, regions_lb[], COLUMN(V$1)-COLUMN($A$1), FALSE), VLOOKUP($A216,raw_lb[],COLUMN(V$1)-COLUMN($A$1),FALSE))</f>
        <v>38.687907834588358</v>
      </c>
      <c r="V216" s="70">
        <f>IF(VLOOKUP($A216,raw_lb[],COLUMN(W$1)-COLUMN($A$1),FALSE)=0, VLOOKUP($D216, regions_lb[], COLUMN(W$1)-COLUMN($A$1), FALSE), VLOOKUP($A216,raw_lb[],COLUMN(W$1)-COLUMN($A$1),FALSE))</f>
        <v>1.2918330490726151</v>
      </c>
      <c r="W216" s="70">
        <f>IF(VLOOKUP($A216,raw_lb[],COLUMN(X$1)-COLUMN($A$1),FALSE)=0, VLOOKUP($D216, regions_lb[], COLUMN(X$1)-COLUMN($A$1), FALSE), VLOOKUP($A216,raw_lb[],COLUMN(X$1)-COLUMN($A$1),FALSE))</f>
        <v>5.8803330490726147</v>
      </c>
      <c r="X216" s="70">
        <f>IF(VLOOKUP($A216,raw_lb[],COLUMN(Y$1)-COLUMN($A$1),FALSE)=0, VLOOKUP($D216, regions_lb[], COLUMN(Y$1)-COLUMN($A$1), FALSE), VLOOKUP($A216,raw_lb[],COLUMN(Y$1)-COLUMN($A$1),FALSE))</f>
        <v>0.81988847331068859</v>
      </c>
      <c r="Y216" s="70">
        <f>IF(VLOOKUP($A216,raw_lb[],COLUMN(Z$1)-COLUMN($A$1),FALSE)=0, VLOOKUP($D216, regions_lb[], COLUMN(Z$1)-COLUMN($A$1), FALSE), VLOOKUP($A216,raw_lb[],COLUMN(Z$1)-COLUMN($A$1),FALSE))</f>
        <v>5.4083884733106888</v>
      </c>
      <c r="Z216" s="70">
        <f>IF(VLOOKUP($A216,raw_lb[],COLUMN(AA$1)-COLUMN($A$1),FALSE)=0, VLOOKUP($D216, regions_lb[], COLUMN(AA$1)-COLUMN($A$1), FALSE), VLOOKUP($A216,raw_lb[],COLUMN(AA$1)-COLUMN($A$1),FALSE))</f>
        <v>5.4058258354871276</v>
      </c>
      <c r="AA216" s="70">
        <f>IF(VLOOKUP($A216,raw_lb[],COLUMN(AB$1)-COLUMN($A$1),FALSE)=0, VLOOKUP($D216, regions_lb[], COLUMN(AB$1)-COLUMN($A$1), FALSE), VLOOKUP($A216,raw_lb[],COLUMN(AB$1)-COLUMN($A$1),FALSE))</f>
        <v>1.4389402003125913</v>
      </c>
      <c r="AB216" s="70">
        <f>IF(VLOOKUP($A216,raw_lb[],COLUMN(AC$1)-COLUMN($A$1),FALSE)=0, VLOOKUP($D216, regions_lb[], COLUMN(AC$1)-COLUMN($A$1), FALSE), VLOOKUP($A216,raw_lb[],COLUMN(AC$1)-COLUMN($A$1),FALSE))</f>
        <v>6.0274402003125909</v>
      </c>
      <c r="AC216" s="72">
        <f>IF(VLOOKUP($A216,raw_lb[],COLUMN(AD$1)-COLUMN($A$1),FALSE)=0, VLOOKUP($D216, regions_lb[], COLUMN(AD$1)-COLUMN($A$1), FALSE), VLOOKUP($A216,raw_lb[],COLUMN(AD$1)-COLUMN($A$1),FALSE))</f>
        <v>5.0788538999999966E-2</v>
      </c>
      <c r="AD216" s="72">
        <f>IF(VLOOKUP($A216,raw_lb[],COLUMN(AE$1)-COLUMN($A$1),FALSE)=0, VLOOKUP($D216, regions_lb[], COLUMN(AE$1)-COLUMN($A$1), FALSE), VLOOKUP($A216,raw_lb[],COLUMN(AE$1)-COLUMN($A$1),FALSE))</f>
        <v>6.3701566438330928E-3</v>
      </c>
      <c r="AE216" s="72">
        <f>IF(VLOOKUP($A216,raw_lb[],COLUMN(AF$1)-COLUMN($A$1),FALSE)=0, VLOOKUP($D216, regions_lb[], COLUMN(AF$1)-COLUMN($A$1), FALSE), VLOOKUP($A216,raw_lb[],COLUMN(AF$1)-COLUMN($A$1),FALSE))</f>
        <v>1.0309950403332392E-3</v>
      </c>
      <c r="AF216" s="72">
        <f>IF(VLOOKUP($A216,raw_lb[],COLUMN(AG$1)-COLUMN($A$1),FALSE)=0, VLOOKUP($D216, regions_lb[], COLUMN(AG$1)-COLUMN($A$1), FALSE), VLOOKUP($A216,raw_lb[],COLUMN(AG$1)-COLUMN($A$1),FALSE))</f>
        <v>8.1349629941935967E-4</v>
      </c>
      <c r="AG216" s="72">
        <f>IF(VLOOKUP($A216,raw_lb[],COLUMN(AH$1)-COLUMN($A$1),FALSE)=0, VLOOKUP($D216, regions_lb[], COLUMN(AH$1)-COLUMN($A$1), FALSE), VLOOKUP($A216,raw_lb[],COLUMN(AH$1)-COLUMN($A$1),FALSE))</f>
        <v>1.3397897706916107E-3</v>
      </c>
      <c r="AH216" s="72">
        <f>IF(VLOOKUP($A216,raw_lb[],COLUMN(AI$1)-COLUMN($A$1),FALSE)=0, VLOOKUP($D216, regions_lb[], COLUMN(AI$1)-COLUMN($A$1), FALSE), VLOOKUP($A216,raw_lb[],COLUMN(AI$1)-COLUMN($A$1),FALSE))</f>
        <v>1.8756972036780776E-3</v>
      </c>
      <c r="AI216" s="72">
        <f>IF(VLOOKUP($A216,raw_lb[],COLUMN(AJ$1)-COLUMN($A$1),FALSE)=0, VLOOKUP($D216, regions_lb[], COLUMN(AJ$1)-COLUMN($A$1), FALSE), VLOOKUP($A216,raw_lb[],COLUMN(AJ$1)-COLUMN($A$1),FALSE))</f>
        <v>2.0353033922800921E-3</v>
      </c>
      <c r="AJ216" s="72">
        <f>IF(VLOOKUP($A216,raw_lb[],COLUMN(AK$1)-COLUMN($A$1),FALSE)=0, VLOOKUP($D216, regions_lb[], COLUMN(AK$1)-COLUMN($A$1), FALSE), VLOOKUP($A216,raw_lb[],COLUMN(AK$1)-COLUMN($A$1),FALSE))</f>
        <v>2.3353861273031043E-3</v>
      </c>
      <c r="AK216" s="72">
        <f>IF(VLOOKUP($A216,raw_lb[],COLUMN(AL$1)-COLUMN($A$1),FALSE)=0, VLOOKUP($D216, regions_lb[], COLUMN(AL$1)-COLUMN($A$1), FALSE), VLOOKUP($A216,raw_lb[],COLUMN(AL$1)-COLUMN($A$1),FALSE))</f>
        <v>2.9359694318449297E-3</v>
      </c>
      <c r="AL216" s="72">
        <f>IF(VLOOKUP($A216,raw_lb[],COLUMN(AM$1)-COLUMN($A$1),FALSE)=0, VLOOKUP($D216, regions_lb[], COLUMN(AM$1)-COLUMN($A$1), FALSE), VLOOKUP($A216,raw_lb[],COLUMN(AM$1)-COLUMN($A$1),FALSE))</f>
        <v>3.960813254597303E-3</v>
      </c>
      <c r="AM216" s="72">
        <f>IF(VLOOKUP($A216,raw_lb[],COLUMN(AN$1)-COLUMN($A$1),FALSE)=0, VLOOKUP($D216, regions_lb[], COLUMN(AN$1)-COLUMN($A$1), FALSE), VLOOKUP($A216,raw_lb[],COLUMN(AN$1)-COLUMN($A$1),FALSE))</f>
        <v>5.7058892267120472E-3</v>
      </c>
      <c r="AN216" s="72">
        <f>IF(VLOOKUP($A216,raw_lb[],COLUMN(AO$1)-COLUMN($A$1),FALSE)=0, VLOOKUP($D216, regions_lb[], COLUMN(AO$1)-COLUMN($A$1), FALSE), VLOOKUP($A216,raw_lb[],COLUMN(AO$1)-COLUMN($A$1),FALSE))</f>
        <v>8.4430735574909099E-3</v>
      </c>
      <c r="AO216" s="72">
        <f>IF(VLOOKUP($A216,raw_lb[],COLUMN(AP$1)-COLUMN($A$1),FALSE)=0, VLOOKUP($D216, regions_lb[], COLUMN(AP$1)-COLUMN($A$1), FALSE), VLOOKUP($A216,raw_lb[],COLUMN(AP$1)-COLUMN($A$1),FALSE))</f>
        <v>1.2645849474961805E-2</v>
      </c>
      <c r="AP216" s="72">
        <f>IF(VLOOKUP($A216,raw_lb[],COLUMN(AQ$1)-COLUMN($A$1),FALSE)=0, VLOOKUP($D216, regions_lb[], COLUMN(AQ$1)-COLUMN($A$1), FALSE), VLOOKUP($A216,raw_lb[],COLUMN(AQ$1)-COLUMN($A$1),FALSE))</f>
        <v>1.9247844416728156E-2</v>
      </c>
      <c r="AQ216" s="72">
        <f>IF(VLOOKUP($A216,raw_lb[],COLUMN(AR$1)-COLUMN($A$1),FALSE)=0, VLOOKUP($D216, regions_lb[], COLUMN(AR$1)-COLUMN($A$1), FALSE), VLOOKUP($A216,raw_lb[],COLUMN(AR$1)-COLUMN($A$1),FALSE))</f>
        <v>2.9395890883833334E-2</v>
      </c>
      <c r="AR216" s="72">
        <f>IF(VLOOKUP($A216,raw_lb[],COLUMN(AS$1)-COLUMN($A$1),FALSE)=0, VLOOKUP($D216, regions_lb[], COLUMN(AS$1)-COLUMN($A$1), FALSE), VLOOKUP($A216,raw_lb[],COLUMN(AS$1)-COLUMN($A$1),FALSE))</f>
        <v>4.5204664221939167E-2</v>
      </c>
      <c r="AS216" s="82">
        <f>IF(VLOOKUP($A216,raw_lb[],COLUMN(AS$1),FALSE)=0, VLOOKUP($D216, regions_lb[], COLUMN(AS$1), FALSE), VLOOKUP($A216,raw_lb[],COLUMN(AS$1),FALSE))</f>
        <v>6.7948878119314951E-2</v>
      </c>
      <c r="AT216" s="82">
        <f>IF(VLOOKUP($A216,raw_lb[],COLUMN(AT$1),FALSE)=0, VLOOKUP($D216, regions_lb[], COLUMN(AT$1), FALSE), VLOOKUP($A216,raw_lb[],COLUMN(AT$1),FALSE))</f>
        <v>9.7808108107710359E-2</v>
      </c>
      <c r="AU216" s="82">
        <f>IF(VLOOKUP($A216,raw_lb[],COLUMN(AU$1),FALSE)=0, VLOOKUP($D216, regions_lb[], COLUMN(AU$1), FALSE), VLOOKUP($A216,raw_lb[],COLUMN(AU$1),FALSE))</f>
        <v>0.12919281889273748</v>
      </c>
      <c r="AV216" s="82">
        <f>IF(VLOOKUP($A216,raw_lb[],COLUMN(AV$1),FALSE)=0, VLOOKUP($D216, regions_lb[], COLUMN(AV$1), FALSE), VLOOKUP($A216,raw_lb[],COLUMN(AV$1),FALSE))</f>
        <v>0.15450957696918016</v>
      </c>
      <c r="AW216" s="82">
        <f>IF(VLOOKUP($A216,raw_lb[],COLUMN(AW$1),FALSE)=0, VLOOKUP($D216, regions_lb[], COLUMN(AW$1), FALSE), VLOOKUP($A216,raw_lb[],COLUMN(AW$1),FALSE))</f>
        <v>0.17076640927830899</v>
      </c>
      <c r="AX216" s="82">
        <f>IF(VLOOKUP($A216,raw_lb[],COLUMN(AX$1),FALSE)=0, VLOOKUP($D216, regions_lb[], COLUMN(AX$1), FALSE), VLOOKUP($A216,raw_lb[],COLUMN(AX$1),FALSE))</f>
        <v>61.376649999999998</v>
      </c>
      <c r="AY216" t="str">
        <f t="shared" si="7"/>
        <v>Yes</v>
      </c>
    </row>
    <row r="217" spans="1:51" x14ac:dyDescent="0.25">
      <c r="A217" s="55" t="s">
        <v>378</v>
      </c>
      <c r="B217" s="56" t="s">
        <v>379</v>
      </c>
      <c r="C217" s="56">
        <v>480</v>
      </c>
      <c r="D217" s="56" t="s">
        <v>207</v>
      </c>
      <c r="E217" s="56" t="s">
        <v>261</v>
      </c>
      <c r="F217" s="56" t="s">
        <v>262</v>
      </c>
      <c r="G217" s="56" t="s">
        <v>204</v>
      </c>
      <c r="H217" s="74"/>
      <c r="I217" s="74"/>
      <c r="J217" s="67">
        <f>IF(VLOOKUP($A217,raw_lb[],COLUMN(J$1),FALSE)=0, VLOOKUP($D217, regions_lb[], COLUMN(J$1), FALSE), VLOOKUP($A217,raw_lb[],COLUMN(J$1),FALSE))</f>
        <v>0.93480000000000008</v>
      </c>
      <c r="K217" s="77">
        <f>VLOOKUP($A217, raw_lb[], 11, FALSE)</f>
        <v>0</v>
      </c>
      <c r="L217" s="77">
        <f>VLOOKUP($A217, raw_lb[], 12, FALSE)</f>
        <v>0.88349999999999995</v>
      </c>
      <c r="M217" s="77">
        <f>IF(VLOOKUP($A217,raw_lb[],COLUMN(M$1),FALSE)=0, VLOOKUP($D217, regions_lb[], COLUMN(M$1), FALSE), VLOOKUP($A217,raw_lb[],COLUMN(M$1),FALSE))</f>
        <v>3.0999999999999999E-3</v>
      </c>
      <c r="N217" s="68">
        <f>IF(VLOOKUP($A217,raw_lb[],COLUMN(N$1),FALSE)=0, VLOOKUP($D217, regions_lb[], COLUMN(N$1), FALSE), VLOOKUP($A217,raw_lb[],COLUMN(N$1),FALSE))</f>
        <v>0.18100000000000002</v>
      </c>
      <c r="O217" s="67">
        <f>IF(VLOOKUP($A217,raw_lb[],COLUMN(O$1),FALSE)=0, VLOOKUP($D217, regions_lb[], COLUMN(O$1), FALSE), VLOOKUP($A217,raw_lb[],COLUMN(O$1),FALSE))</f>
        <v>0.7</v>
      </c>
      <c r="P217" s="68">
        <f>IF(VLOOKUP($A217,raw_lb[],COLUMN(P$1),FALSE)=0, VLOOKUP($D217, regions_lb[], COLUMN(P$1), FALSE), VLOOKUP($A217,raw_lb[],COLUMN(P$1),FALSE))</f>
        <v>0.05</v>
      </c>
      <c r="Q217" s="70">
        <f>IF(VLOOKUP($A217,raw_lb[],COLUMN(Q$1),FALSE)=0, VLOOKUP($D217, regions_lb[], COLUMN(Q$1), FALSE), VLOOKUP($A217,raw_lb[],COLUMN(Q$1),FALSE))</f>
        <v>0.9410219132628217</v>
      </c>
      <c r="R217" s="70">
        <f>IF(VLOOKUP($A217,raw_lb[],COLUMN(R$1),FALSE)=0, VLOOKUP($D217, regions_lb[], COLUMN(R$1), FALSE), VLOOKUP($A217,raw_lb[],COLUMN(R$1),FALSE))</f>
        <v>8.0019219132628212</v>
      </c>
      <c r="S217" s="70">
        <f>IF(VLOOKUP($A217,raw_lb[],COLUMN(S$1),FALSE)=0, VLOOKUP($D217, regions_lb[], COLUMN(S$1), FALSE), VLOOKUP($A217,raw_lb[],COLUMN(S$1),FALSE))</f>
        <v>39.586728264144917</v>
      </c>
      <c r="T217" s="70">
        <f>IF(VLOOKUP($A217,raw_lb[],COLUMN(U$1)-COLUMN($A$1),FALSE)=0, VLOOKUP($D217, regions_lb[], COLUMN(U$1)-COLUMN($A$1), FALSE), VLOOKUP($A217,raw_lb[],COLUMN(U$1)-COLUMN($A$1),FALSE))</f>
        <v>40.817527317083545</v>
      </c>
      <c r="U217" s="70">
        <f>IF(VLOOKUP($A217,raw_lb[],COLUMN(V$1)-COLUMN($A$1),FALSE)=0, VLOOKUP($D217, regions_lb[], COLUMN(V$1)-COLUMN($A$1), FALSE), VLOOKUP($A217,raw_lb[],COLUMN(V$1)-COLUMN($A$1),FALSE))</f>
        <v>40.252370407751819</v>
      </c>
      <c r="V217" s="70">
        <f>IF(VLOOKUP($A217,raw_lb[],COLUMN(W$1)-COLUMN($A$1),FALSE)=0, VLOOKUP($D217, regions_lb[], COLUMN(W$1)-COLUMN($A$1), FALSE), VLOOKUP($A217,raw_lb[],COLUMN(W$1)-COLUMN($A$1),FALSE))</f>
        <v>4.2775146476560417</v>
      </c>
      <c r="W217" s="70">
        <f>IF(VLOOKUP($A217,raw_lb[],COLUMN(X$1)-COLUMN($A$1),FALSE)=0, VLOOKUP($D217, regions_lb[], COLUMN(X$1)-COLUMN($A$1), FALSE), VLOOKUP($A217,raw_lb[],COLUMN(X$1)-COLUMN($A$1),FALSE))</f>
        <v>4.8760146476560413</v>
      </c>
      <c r="X217" s="70">
        <f>IF(VLOOKUP($A217,raw_lb[],COLUMN(Y$1)-COLUMN($A$1),FALSE)=0, VLOOKUP($D217, regions_lb[], COLUMN(Y$1)-COLUMN($A$1), FALSE), VLOOKUP($A217,raw_lb[],COLUMN(Y$1)-COLUMN($A$1),FALSE))</f>
        <v>3.7983421195362337</v>
      </c>
      <c r="Y217" s="70">
        <f>IF(VLOOKUP($A217,raw_lb[],COLUMN(Z$1)-COLUMN($A$1),FALSE)=0, VLOOKUP($D217, regions_lb[], COLUMN(Z$1)-COLUMN($A$1), FALSE), VLOOKUP($A217,raw_lb[],COLUMN(Z$1)-COLUMN($A$1),FALSE))</f>
        <v>4.3968421195362337</v>
      </c>
      <c r="Z217" s="70">
        <f>IF(VLOOKUP($A217,raw_lb[],COLUMN(AA$1)-COLUMN($A$1),FALSE)=0, VLOOKUP($D217, regions_lb[], COLUMN(AA$1)-COLUMN($A$1), FALSE), VLOOKUP($A217,raw_lb[],COLUMN(AA$1)-COLUMN($A$1),FALSE))</f>
        <v>4.3894564723026663</v>
      </c>
      <c r="AA217" s="70">
        <f>IF(VLOOKUP($A217,raw_lb[],COLUMN(AB$1)-COLUMN($A$1),FALSE)=0, VLOOKUP($D217, regions_lb[], COLUMN(AB$1)-COLUMN($A$1), FALSE), VLOOKUP($A217,raw_lb[],COLUMN(AB$1)-COLUMN($A$1),FALSE))</f>
        <v>4.446925194743196</v>
      </c>
      <c r="AB217" s="70">
        <f>IF(VLOOKUP($A217,raw_lb[],COLUMN(AC$1)-COLUMN($A$1),FALSE)=0, VLOOKUP($D217, regions_lb[], COLUMN(AC$1)-COLUMN($A$1), FALSE), VLOOKUP($A217,raw_lb[],COLUMN(AC$1)-COLUMN($A$1),FALSE))</f>
        <v>5.0454251947431956</v>
      </c>
      <c r="AC217" s="72">
        <f>IF(VLOOKUP($A217,raw_lb[],COLUMN(AD$1)-COLUMN($A$1),FALSE)=0, VLOOKUP($D217, regions_lb[], COLUMN(AD$1)-COLUMN($A$1), FALSE), VLOOKUP($A217,raw_lb[],COLUMN(AD$1)-COLUMN($A$1),FALSE))</f>
        <v>1.0658762500000054E-2</v>
      </c>
      <c r="AD217" s="72">
        <f>IF(VLOOKUP($A217,raw_lb[],COLUMN(AE$1)-COLUMN($A$1),FALSE)=0, VLOOKUP($D217, regions_lb[], COLUMN(AE$1)-COLUMN($A$1), FALSE), VLOOKUP($A217,raw_lb[],COLUMN(AE$1)-COLUMN($A$1),FALSE))</f>
        <v>4.7073641994770777E-4</v>
      </c>
      <c r="AE217" s="72">
        <f>IF(VLOOKUP($A217,raw_lb[],COLUMN(AF$1)-COLUMN($A$1),FALSE)=0, VLOOKUP($D217, regions_lb[], COLUMN(AF$1)-COLUMN($A$1), FALSE), VLOOKUP($A217,raw_lb[],COLUMN(AF$1)-COLUMN($A$1),FALSE))</f>
        <v>1.3664775731640619E-4</v>
      </c>
      <c r="AF217" s="72">
        <f>IF(VLOOKUP($A217,raw_lb[],COLUMN(AG$1)-COLUMN($A$1),FALSE)=0, VLOOKUP($D217, regions_lb[], COLUMN(AG$1)-COLUMN($A$1), FALSE), VLOOKUP($A217,raw_lb[],COLUMN(AG$1)-COLUMN($A$1),FALSE))</f>
        <v>1.8406350962293339E-4</v>
      </c>
      <c r="AG217" s="72">
        <f>IF(VLOOKUP($A217,raw_lb[],COLUMN(AH$1)-COLUMN($A$1),FALSE)=0, VLOOKUP($D217, regions_lb[], COLUMN(AH$1)-COLUMN($A$1), FALSE), VLOOKUP($A217,raw_lb[],COLUMN(AH$1)-COLUMN($A$1),FALSE))</f>
        <v>5.2348795888471523E-4</v>
      </c>
      <c r="AH217" s="72">
        <f>IF(VLOOKUP($A217,raw_lb[],COLUMN(AI$1)-COLUMN($A$1),FALSE)=0, VLOOKUP($D217, regions_lb[], COLUMN(AI$1)-COLUMN($A$1), FALSE), VLOOKUP($A217,raw_lb[],COLUMN(AI$1)-COLUMN($A$1),FALSE))</f>
        <v>8.3950028476004472E-4</v>
      </c>
      <c r="AI217" s="72">
        <f>IF(VLOOKUP($A217,raw_lb[],COLUMN(AJ$1)-COLUMN($A$1),FALSE)=0, VLOOKUP($D217, regions_lb[], COLUMN(AJ$1)-COLUMN($A$1), FALSE), VLOOKUP($A217,raw_lb[],COLUMN(AJ$1)-COLUMN($A$1),FALSE))</f>
        <v>1.1556837505455123E-3</v>
      </c>
      <c r="AJ217" s="72">
        <f>IF(VLOOKUP($A217,raw_lb[],COLUMN(AK$1)-COLUMN($A$1),FALSE)=0, VLOOKUP($D217, regions_lb[], COLUMN(AK$1)-COLUMN($A$1), FALSE), VLOOKUP($A217,raw_lb[],COLUMN(AK$1)-COLUMN($A$1),FALSE))</f>
        <v>1.4347150659546808E-3</v>
      </c>
      <c r="AK217" s="72">
        <f>IF(VLOOKUP($A217,raw_lb[],COLUMN(AL$1)-COLUMN($A$1),FALSE)=0, VLOOKUP($D217, regions_lb[], COLUMN(AL$1)-COLUMN($A$1), FALSE), VLOOKUP($A217,raw_lb[],COLUMN(AL$1)-COLUMN($A$1),FALSE))</f>
        <v>2.1142379210167929E-3</v>
      </c>
      <c r="AL217" s="72">
        <f>IF(VLOOKUP($A217,raw_lb[],COLUMN(AM$1)-COLUMN($A$1),FALSE)=0, VLOOKUP($D217, regions_lb[], COLUMN(AM$1)-COLUMN($A$1), FALSE), VLOOKUP($A217,raw_lb[],COLUMN(AM$1)-COLUMN($A$1),FALSE))</f>
        <v>3.0230336089929039E-3</v>
      </c>
      <c r="AM217" s="72">
        <f>IF(VLOOKUP($A217,raw_lb[],COLUMN(AN$1)-COLUMN($A$1),FALSE)=0, VLOOKUP($D217, regions_lb[], COLUMN(AN$1)-COLUMN($A$1), FALSE), VLOOKUP($A217,raw_lb[],COLUMN(AN$1)-COLUMN($A$1),FALSE))</f>
        <v>4.3969258216251311E-3</v>
      </c>
      <c r="AN217" s="72">
        <f>IF(VLOOKUP($A217,raw_lb[],COLUMN(AO$1)-COLUMN($A$1),FALSE)=0, VLOOKUP($D217, regions_lb[], COLUMN(AO$1)-COLUMN($A$1), FALSE), VLOOKUP($A217,raw_lb[],COLUMN(AO$1)-COLUMN($A$1),FALSE))</f>
        <v>6.4932344345328781E-3</v>
      </c>
      <c r="AO217" s="72">
        <f>IF(VLOOKUP($A217,raw_lb[],COLUMN(AP$1)-COLUMN($A$1),FALSE)=0, VLOOKUP($D217, regions_lb[], COLUMN(AP$1)-COLUMN($A$1), FALSE), VLOOKUP($A217,raw_lb[],COLUMN(AP$1)-COLUMN($A$1),FALSE))</f>
        <v>9.0343615262566991E-3</v>
      </c>
      <c r="AP217" s="72">
        <f>IF(VLOOKUP($A217,raw_lb[],COLUMN(AQ$1)-COLUMN($A$1),FALSE)=0, VLOOKUP($D217, regions_lb[], COLUMN(AQ$1)-COLUMN($A$1), FALSE), VLOOKUP($A217,raw_lb[],COLUMN(AQ$1)-COLUMN($A$1),FALSE))</f>
        <v>1.4013320339807114E-2</v>
      </c>
      <c r="AQ217" s="72">
        <f>IF(VLOOKUP($A217,raw_lb[],COLUMN(AR$1)-COLUMN($A$1),FALSE)=0, VLOOKUP($D217, regions_lb[], COLUMN(AR$1)-COLUMN($A$1), FALSE), VLOOKUP($A217,raw_lb[],COLUMN(AR$1)-COLUMN($A$1),FALSE))</f>
        <v>2.0068139306526202E-2</v>
      </c>
      <c r="AR217" s="72">
        <f>IF(VLOOKUP($A217,raw_lb[],COLUMN(AS$1)-COLUMN($A$1),FALSE)=0, VLOOKUP($D217, regions_lb[], COLUMN(AS$1)-COLUMN($A$1), FALSE), VLOOKUP($A217,raw_lb[],COLUMN(AS$1)-COLUMN($A$1),FALSE))</f>
        <v>3.0323985068246982E-2</v>
      </c>
      <c r="AS217" s="82">
        <f>IF(VLOOKUP($A217,raw_lb[],COLUMN(AS$1),FALSE)=0, VLOOKUP($D217, regions_lb[], COLUMN(AS$1), FALSE), VLOOKUP($A217,raw_lb[],COLUMN(AS$1),FALSE))</f>
        <v>4.2939351201416932E-2</v>
      </c>
      <c r="AT217" s="82">
        <f>IF(VLOOKUP($A217,raw_lb[],COLUMN(AT$1),FALSE)=0, VLOOKUP($D217, regions_lb[], COLUMN(AT$1), FALSE), VLOOKUP($A217,raw_lb[],COLUMN(AT$1),FALSE))</f>
        <v>6.4188418248803364E-2</v>
      </c>
      <c r="AU217" s="82">
        <f>IF(VLOOKUP($A217,raw_lb[],COLUMN(AU$1),FALSE)=0, VLOOKUP($D217, regions_lb[], COLUMN(AU$1), FALSE), VLOOKUP($A217,raw_lb[],COLUMN(AU$1),FALSE))</f>
        <v>8.9982162846982072E-2</v>
      </c>
      <c r="AV217" s="82">
        <f>IF(VLOOKUP($A217,raw_lb[],COLUMN(AV$1),FALSE)=0, VLOOKUP($D217, regions_lb[], COLUMN(AV$1), FALSE), VLOOKUP($A217,raw_lb[],COLUMN(AV$1),FALSE))</f>
        <v>0.11623266703021869</v>
      </c>
      <c r="AW217" s="82">
        <f>IF(VLOOKUP($A217,raw_lb[],COLUMN(AW$1),FALSE)=0, VLOOKUP($D217, regions_lb[], COLUMN(AW$1), FALSE), VLOOKUP($A217,raw_lb[],COLUMN(AW$1),FALSE))</f>
        <v>0.14035236841560361</v>
      </c>
      <c r="AX217" s="82">
        <f>IF(VLOOKUP($A217,raw_lb[],COLUMN(AX$1),FALSE)=0, VLOOKUP($D217, regions_lb[], COLUMN(AX$1), FALSE), VLOOKUP($A217,raw_lb[],COLUMN(AX$1),FALSE))</f>
        <v>71.024850000000001</v>
      </c>
      <c r="AY217" t="str">
        <f t="shared" si="7"/>
        <v>Yes</v>
      </c>
    </row>
    <row r="218" spans="1:51" x14ac:dyDescent="0.25">
      <c r="A218" s="53" t="s">
        <v>380</v>
      </c>
      <c r="B218" s="54" t="s">
        <v>381</v>
      </c>
      <c r="C218" s="54">
        <v>484</v>
      </c>
      <c r="D218" s="54" t="s">
        <v>215</v>
      </c>
      <c r="E218" s="54" t="s">
        <v>274</v>
      </c>
      <c r="F218" s="54" t="s">
        <v>217</v>
      </c>
      <c r="G218" s="54" t="s">
        <v>204</v>
      </c>
      <c r="H218" s="73"/>
      <c r="I218" s="73"/>
      <c r="J218" s="67">
        <f>IF(VLOOKUP($A218,raw_lb[],COLUMN(J$1),FALSE)=0, VLOOKUP($D218, regions_lb[], COLUMN(J$1), FALSE), VLOOKUP($A218,raw_lb[],COLUMN(J$1),FALSE))</f>
        <v>0.92055000000000009</v>
      </c>
      <c r="K218" s="77">
        <f>VLOOKUP($A218, raw_lb[], 11, FALSE)</f>
        <v>0.49399999999999999</v>
      </c>
      <c r="L218" s="77">
        <f>VLOOKUP($A218, raw_lb[], 12, FALSE)</f>
        <v>0.75049999999999994</v>
      </c>
      <c r="M218" s="77">
        <f>IF(VLOOKUP($A218,raw_lb[],COLUMN(M$1),FALSE)=0, VLOOKUP($D218, regions_lb[], COLUMN(M$1), FALSE), VLOOKUP($A218,raw_lb[],COLUMN(M$1),FALSE))</f>
        <v>6.4000000000000003E-3</v>
      </c>
      <c r="N218" s="68">
        <f>IF(VLOOKUP($A218,raw_lb[],COLUMN(N$1),FALSE)=0, VLOOKUP($D218, regions_lb[], COLUMN(N$1), FALSE), VLOOKUP($A218,raw_lb[],COLUMN(N$1),FALSE))</f>
        <v>0.16440000000000002</v>
      </c>
      <c r="O218" s="67">
        <f>IF(VLOOKUP($A218,raw_lb[],COLUMN(O$1),FALSE)=0, VLOOKUP($D218, regions_lb[], COLUMN(O$1), FALSE), VLOOKUP($A218,raw_lb[],COLUMN(O$1),FALSE))</f>
        <v>0.7</v>
      </c>
      <c r="P218" s="68">
        <f>IF(VLOOKUP($A218,raw_lb[],COLUMN(P$1),FALSE)=0, VLOOKUP($D218, regions_lb[], COLUMN(P$1), FALSE), VLOOKUP($A218,raw_lb[],COLUMN(P$1),FALSE))</f>
        <v>0.05</v>
      </c>
      <c r="Q218" s="70">
        <f>IF(VLOOKUP($A218,raw_lb[],COLUMN(Q$1),FALSE)=0, VLOOKUP($D218, regions_lb[], COLUMN(Q$1), FALSE), VLOOKUP($A218,raw_lb[],COLUMN(Q$1),FALSE))</f>
        <v>2.92237199315979</v>
      </c>
      <c r="R218" s="70">
        <f>IF(VLOOKUP($A218,raw_lb[],COLUMN(R$1),FALSE)=0, VLOOKUP($D218, regions_lb[], COLUMN(R$1), FALSE), VLOOKUP($A218,raw_lb[],COLUMN(R$1),FALSE))</f>
        <v>9.9832719931597911</v>
      </c>
      <c r="S218" s="70">
        <f>IF(VLOOKUP($A218,raw_lb[],COLUMN(S$1),FALSE)=0, VLOOKUP($D218, regions_lb[], COLUMN(S$1), FALSE), VLOOKUP($A218,raw_lb[],COLUMN(S$1),FALSE))</f>
        <v>61.044730407821334</v>
      </c>
      <c r="T218" s="70">
        <f>IF(VLOOKUP($A218,raw_lb[],COLUMN(U$1)-COLUMN($A$1),FALSE)=0, VLOOKUP($D218, regions_lb[], COLUMN(U$1)-COLUMN($A$1), FALSE), VLOOKUP($A218,raw_lb[],COLUMN(U$1)-COLUMN($A$1),FALSE))</f>
        <v>72.412446128618654</v>
      </c>
      <c r="U218" s="70">
        <f>IF(VLOOKUP($A218,raw_lb[],COLUMN(V$1)-COLUMN($A$1),FALSE)=0, VLOOKUP($D218, regions_lb[], COLUMN(V$1)-COLUMN($A$1), FALSE), VLOOKUP($A218,raw_lb[],COLUMN(V$1)-COLUMN($A$1),FALSE))</f>
        <v>67.192631352527968</v>
      </c>
      <c r="V218" s="70">
        <f>IF(VLOOKUP($A218,raw_lb[],COLUMN(W$1)-COLUMN($A$1),FALSE)=0, VLOOKUP($D218, regions_lb[], COLUMN(W$1)-COLUMN($A$1), FALSE), VLOOKUP($A218,raw_lb[],COLUMN(W$1)-COLUMN($A$1),FALSE))</f>
        <v>1.2367370814428158</v>
      </c>
      <c r="W218" s="70">
        <f>IF(VLOOKUP($A218,raw_lb[],COLUMN(X$1)-COLUMN($A$1),FALSE)=0, VLOOKUP($D218, regions_lb[], COLUMN(X$1)-COLUMN($A$1), FALSE), VLOOKUP($A218,raw_lb[],COLUMN(X$1)-COLUMN($A$1),FALSE))</f>
        <v>1.2557370814428157</v>
      </c>
      <c r="X218" s="70">
        <f>IF(VLOOKUP($A218,raw_lb[],COLUMN(Y$1)-COLUMN($A$1),FALSE)=0, VLOOKUP($D218, regions_lb[], COLUMN(Y$1)-COLUMN($A$1), FALSE), VLOOKUP($A218,raw_lb[],COLUMN(Y$1)-COLUMN($A$1),FALSE))</f>
        <v>0.75777355117551259</v>
      </c>
      <c r="Y218" s="70">
        <f>IF(VLOOKUP($A218,raw_lb[],COLUMN(Z$1)-COLUMN($A$1),FALSE)=0, VLOOKUP($D218, regions_lb[], COLUMN(Z$1)-COLUMN($A$1), FALSE), VLOOKUP($A218,raw_lb[],COLUMN(Z$1)-COLUMN($A$1),FALSE))</f>
        <v>0.77677355117551261</v>
      </c>
      <c r="Z218" s="70">
        <f>IF(VLOOKUP($A218,raw_lb[],COLUMN(AA$1)-COLUMN($A$1),FALSE)=0, VLOOKUP($D218, regions_lb[], COLUMN(AA$1)-COLUMN($A$1), FALSE), VLOOKUP($A218,raw_lb[],COLUMN(AA$1)-COLUMN($A$1),FALSE))</f>
        <v>0.76938697894014729</v>
      </c>
      <c r="AA218" s="70">
        <f>IF(VLOOKUP($A218,raw_lb[],COLUMN(AB$1)-COLUMN($A$1),FALSE)=0, VLOOKUP($D218, regions_lb[], COLUMN(AB$1)-COLUMN($A$1), FALSE), VLOOKUP($A218,raw_lb[],COLUMN(AB$1)-COLUMN($A$1),FALSE))</f>
        <v>1.4055027208708122</v>
      </c>
      <c r="AB218" s="70">
        <f>IF(VLOOKUP($A218,raw_lb[],COLUMN(AC$1)-COLUMN($A$1),FALSE)=0, VLOOKUP($D218, regions_lb[], COLUMN(AC$1)-COLUMN($A$1), FALSE), VLOOKUP($A218,raw_lb[],COLUMN(AC$1)-COLUMN($A$1),FALSE))</f>
        <v>1.4245027208708121</v>
      </c>
      <c r="AC218" s="72">
        <f>IF(VLOOKUP($A218,raw_lb[],COLUMN(AD$1)-COLUMN($A$1),FALSE)=0, VLOOKUP($D218, regions_lb[], COLUMN(AD$1)-COLUMN($A$1), FALSE), VLOOKUP($A218,raw_lb[],COLUMN(AD$1)-COLUMN($A$1),FALSE))</f>
        <v>1.2837302499999982E-2</v>
      </c>
      <c r="AD218" s="72">
        <f>IF(VLOOKUP($A218,raw_lb[],COLUMN(AE$1)-COLUMN($A$1),FALSE)=0, VLOOKUP($D218, regions_lb[], COLUMN(AE$1)-COLUMN($A$1), FALSE), VLOOKUP($A218,raw_lb[],COLUMN(AE$1)-COLUMN($A$1),FALSE))</f>
        <v>4.9445910111036025E-4</v>
      </c>
      <c r="AE218" s="72">
        <f>IF(VLOOKUP($A218,raw_lb[],COLUMN(AF$1)-COLUMN($A$1),FALSE)=0, VLOOKUP($D218, regions_lb[], COLUMN(AF$1)-COLUMN($A$1), FALSE), VLOOKUP($A218,raw_lb[],COLUMN(AF$1)-COLUMN($A$1),FALSE))</f>
        <v>2.4236534066681965E-4</v>
      </c>
      <c r="AF218" s="72">
        <f>IF(VLOOKUP($A218,raw_lb[],COLUMN(AG$1)-COLUMN($A$1),FALSE)=0, VLOOKUP($D218, regions_lb[], COLUMN(AG$1)-COLUMN($A$1), FALSE), VLOOKUP($A218,raw_lb[],COLUMN(AG$1)-COLUMN($A$1),FALSE))</f>
        <v>3.4426499792763814E-4</v>
      </c>
      <c r="AG218" s="72">
        <f>IF(VLOOKUP($A218,raw_lb[],COLUMN(AH$1)-COLUMN($A$1),FALSE)=0, VLOOKUP($D218, regions_lb[], COLUMN(AH$1)-COLUMN($A$1), FALSE), VLOOKUP($A218,raw_lb[],COLUMN(AH$1)-COLUMN($A$1),FALSE))</f>
        <v>7.2822332300784623E-4</v>
      </c>
      <c r="AH218" s="72">
        <f>IF(VLOOKUP($A218,raw_lb[],COLUMN(AI$1)-COLUMN($A$1),FALSE)=0, VLOOKUP($D218, regions_lb[], COLUMN(AI$1)-COLUMN($A$1), FALSE), VLOOKUP($A218,raw_lb[],COLUMN(AI$1)-COLUMN($A$1),FALSE))</f>
        <v>1.1858351659624526E-3</v>
      </c>
      <c r="AI218" s="72">
        <f>IF(VLOOKUP($A218,raw_lb[],COLUMN(AJ$1)-COLUMN($A$1),FALSE)=0, VLOOKUP($D218, regions_lb[], COLUMN(AJ$1)-COLUMN($A$1), FALSE), VLOOKUP($A218,raw_lb[],COLUMN(AJ$1)-COLUMN($A$1),FALSE))</f>
        <v>1.489130950328223E-3</v>
      </c>
      <c r="AJ218" s="72">
        <f>IF(VLOOKUP($A218,raw_lb[],COLUMN(AK$1)-COLUMN($A$1),FALSE)=0, VLOOKUP($D218, regions_lb[], COLUMN(AK$1)-COLUMN($A$1), FALSE), VLOOKUP($A218,raw_lb[],COLUMN(AK$1)-COLUMN($A$1),FALSE))</f>
        <v>1.7155907178629667E-3</v>
      </c>
      <c r="AK218" s="72">
        <f>IF(VLOOKUP($A218,raw_lb[],COLUMN(AL$1)-COLUMN($A$1),FALSE)=0, VLOOKUP($D218, regions_lb[], COLUMN(AL$1)-COLUMN($A$1), FALSE), VLOOKUP($A218,raw_lb[],COLUMN(AL$1)-COLUMN($A$1),FALSE))</f>
        <v>2.0774520782972281E-3</v>
      </c>
      <c r="AL218" s="72">
        <f>IF(VLOOKUP($A218,raw_lb[],COLUMN(AM$1)-COLUMN($A$1),FALSE)=0, VLOOKUP($D218, regions_lb[], COLUMN(AM$1)-COLUMN($A$1), FALSE), VLOOKUP($A218,raw_lb[],COLUMN(AM$1)-COLUMN($A$1),FALSE))</f>
        <v>2.7558679507215167E-3</v>
      </c>
      <c r="AM218" s="72">
        <f>IF(VLOOKUP($A218,raw_lb[],COLUMN(AN$1)-COLUMN($A$1),FALSE)=0, VLOOKUP($D218, regions_lb[], COLUMN(AN$1)-COLUMN($A$1), FALSE), VLOOKUP($A218,raw_lb[],COLUMN(AN$1)-COLUMN($A$1),FALSE))</f>
        <v>3.9164624583357139E-3</v>
      </c>
      <c r="AN218" s="72">
        <f>IF(VLOOKUP($A218,raw_lb[],COLUMN(AO$1)-COLUMN($A$1),FALSE)=0, VLOOKUP($D218, regions_lb[], COLUMN(AO$1)-COLUMN($A$1), FALSE), VLOOKUP($A218,raw_lb[],COLUMN(AO$1)-COLUMN($A$1),FALSE))</f>
        <v>5.7745617330110487E-3</v>
      </c>
      <c r="AO218" s="72">
        <f>IF(VLOOKUP($A218,raw_lb[],COLUMN(AP$1)-COLUMN($A$1),FALSE)=0, VLOOKUP($D218, regions_lb[], COLUMN(AP$1)-COLUMN($A$1), FALSE), VLOOKUP($A218,raw_lb[],COLUMN(AP$1)-COLUMN($A$1),FALSE))</f>
        <v>8.634338074562653E-3</v>
      </c>
      <c r="AP218" s="72">
        <f>IF(VLOOKUP($A218,raw_lb[],COLUMN(AQ$1)-COLUMN($A$1),FALSE)=0, VLOOKUP($D218, regions_lb[], COLUMN(AQ$1)-COLUMN($A$1), FALSE), VLOOKUP($A218,raw_lb[],COLUMN(AQ$1)-COLUMN($A$1),FALSE))</f>
        <v>1.2922402733861582E-2</v>
      </c>
      <c r="AQ218" s="72">
        <f>IF(VLOOKUP($A218,raw_lb[],COLUMN(AR$1)-COLUMN($A$1),FALSE)=0, VLOOKUP($D218, regions_lb[], COLUMN(AR$1)-COLUMN($A$1), FALSE), VLOOKUP($A218,raw_lb[],COLUMN(AR$1)-COLUMN($A$1),FALSE))</f>
        <v>1.9275278055675662E-2</v>
      </c>
      <c r="AR218" s="72">
        <f>IF(VLOOKUP($A218,raw_lb[],COLUMN(AS$1)-COLUMN($A$1),FALSE)=0, VLOOKUP($D218, regions_lb[], COLUMN(AS$1)-COLUMN($A$1), FALSE), VLOOKUP($A218,raw_lb[],COLUMN(AS$1)-COLUMN($A$1),FALSE))</f>
        <v>2.8491125987073776E-2</v>
      </c>
      <c r="AS218" s="82">
        <f>IF(VLOOKUP($A218,raw_lb[],COLUMN(AS$1),FALSE)=0, VLOOKUP($D218, regions_lb[], COLUMN(AS$1), FALSE), VLOOKUP($A218,raw_lb[],COLUMN(AS$1),FALSE))</f>
        <v>4.1450669254957828E-2</v>
      </c>
      <c r="AT218" s="82">
        <f>IF(VLOOKUP($A218,raw_lb[],COLUMN(AT$1),FALSE)=0, VLOOKUP($D218, regions_lb[], COLUMN(AT$1), FALSE), VLOOKUP($A218,raw_lb[],COLUMN(AT$1),FALSE))</f>
        <v>5.8981685553913532E-2</v>
      </c>
      <c r="AU218" s="82">
        <f>IF(VLOOKUP($A218,raw_lb[],COLUMN(AU$1),FALSE)=0, VLOOKUP($D218, regions_lb[], COLUMN(AU$1), FALSE), VLOOKUP($A218,raw_lb[],COLUMN(AU$1),FALSE))</f>
        <v>8.1945657136716088E-2</v>
      </c>
      <c r="AV218" s="82">
        <f>IF(VLOOKUP($A218,raw_lb[],COLUMN(AV$1),FALSE)=0, VLOOKUP($D218, regions_lb[], COLUMN(AV$1), FALSE), VLOOKUP($A218,raw_lb[],COLUMN(AV$1),FALSE))</f>
        <v>0.11087861754099526</v>
      </c>
      <c r="AW218" s="82">
        <f>IF(VLOOKUP($A218,raw_lb[],COLUMN(AW$1),FALSE)=0, VLOOKUP($D218, regions_lb[], COLUMN(AW$1), FALSE), VLOOKUP($A218,raw_lb[],COLUMN(AW$1),FALSE))</f>
        <v>0.14263497998635119</v>
      </c>
      <c r="AX218" s="82">
        <f>IF(VLOOKUP($A218,raw_lb[],COLUMN(AX$1),FALSE)=0, VLOOKUP($D218, regions_lb[], COLUMN(AX$1), FALSE), VLOOKUP($A218,raw_lb[],COLUMN(AX$1),FALSE))</f>
        <v>71.228149999999999</v>
      </c>
      <c r="AY218" t="str">
        <f t="shared" si="7"/>
        <v>No</v>
      </c>
    </row>
    <row r="219" spans="1:51" x14ac:dyDescent="0.25">
      <c r="A219" s="55" t="s">
        <v>382</v>
      </c>
      <c r="B219" s="56" t="s">
        <v>383</v>
      </c>
      <c r="C219" s="56">
        <v>583</v>
      </c>
      <c r="D219" s="56" t="s">
        <v>260</v>
      </c>
      <c r="E219" s="56" t="s">
        <v>309</v>
      </c>
      <c r="F219" s="56" t="s">
        <v>262</v>
      </c>
      <c r="G219" s="56" t="s">
        <v>212</v>
      </c>
      <c r="H219" s="74"/>
      <c r="I219" s="74"/>
      <c r="J219" s="67">
        <f>IF(VLOOKUP($A219,raw_lb[],COLUMN(J$1),FALSE)=0, VLOOKUP($D219, regions_lb[], COLUMN(J$1), FALSE), VLOOKUP($A219,raw_lb[],COLUMN(J$1),FALSE))</f>
        <v>0.82650000000000001</v>
      </c>
      <c r="K219" s="77">
        <f>VLOOKUP($A219, raw_lb[], 11, FALSE)</f>
        <v>0.60799999999999998</v>
      </c>
      <c r="L219" s="77">
        <f>VLOOKUP($A219, raw_lb[], 12, FALSE)</f>
        <v>0.83599999999999997</v>
      </c>
      <c r="M219" s="77">
        <f>IF(VLOOKUP($A219,raw_lb[],COLUMN(M$1),FALSE)=0, VLOOKUP($D219, regions_lb[], COLUMN(M$1), FALSE), VLOOKUP($A219,raw_lb[],COLUMN(M$1),FALSE))</f>
        <v>3.15E-2</v>
      </c>
      <c r="N219" s="68">
        <f>IF(VLOOKUP($A219,raw_lb[],COLUMN(N$1),FALSE)=0, VLOOKUP($D219, regions_lb[], COLUMN(N$1), FALSE), VLOOKUP($A219,raw_lb[],COLUMN(N$1),FALSE))</f>
        <v>0.1832</v>
      </c>
      <c r="O219" s="67">
        <f>IF(VLOOKUP($A219,raw_lb[],COLUMN(O$1),FALSE)=0, VLOOKUP($D219, regions_lb[], COLUMN(O$1), FALSE), VLOOKUP($A219,raw_lb[],COLUMN(O$1),FALSE))</f>
        <v>0.7</v>
      </c>
      <c r="P219" s="68">
        <f>IF(VLOOKUP($A219,raw_lb[],COLUMN(P$1),FALSE)=0, VLOOKUP($D219, regions_lb[], COLUMN(P$1), FALSE), VLOOKUP($A219,raw_lb[],COLUMN(P$1),FALSE))</f>
        <v>0.05</v>
      </c>
      <c r="Q219" s="70">
        <f>IF(VLOOKUP($A219,raw_lb[],COLUMN(Q$1),FALSE)=0, VLOOKUP($D219, regions_lb[], COLUMN(Q$1), FALSE), VLOOKUP($A219,raw_lb[],COLUMN(Q$1),FALSE))</f>
        <v>1.5083261735419602</v>
      </c>
      <c r="R219" s="70">
        <f>IF(VLOOKUP($A219,raw_lb[],COLUMN(R$1),FALSE)=0, VLOOKUP($D219, regions_lb[], COLUMN(R$1), FALSE), VLOOKUP($A219,raw_lb[],COLUMN(R$1),FALSE))</f>
        <v>8.5692261735419617</v>
      </c>
      <c r="S219" s="70">
        <f>IF(VLOOKUP($A219,raw_lb[],COLUMN(S$1),FALSE)=0, VLOOKUP($D219, regions_lb[], COLUMN(S$1), FALSE), VLOOKUP($A219,raw_lb[],COLUMN(S$1),FALSE))</f>
        <v>42.717964358558497</v>
      </c>
      <c r="T219" s="70">
        <f>IF(VLOOKUP($A219,raw_lb[],COLUMN(U$1)-COLUMN($A$1),FALSE)=0, VLOOKUP($D219, regions_lb[], COLUMN(U$1)-COLUMN($A$1), FALSE), VLOOKUP($A219,raw_lb[],COLUMN(U$1)-COLUMN($A$1),FALSE))</f>
        <v>45.283200318804461</v>
      </c>
      <c r="U219" s="70">
        <f>IF(VLOOKUP($A219,raw_lb[],COLUMN(V$1)-COLUMN($A$1),FALSE)=0, VLOOKUP($D219, regions_lb[], COLUMN(V$1)-COLUMN($A$1), FALSE), VLOOKUP($A219,raw_lb[],COLUMN(V$1)-COLUMN($A$1),FALSE))</f>
        <v>44.105298188040067</v>
      </c>
      <c r="V219" s="70">
        <f>IF(VLOOKUP($A219,raw_lb[],COLUMN(W$1)-COLUMN($A$1),FALSE)=0, VLOOKUP($D219, regions_lb[], COLUMN(W$1)-COLUMN($A$1), FALSE), VLOOKUP($A219,raw_lb[],COLUMN(W$1)-COLUMN($A$1),FALSE))</f>
        <v>2.2502775901906644</v>
      </c>
      <c r="W219" s="70">
        <f>IF(VLOOKUP($A219,raw_lb[],COLUMN(X$1)-COLUMN($A$1),FALSE)=0, VLOOKUP($D219, regions_lb[], COLUMN(X$1)-COLUMN($A$1), FALSE), VLOOKUP($A219,raw_lb[],COLUMN(X$1)-COLUMN($A$1),FALSE))</f>
        <v>2.8487775901906645</v>
      </c>
      <c r="X219" s="70">
        <f>IF(VLOOKUP($A219,raw_lb[],COLUMN(Y$1)-COLUMN($A$1),FALSE)=0, VLOOKUP($D219, regions_lb[], COLUMN(Y$1)-COLUMN($A$1), FALSE), VLOOKUP($A219,raw_lb[],COLUMN(Y$1)-COLUMN($A$1),FALSE))</f>
        <v>1.7740949092624825</v>
      </c>
      <c r="Y219" s="70">
        <f>IF(VLOOKUP($A219,raw_lb[],COLUMN(Z$1)-COLUMN($A$1),FALSE)=0, VLOOKUP($D219, regions_lb[], COLUMN(Z$1)-COLUMN($A$1), FALSE), VLOOKUP($A219,raw_lb[],COLUMN(Z$1)-COLUMN($A$1),FALSE))</f>
        <v>2.3725949092624825</v>
      </c>
      <c r="Z219" s="70">
        <f>IF(VLOOKUP($A219,raw_lb[],COLUMN(AA$1)-COLUMN($A$1),FALSE)=0, VLOOKUP($D219, regions_lb[], COLUMN(AA$1)-COLUMN($A$1), FALSE), VLOOKUP($A219,raw_lb[],COLUMN(AA$1)-COLUMN($A$1),FALSE))</f>
        <v>2.3674283949893851</v>
      </c>
      <c r="AA219" s="70">
        <f>IF(VLOOKUP($A219,raw_lb[],COLUMN(AB$1)-COLUMN($A$1),FALSE)=0, VLOOKUP($D219, regions_lb[], COLUMN(AB$1)-COLUMN($A$1), FALSE), VLOOKUP($A219,raw_lb[],COLUMN(AB$1)-COLUMN($A$1),FALSE))</f>
        <v>2.4104623230865156</v>
      </c>
      <c r="AB219" s="70">
        <f>IF(VLOOKUP($A219,raw_lb[],COLUMN(AC$1)-COLUMN($A$1),FALSE)=0, VLOOKUP($D219, regions_lb[], COLUMN(AC$1)-COLUMN($A$1), FALSE), VLOOKUP($A219,raw_lb[],COLUMN(AC$1)-COLUMN($A$1),FALSE))</f>
        <v>3.0089623230865157</v>
      </c>
      <c r="AC219" s="72">
        <f>IF(VLOOKUP($A219,raw_lb[],COLUMN(AD$1)-COLUMN($A$1),FALSE)=0, VLOOKUP($D219, regions_lb[], COLUMN(AD$1)-COLUMN($A$1), FALSE), VLOOKUP($A219,raw_lb[],COLUMN(AD$1)-COLUMN($A$1),FALSE))</f>
        <v>2.2268826499999995E-2</v>
      </c>
      <c r="AD219" s="72">
        <f>IF(VLOOKUP($A219,raw_lb[],COLUMN(AE$1)-COLUMN($A$1),FALSE)=0, VLOOKUP($D219, regions_lb[], COLUMN(AE$1)-COLUMN($A$1), FALSE), VLOOKUP($A219,raw_lb[],COLUMN(AE$1)-COLUMN($A$1),FALSE))</f>
        <v>2.0566424892264393E-3</v>
      </c>
      <c r="AE219" s="72">
        <f>IF(VLOOKUP($A219,raw_lb[],COLUMN(AF$1)-COLUMN($A$1),FALSE)=0, VLOOKUP($D219, regions_lb[], COLUMN(AF$1)-COLUMN($A$1), FALSE), VLOOKUP($A219,raw_lb[],COLUMN(AF$1)-COLUMN($A$1),FALSE))</f>
        <v>6.0817698273438431E-4</v>
      </c>
      <c r="AF219" s="72">
        <f>IF(VLOOKUP($A219,raw_lb[],COLUMN(AG$1)-COLUMN($A$1),FALSE)=0, VLOOKUP($D219, regions_lb[], COLUMN(AG$1)-COLUMN($A$1), FALSE), VLOOKUP($A219,raw_lb[],COLUMN(AG$1)-COLUMN($A$1),FALSE))</f>
        <v>5.2006244037974846E-4</v>
      </c>
      <c r="AG219" s="72">
        <f>IF(VLOOKUP($A219,raw_lb[],COLUMN(AH$1)-COLUMN($A$1),FALSE)=0, VLOOKUP($D219, regions_lb[], COLUMN(AH$1)-COLUMN($A$1), FALSE), VLOOKUP($A219,raw_lb[],COLUMN(AH$1)-COLUMN($A$1),FALSE))</f>
        <v>1.0209858997394673E-3</v>
      </c>
      <c r="AH219" s="72">
        <f>IF(VLOOKUP($A219,raw_lb[],COLUMN(AI$1)-COLUMN($A$1),FALSE)=0, VLOOKUP($D219, regions_lb[], COLUMN(AI$1)-COLUMN($A$1), FALSE), VLOOKUP($A219,raw_lb[],COLUMN(AI$1)-COLUMN($A$1),FALSE))</f>
        <v>1.3211932623687611E-3</v>
      </c>
      <c r="AI219" s="72">
        <f>IF(VLOOKUP($A219,raw_lb[],COLUMN(AJ$1)-COLUMN($A$1),FALSE)=0, VLOOKUP($D219, regions_lb[], COLUMN(AJ$1)-COLUMN($A$1), FALSE), VLOOKUP($A219,raw_lb[],COLUMN(AJ$1)-COLUMN($A$1),FALSE))</f>
        <v>1.4028519285606894E-3</v>
      </c>
      <c r="AJ219" s="72">
        <f>IF(VLOOKUP($A219,raw_lb[],COLUMN(AK$1)-COLUMN($A$1),FALSE)=0, VLOOKUP($D219, regions_lb[], COLUMN(AK$1)-COLUMN($A$1), FALSE), VLOOKUP($A219,raw_lb[],COLUMN(AK$1)-COLUMN($A$1),FALSE))</f>
        <v>1.6514360602495643E-3</v>
      </c>
      <c r="AK219" s="72">
        <f>IF(VLOOKUP($A219,raw_lb[],COLUMN(AL$1)-COLUMN($A$1),FALSE)=0, VLOOKUP($D219, regions_lb[], COLUMN(AL$1)-COLUMN($A$1), FALSE), VLOOKUP($A219,raw_lb[],COLUMN(AL$1)-COLUMN($A$1),FALSE))</f>
        <v>2.186388687741788E-3</v>
      </c>
      <c r="AL219" s="72">
        <f>IF(VLOOKUP($A219,raw_lb[],COLUMN(AM$1)-COLUMN($A$1),FALSE)=0, VLOOKUP($D219, regions_lb[], COLUMN(AM$1)-COLUMN($A$1), FALSE), VLOOKUP($A219,raw_lb[],COLUMN(AM$1)-COLUMN($A$1),FALSE))</f>
        <v>3.0708404370362687E-3</v>
      </c>
      <c r="AM219" s="72">
        <f>IF(VLOOKUP($A219,raw_lb[],COLUMN(AN$1)-COLUMN($A$1),FALSE)=0, VLOOKUP($D219, regions_lb[], COLUMN(AN$1)-COLUMN($A$1), FALSE), VLOOKUP($A219,raw_lb[],COLUMN(AN$1)-COLUMN($A$1),FALSE))</f>
        <v>4.615029120718866E-3</v>
      </c>
      <c r="AN219" s="72">
        <f>IF(VLOOKUP($A219,raw_lb[],COLUMN(AO$1)-COLUMN($A$1),FALSE)=0, VLOOKUP($D219, regions_lb[], COLUMN(AO$1)-COLUMN($A$1), FALSE), VLOOKUP($A219,raw_lb[],COLUMN(AO$1)-COLUMN($A$1),FALSE))</f>
        <v>7.0759433398840657E-3</v>
      </c>
      <c r="AO219" s="72">
        <f>IF(VLOOKUP($A219,raw_lb[],COLUMN(AP$1)-COLUMN($A$1),FALSE)=0, VLOOKUP($D219, regions_lb[], COLUMN(AP$1)-COLUMN($A$1), FALSE), VLOOKUP($A219,raw_lb[],COLUMN(AP$1)-COLUMN($A$1),FALSE))</f>
        <v>1.0969510089321472E-2</v>
      </c>
      <c r="AP219" s="72">
        <f>IF(VLOOKUP($A219,raw_lb[],COLUMN(AQ$1)-COLUMN($A$1),FALSE)=0, VLOOKUP($D219, regions_lb[], COLUMN(AQ$1)-COLUMN($A$1), FALSE), VLOOKUP($A219,raw_lb[],COLUMN(AQ$1)-COLUMN($A$1),FALSE))</f>
        <v>2.0804818467542251E-2</v>
      </c>
      <c r="AQ219" s="72">
        <f>IF(VLOOKUP($A219,raw_lb[],COLUMN(AR$1)-COLUMN($A$1),FALSE)=0, VLOOKUP($D219, regions_lb[], COLUMN(AR$1)-COLUMN($A$1), FALSE), VLOOKUP($A219,raw_lb[],COLUMN(AR$1)-COLUMN($A$1),FALSE))</f>
        <v>3.846332129457454E-2</v>
      </c>
      <c r="AR219" s="72">
        <f>IF(VLOOKUP($A219,raw_lb[],COLUMN(AS$1)-COLUMN($A$1),FALSE)=0, VLOOKUP($D219, regions_lb[], COLUMN(AS$1)-COLUMN($A$1), FALSE), VLOOKUP($A219,raw_lb[],COLUMN(AS$1)-COLUMN($A$1),FALSE))</f>
        <v>6.0833631878848035E-2</v>
      </c>
      <c r="AS219" s="82">
        <f>IF(VLOOKUP($A219,raw_lb[],COLUMN(AS$1),FALSE)=0, VLOOKUP($D219, regions_lb[], COLUMN(AS$1), FALSE), VLOOKUP($A219,raw_lb[],COLUMN(AS$1),FALSE))</f>
        <v>8.6802476440788007E-2</v>
      </c>
      <c r="AT219" s="82">
        <f>IF(VLOOKUP($A219,raw_lb[],COLUMN(AT$1),FALSE)=0, VLOOKUP($D219, regions_lb[], COLUMN(AT$1), FALSE), VLOOKUP($A219,raw_lb[],COLUMN(AT$1),FALSE))</f>
        <v>0.118263570156922</v>
      </c>
      <c r="AU219" s="82">
        <f>IF(VLOOKUP($A219,raw_lb[],COLUMN(AU$1),FALSE)=0, VLOOKUP($D219, regions_lb[], COLUMN(AU$1), FALSE), VLOOKUP($A219,raw_lb[],COLUMN(AU$1),FALSE))</f>
        <v>0.14966755659005301</v>
      </c>
      <c r="AV219" s="82">
        <f>IF(VLOOKUP($A219,raw_lb[],COLUMN(AV$1),FALSE)=0, VLOOKUP($D219, regions_lb[], COLUMN(AV$1), FALSE), VLOOKUP($A219,raw_lb[],COLUMN(AV$1),FALSE))</f>
        <v>0.17032987991889367</v>
      </c>
      <c r="AW219" s="82">
        <f>IF(VLOOKUP($A219,raw_lb[],COLUMN(AW$1),FALSE)=0, VLOOKUP($D219, regions_lb[], COLUMN(AW$1), FALSE), VLOOKUP($A219,raw_lb[],COLUMN(AW$1),FALSE))</f>
        <v>0.17982245974531211</v>
      </c>
      <c r="AX219" s="82">
        <f>IF(VLOOKUP($A219,raw_lb[],COLUMN(AX$1),FALSE)=0, VLOOKUP($D219, regions_lb[], COLUMN(AX$1), FALSE), VLOOKUP($A219,raw_lb[],COLUMN(AX$1),FALSE))</f>
        <v>64.311199999999999</v>
      </c>
      <c r="AY219" t="str">
        <f t="shared" si="7"/>
        <v>No</v>
      </c>
    </row>
    <row r="220" spans="1:51" x14ac:dyDescent="0.25">
      <c r="A220" s="53" t="s">
        <v>384</v>
      </c>
      <c r="B220" s="54" t="s">
        <v>385</v>
      </c>
      <c r="C220" s="54">
        <v>498</v>
      </c>
      <c r="D220" s="54" t="s">
        <v>201</v>
      </c>
      <c r="E220" s="54" t="s">
        <v>229</v>
      </c>
      <c r="F220" s="54" t="s">
        <v>203</v>
      </c>
      <c r="G220" s="54" t="s">
        <v>212</v>
      </c>
      <c r="H220" s="73"/>
      <c r="I220" s="73"/>
      <c r="J220" s="67">
        <f>IF(VLOOKUP($A220,raw_lb[],COLUMN(J$1),FALSE)=0, VLOOKUP($D220, regions_lb[], COLUMN(J$1), FALSE), VLOOKUP($A220,raw_lb[],COLUMN(J$1),FALSE))</f>
        <v>0.94430000000000003</v>
      </c>
      <c r="K220" s="77">
        <f>VLOOKUP($A220, raw_lb[], 11, FALSE)</f>
        <v>0.90249999999999997</v>
      </c>
      <c r="L220" s="77">
        <f>VLOOKUP($A220, raw_lb[], 12, FALSE)</f>
        <v>0.82650000000000001</v>
      </c>
      <c r="M220" s="77">
        <f>IF(VLOOKUP($A220,raw_lb[],COLUMN(M$1),FALSE)=0, VLOOKUP($D220, regions_lb[], COLUMN(M$1), FALSE), VLOOKUP($A220,raw_lb[],COLUMN(M$1),FALSE))</f>
        <v>4.07E-2</v>
      </c>
      <c r="N220" s="68">
        <f>IF(VLOOKUP($A220,raw_lb[],COLUMN(N$1),FALSE)=0, VLOOKUP($D220, regions_lb[], COLUMN(N$1), FALSE), VLOOKUP($A220,raw_lb[],COLUMN(N$1),FALSE))</f>
        <v>0.16339999999999999</v>
      </c>
      <c r="O220" s="67">
        <f>IF(VLOOKUP($A220,raw_lb[],COLUMN(O$1),FALSE)=0, VLOOKUP($D220, regions_lb[], COLUMN(O$1), FALSE), VLOOKUP($A220,raw_lb[],COLUMN(O$1),FALSE))</f>
        <v>0.7</v>
      </c>
      <c r="P220" s="68">
        <f>IF(VLOOKUP($A220,raw_lb[],COLUMN(P$1),FALSE)=0, VLOOKUP($D220, regions_lb[], COLUMN(P$1), FALSE), VLOOKUP($A220,raw_lb[],COLUMN(P$1),FALSE))</f>
        <v>0.05</v>
      </c>
      <c r="Q220" s="70">
        <f>IF(VLOOKUP($A220,raw_lb[],COLUMN(Q$1),FALSE)=0, VLOOKUP($D220, regions_lb[], COLUMN(Q$1), FALSE), VLOOKUP($A220,raw_lb[],COLUMN(Q$1),FALSE))</f>
        <v>1.9406708167984812</v>
      </c>
      <c r="R220" s="70">
        <f>IF(VLOOKUP($A220,raw_lb[],COLUMN(R$1),FALSE)=0, VLOOKUP($D220, regions_lb[], COLUMN(R$1), FALSE), VLOOKUP($A220,raw_lb[],COLUMN(R$1),FALSE))</f>
        <v>9.0015708167984823</v>
      </c>
      <c r="S220" s="70">
        <f>IF(VLOOKUP($A220,raw_lb[],COLUMN(S$1),FALSE)=0, VLOOKUP($D220, regions_lb[], COLUMN(S$1), FALSE), VLOOKUP($A220,raw_lb[],COLUMN(S$1),FALSE))</f>
        <v>49.472366474957482</v>
      </c>
      <c r="T220" s="70">
        <f>IF(VLOOKUP($A220,raw_lb[],COLUMN(U$1)-COLUMN($A$1),FALSE)=0, VLOOKUP($D220, regions_lb[], COLUMN(U$1)-COLUMN($A$1), FALSE), VLOOKUP($A220,raw_lb[],COLUMN(U$1)-COLUMN($A$1),FALSE))</f>
        <v>55.328012386811046</v>
      </c>
      <c r="U220" s="70">
        <f>IF(VLOOKUP($A220,raw_lb[],COLUMN(V$1)-COLUMN($A$1),FALSE)=0, VLOOKUP($D220, regions_lb[], COLUMN(V$1)-COLUMN($A$1), FALSE), VLOOKUP($A220,raw_lb[],COLUMN(V$1)-COLUMN($A$1),FALSE))</f>
        <v>52.639223556674416</v>
      </c>
      <c r="V220" s="70">
        <f>IF(VLOOKUP($A220,raw_lb[],COLUMN(W$1)-COLUMN($A$1),FALSE)=0, VLOOKUP($D220, regions_lb[], COLUMN(W$1)-COLUMN($A$1), FALSE), VLOOKUP($A220,raw_lb[],COLUMN(W$1)-COLUMN($A$1),FALSE))</f>
        <v>2.5228306104641796</v>
      </c>
      <c r="W220" s="70">
        <f>IF(VLOOKUP($A220,raw_lb[],COLUMN(X$1)-COLUMN($A$1),FALSE)=0, VLOOKUP($D220, regions_lb[], COLUMN(X$1)-COLUMN($A$1), FALSE), VLOOKUP($A220,raw_lb[],COLUMN(X$1)-COLUMN($A$1),FALSE))</f>
        <v>6.3893306104641798</v>
      </c>
      <c r="X220" s="70">
        <f>IF(VLOOKUP($A220,raw_lb[],COLUMN(Y$1)-COLUMN($A$1),FALSE)=0, VLOOKUP($D220, regions_lb[], COLUMN(Y$1)-COLUMN($A$1), FALSE), VLOOKUP($A220,raw_lb[],COLUMN(Y$1)-COLUMN($A$1),FALSE))</f>
        <v>2.0489986858939617</v>
      </c>
      <c r="Y220" s="70">
        <f>IF(VLOOKUP($A220,raw_lb[],COLUMN(Z$1)-COLUMN($A$1),FALSE)=0, VLOOKUP($D220, regions_lb[], COLUMN(Z$1)-COLUMN($A$1), FALSE), VLOOKUP($A220,raw_lb[],COLUMN(Z$1)-COLUMN($A$1),FALSE))</f>
        <v>5.9154986858939616</v>
      </c>
      <c r="Z220" s="70">
        <f>IF(VLOOKUP($A220,raw_lb[],COLUMN(AA$1)-COLUMN($A$1),FALSE)=0, VLOOKUP($D220, regions_lb[], COLUMN(AA$1)-COLUMN($A$1), FALSE), VLOOKUP($A220,raw_lb[],COLUMN(AA$1)-COLUMN($A$1),FALSE))</f>
        <v>5.911649093855587</v>
      </c>
      <c r="AA220" s="70">
        <f>IF(VLOOKUP($A220,raw_lb[],COLUMN(AB$1)-COLUMN($A$1),FALSE)=0, VLOOKUP($D220, regions_lb[], COLUMN(AB$1)-COLUMN($A$1), FALSE), VLOOKUP($A220,raw_lb[],COLUMN(AB$1)-COLUMN($A$1),FALSE))</f>
        <v>2.6757615808840258</v>
      </c>
      <c r="AB220" s="70">
        <f>IF(VLOOKUP($A220,raw_lb[],COLUMN(AC$1)-COLUMN($A$1),FALSE)=0, VLOOKUP($D220, regions_lb[], COLUMN(AC$1)-COLUMN($A$1), FALSE), VLOOKUP($A220,raw_lb[],COLUMN(AC$1)-COLUMN($A$1),FALSE))</f>
        <v>6.5422615808840261</v>
      </c>
      <c r="AC220" s="72">
        <f>IF(VLOOKUP($A220,raw_lb[],COLUMN(AD$1)-COLUMN($A$1),FALSE)=0, VLOOKUP($D220, regions_lb[], COLUMN(AD$1)-COLUMN($A$1), FALSE), VLOOKUP($A220,raw_lb[],COLUMN(AD$1)-COLUMN($A$1),FALSE))</f>
        <v>1.1738266500000035E-2</v>
      </c>
      <c r="AD220" s="72">
        <f>IF(VLOOKUP($A220,raw_lb[],COLUMN(AE$1)-COLUMN($A$1),FALSE)=0, VLOOKUP($D220, regions_lb[], COLUMN(AE$1)-COLUMN($A$1), FALSE), VLOOKUP($A220,raw_lb[],COLUMN(AE$1)-COLUMN($A$1),FALSE))</f>
        <v>4.9070569390326181E-4</v>
      </c>
      <c r="AE220" s="72">
        <f>IF(VLOOKUP($A220,raw_lb[],COLUMN(AF$1)-COLUMN($A$1),FALSE)=0, VLOOKUP($D220, regions_lb[], COLUMN(AF$1)-COLUMN($A$1), FALSE), VLOOKUP($A220,raw_lb[],COLUMN(AF$1)-COLUMN($A$1),FALSE))</f>
        <v>2.1444712448363674E-4</v>
      </c>
      <c r="AF220" s="72">
        <f>IF(VLOOKUP($A220,raw_lb[],COLUMN(AG$1)-COLUMN($A$1),FALSE)=0, VLOOKUP($D220, regions_lb[], COLUMN(AG$1)-COLUMN($A$1), FALSE), VLOOKUP($A220,raw_lb[],COLUMN(AG$1)-COLUMN($A$1),FALSE))</f>
        <v>1.6767244707217139E-4</v>
      </c>
      <c r="AG220" s="72">
        <f>IF(VLOOKUP($A220,raw_lb[],COLUMN(AH$1)-COLUMN($A$1),FALSE)=0, VLOOKUP($D220, regions_lb[], COLUMN(AH$1)-COLUMN($A$1), FALSE), VLOOKUP($A220,raw_lb[],COLUMN(AH$1)-COLUMN($A$1),FALSE))</f>
        <v>3.916121812267729E-4</v>
      </c>
      <c r="AH220" s="72">
        <f>IF(VLOOKUP($A220,raw_lb[],COLUMN(AI$1)-COLUMN($A$1),FALSE)=0, VLOOKUP($D220, regions_lb[], COLUMN(AI$1)-COLUMN($A$1), FALSE), VLOOKUP($A220,raw_lb[],COLUMN(AI$1)-COLUMN($A$1),FALSE))</f>
        <v>5.3046595858423969E-4</v>
      </c>
      <c r="AI220" s="72">
        <f>IF(VLOOKUP($A220,raw_lb[],COLUMN(AJ$1)-COLUMN($A$1),FALSE)=0, VLOOKUP($D220, regions_lb[], COLUMN(AJ$1)-COLUMN($A$1), FALSE), VLOOKUP($A220,raw_lb[],COLUMN(AJ$1)-COLUMN($A$1),FALSE))</f>
        <v>7.9779275812687635E-4</v>
      </c>
      <c r="AJ220" s="72">
        <f>IF(VLOOKUP($A220,raw_lb[],COLUMN(AK$1)-COLUMN($A$1),FALSE)=0, VLOOKUP($D220, regions_lb[], COLUMN(AK$1)-COLUMN($A$1), FALSE), VLOOKUP($A220,raw_lb[],COLUMN(AK$1)-COLUMN($A$1),FALSE))</f>
        <v>1.2265838923937525E-3</v>
      </c>
      <c r="AK220" s="72">
        <f>IF(VLOOKUP($A220,raw_lb[],COLUMN(AL$1)-COLUMN($A$1),FALSE)=0, VLOOKUP($D220, regions_lb[], COLUMN(AL$1)-COLUMN($A$1), FALSE), VLOOKUP($A220,raw_lb[],COLUMN(AL$1)-COLUMN($A$1),FALSE))</f>
        <v>2.1935378834641124E-3</v>
      </c>
      <c r="AL220" s="72">
        <f>IF(VLOOKUP($A220,raw_lb[],COLUMN(AM$1)-COLUMN($A$1),FALSE)=0, VLOOKUP($D220, regions_lb[], COLUMN(AM$1)-COLUMN($A$1), FALSE), VLOOKUP($A220,raw_lb[],COLUMN(AM$1)-COLUMN($A$1),FALSE))</f>
        <v>3.0848464685099795E-3</v>
      </c>
      <c r="AM220" s="72">
        <f>IF(VLOOKUP($A220,raw_lb[],COLUMN(AN$1)-COLUMN($A$1),FALSE)=0, VLOOKUP($D220, regions_lb[], COLUMN(AN$1)-COLUMN($A$1), FALSE), VLOOKUP($A220,raw_lb[],COLUMN(AN$1)-COLUMN($A$1),FALSE))</f>
        <v>5.4709328944127266E-3</v>
      </c>
      <c r="AN220" s="72">
        <f>IF(VLOOKUP($A220,raw_lb[],COLUMN(AO$1)-COLUMN($A$1),FALSE)=0, VLOOKUP($D220, regions_lb[], COLUMN(AO$1)-COLUMN($A$1), FALSE), VLOOKUP($A220,raw_lb[],COLUMN(AO$1)-COLUMN($A$1),FALSE))</f>
        <v>8.1243798531169704E-3</v>
      </c>
      <c r="AO220" s="72">
        <f>IF(VLOOKUP($A220,raw_lb[],COLUMN(AP$1)-COLUMN($A$1),FALSE)=0, VLOOKUP($D220, regions_lb[], COLUMN(AP$1)-COLUMN($A$1), FALSE), VLOOKUP($A220,raw_lb[],COLUMN(AP$1)-COLUMN($A$1),FALSE))</f>
        <v>1.2180832134898763E-2</v>
      </c>
      <c r="AP220" s="72">
        <f>IF(VLOOKUP($A220,raw_lb[],COLUMN(AQ$1)-COLUMN($A$1),FALSE)=0, VLOOKUP($D220, regions_lb[], COLUMN(AQ$1)-COLUMN($A$1), FALSE), VLOOKUP($A220,raw_lb[],COLUMN(AQ$1)-COLUMN($A$1),FALSE))</f>
        <v>2.0037179311686134E-2</v>
      </c>
      <c r="AQ220" s="72">
        <f>IF(VLOOKUP($A220,raw_lb[],COLUMN(AR$1)-COLUMN($A$1),FALSE)=0, VLOOKUP($D220, regions_lb[], COLUMN(AR$1)-COLUMN($A$1), FALSE), VLOOKUP($A220,raw_lb[],COLUMN(AR$1)-COLUMN($A$1),FALSE))</f>
        <v>2.600372432669678E-2</v>
      </c>
      <c r="AR220" s="72">
        <f>IF(VLOOKUP($A220,raw_lb[],COLUMN(AS$1)-COLUMN($A$1),FALSE)=0, VLOOKUP($D220, regions_lb[], COLUMN(AS$1)-COLUMN($A$1), FALSE), VLOOKUP($A220,raw_lb[],COLUMN(AS$1)-COLUMN($A$1),FALSE))</f>
        <v>4.0310558335660829E-2</v>
      </c>
      <c r="AS220" s="82">
        <f>IF(VLOOKUP($A220,raw_lb[],COLUMN(AS$1),FALSE)=0, VLOOKUP($D220, regions_lb[], COLUMN(AS$1), FALSE), VLOOKUP($A220,raw_lb[],COLUMN(AS$1),FALSE))</f>
        <v>6.0562429311274202E-2</v>
      </c>
      <c r="AT220" s="82">
        <f>IF(VLOOKUP($A220,raw_lb[],COLUMN(AT$1),FALSE)=0, VLOOKUP($D220, regions_lb[], COLUMN(AT$1), FALSE), VLOOKUP($A220,raw_lb[],COLUMN(AT$1),FALSE))</f>
        <v>8.7519550326657244E-2</v>
      </c>
      <c r="AU220" s="82">
        <f>IF(VLOOKUP($A220,raw_lb[],COLUMN(AU$1),FALSE)=0, VLOOKUP($D220, regions_lb[], COLUMN(AU$1), FALSE), VLOOKUP($A220,raw_lb[],COLUMN(AU$1),FALSE))</f>
        <v>0.11769538150225735</v>
      </c>
      <c r="AV220" s="82">
        <f>IF(VLOOKUP($A220,raw_lb[],COLUMN(AV$1),FALSE)=0, VLOOKUP($D220, regions_lb[], COLUMN(AV$1), FALSE), VLOOKUP($A220,raw_lb[],COLUMN(AV$1),FALSE))</f>
        <v>0.14262414438552201</v>
      </c>
      <c r="AW220" s="82">
        <f>IF(VLOOKUP($A220,raw_lb[],COLUMN(AW$1),FALSE)=0, VLOOKUP($D220, regions_lb[], COLUMN(AW$1), FALSE), VLOOKUP($A220,raw_lb[],COLUMN(AW$1),FALSE))</f>
        <v>0.16449709277903463</v>
      </c>
      <c r="AX220" s="82">
        <f>IF(VLOOKUP($A220,raw_lb[],COLUMN(AX$1),FALSE)=0, VLOOKUP($D220, regions_lb[], COLUMN(AX$1), FALSE), VLOOKUP($A220,raw_lb[],COLUMN(AX$1),FALSE))</f>
        <v>68.099799999999988</v>
      </c>
      <c r="AY220" t="str">
        <f t="shared" si="7"/>
        <v>No</v>
      </c>
    </row>
    <row r="221" spans="1:51" x14ac:dyDescent="0.25">
      <c r="A221" s="55" t="s">
        <v>386</v>
      </c>
      <c r="B221" s="56" t="s">
        <v>387</v>
      </c>
      <c r="C221" s="56">
        <v>496</v>
      </c>
      <c r="D221" s="56" t="s">
        <v>260</v>
      </c>
      <c r="E221" s="56" t="s">
        <v>220</v>
      </c>
      <c r="F221" s="56" t="s">
        <v>203</v>
      </c>
      <c r="G221" s="56" t="s">
        <v>212</v>
      </c>
      <c r="H221" s="74"/>
      <c r="I221" s="74"/>
      <c r="J221" s="67">
        <f>IF(VLOOKUP($A221,raw_lb[],COLUMN(J$1),FALSE)=0, VLOOKUP($D221, regions_lb[], COLUMN(J$1), FALSE), VLOOKUP($A221,raw_lb[],COLUMN(J$1),FALSE))</f>
        <v>0.93480000000000008</v>
      </c>
      <c r="K221" s="77">
        <f>VLOOKUP($A221, raw_lb[], 11, FALSE)</f>
        <v>0.93099999999999994</v>
      </c>
      <c r="L221" s="77">
        <f>VLOOKUP($A221, raw_lb[], 12, FALSE)</f>
        <v>0.91199999999999992</v>
      </c>
      <c r="M221" s="77">
        <f>IF(VLOOKUP($A221,raw_lb[],COLUMN(M$1),FALSE)=0, VLOOKUP($D221, regions_lb[], COLUMN(M$1), FALSE), VLOOKUP($A221,raw_lb[],COLUMN(M$1),FALSE))</f>
        <v>8.2299999999999998E-2</v>
      </c>
      <c r="N221" s="68">
        <f>IF(VLOOKUP($A221,raw_lb[],COLUMN(N$1),FALSE)=0, VLOOKUP($D221, regions_lb[], COLUMN(N$1), FALSE), VLOOKUP($A221,raw_lb[],COLUMN(N$1),FALSE))</f>
        <v>0.16309999999999999</v>
      </c>
      <c r="O221" s="67">
        <f>IF(VLOOKUP($A221,raw_lb[],COLUMN(O$1),FALSE)=0, VLOOKUP($D221, regions_lb[], COLUMN(O$1), FALSE), VLOOKUP($A221,raw_lb[],COLUMN(O$1),FALSE))</f>
        <v>0.7</v>
      </c>
      <c r="P221" s="68">
        <f>IF(VLOOKUP($A221,raw_lb[],COLUMN(P$1),FALSE)=0, VLOOKUP($D221, regions_lb[], COLUMN(P$1), FALSE), VLOOKUP($A221,raw_lb[],COLUMN(P$1),FALSE))</f>
        <v>0.05</v>
      </c>
      <c r="Q221" s="70">
        <f>IF(VLOOKUP($A221,raw_lb[],COLUMN(Q$1),FALSE)=0, VLOOKUP($D221, regions_lb[], COLUMN(Q$1), FALSE), VLOOKUP($A221,raw_lb[],COLUMN(Q$1),FALSE))</f>
        <v>0.94233643318192706</v>
      </c>
      <c r="R221" s="70">
        <f>IF(VLOOKUP($A221,raw_lb[],COLUMN(R$1),FALSE)=0, VLOOKUP($D221, regions_lb[], COLUMN(R$1), FALSE), VLOOKUP($A221,raw_lb[],COLUMN(R$1),FALSE))</f>
        <v>8.003236433181927</v>
      </c>
      <c r="S221" s="70">
        <f>IF(VLOOKUP($A221,raw_lb[],COLUMN(S$1),FALSE)=0, VLOOKUP($D221, regions_lb[], COLUMN(S$1), FALSE), VLOOKUP($A221,raw_lb[],COLUMN(S$1),FALSE))</f>
        <v>39.721579182318706</v>
      </c>
      <c r="T221" s="70">
        <f>IF(VLOOKUP($A221,raw_lb[],COLUMN(U$1)-COLUMN($A$1),FALSE)=0, VLOOKUP($D221, regions_lb[], COLUMN(U$1)-COLUMN($A$1), FALSE), VLOOKUP($A221,raw_lb[],COLUMN(U$1)-COLUMN($A$1),FALSE))</f>
        <v>41.021879263298544</v>
      </c>
      <c r="U221" s="70">
        <f>IF(VLOOKUP($A221,raw_lb[],COLUMN(V$1)-COLUMN($A$1),FALSE)=0, VLOOKUP($D221, regions_lb[], COLUMN(V$1)-COLUMN($A$1), FALSE), VLOOKUP($A221,raw_lb[],COLUMN(V$1)-COLUMN($A$1),FALSE))</f>
        <v>40.424808950954876</v>
      </c>
      <c r="V221" s="70">
        <f>IF(VLOOKUP($A221,raw_lb[],COLUMN(W$1)-COLUMN($A$1),FALSE)=0, VLOOKUP($D221, regions_lb[], COLUMN(W$1)-COLUMN($A$1), FALSE), VLOOKUP($A221,raw_lb[],COLUMN(W$1)-COLUMN($A$1),FALSE))</f>
        <v>3.2440489721940819</v>
      </c>
      <c r="W221" s="70">
        <f>IF(VLOOKUP($A221,raw_lb[],COLUMN(X$1)-COLUMN($A$1),FALSE)=0, VLOOKUP($D221, regions_lb[], COLUMN(X$1)-COLUMN($A$1), FALSE), VLOOKUP($A221,raw_lb[],COLUMN(X$1)-COLUMN($A$1),FALSE))</f>
        <v>7.1105489721940822</v>
      </c>
      <c r="X221" s="70">
        <f>IF(VLOOKUP($A221,raw_lb[],COLUMN(Y$1)-COLUMN($A$1),FALSE)=0, VLOOKUP($D221, regions_lb[], COLUMN(Y$1)-COLUMN($A$1), FALSE), VLOOKUP($A221,raw_lb[],COLUMN(Y$1)-COLUMN($A$1),FALSE))</f>
        <v>2.7660564280880218</v>
      </c>
      <c r="Y221" s="70">
        <f>IF(VLOOKUP($A221,raw_lb[],COLUMN(Z$1)-COLUMN($A$1),FALSE)=0, VLOOKUP($D221, regions_lb[], COLUMN(Z$1)-COLUMN($A$1), FALSE), VLOOKUP($A221,raw_lb[],COLUMN(Z$1)-COLUMN($A$1),FALSE))</f>
        <v>6.632556428088022</v>
      </c>
      <c r="Z221" s="70">
        <f>IF(VLOOKUP($A221,raw_lb[],COLUMN(AA$1)-COLUMN($A$1),FALSE)=0, VLOOKUP($D221, regions_lb[], COLUMN(AA$1)-COLUMN($A$1), FALSE), VLOOKUP($A221,raw_lb[],COLUMN(AA$1)-COLUMN($A$1),FALSE))</f>
        <v>6.6257222787364825</v>
      </c>
      <c r="AA221" s="70">
        <f>IF(VLOOKUP($A221,raw_lb[],COLUMN(AB$1)-COLUMN($A$1),FALSE)=0, VLOOKUP($D221, regions_lb[], COLUMN(AB$1)-COLUMN($A$1), FALSE), VLOOKUP($A221,raw_lb[],COLUMN(AB$1)-COLUMN($A$1),FALSE))</f>
        <v>3.4098184257530986</v>
      </c>
      <c r="AB221" s="70">
        <f>IF(VLOOKUP($A221,raw_lb[],COLUMN(AC$1)-COLUMN($A$1),FALSE)=0, VLOOKUP($D221, regions_lb[], COLUMN(AC$1)-COLUMN($A$1), FALSE), VLOOKUP($A221,raw_lb[],COLUMN(AC$1)-COLUMN($A$1),FALSE))</f>
        <v>7.2763184257530984</v>
      </c>
      <c r="AC221" s="72">
        <f>IF(VLOOKUP($A221,raw_lb[],COLUMN(AD$1)-COLUMN($A$1),FALSE)=0, VLOOKUP($D221, regions_lb[], COLUMN(AD$1)-COLUMN($A$1), FALSE), VLOOKUP($A221,raw_lb[],COLUMN(AD$1)-COLUMN($A$1),FALSE))</f>
        <v>1.7187076999999974E-2</v>
      </c>
      <c r="AD221" s="72">
        <f>IF(VLOOKUP($A221,raw_lb[],COLUMN(AE$1)-COLUMN($A$1),FALSE)=0, VLOOKUP($D221, regions_lb[], COLUMN(AE$1)-COLUMN($A$1), FALSE), VLOOKUP($A221,raw_lb[],COLUMN(AE$1)-COLUMN($A$1),FALSE))</f>
        <v>1.0346775341576111E-3</v>
      </c>
      <c r="AE221" s="72">
        <f>IF(VLOOKUP($A221,raw_lb[],COLUMN(AF$1)-COLUMN($A$1),FALSE)=0, VLOOKUP($D221, regions_lb[], COLUMN(AF$1)-COLUMN($A$1), FALSE), VLOOKUP($A221,raw_lb[],COLUMN(AF$1)-COLUMN($A$1),FALSE))</f>
        <v>3.4269282604917109E-4</v>
      </c>
      <c r="AF221" s="72">
        <f>IF(VLOOKUP($A221,raw_lb[],COLUMN(AG$1)-COLUMN($A$1),FALSE)=0, VLOOKUP($D221, regions_lb[], COLUMN(AG$1)-COLUMN($A$1), FALSE), VLOOKUP($A221,raw_lb[],COLUMN(AG$1)-COLUMN($A$1),FALSE))</f>
        <v>3.1910321579373618E-4</v>
      </c>
      <c r="AG221" s="72">
        <f>IF(VLOOKUP($A221,raw_lb[],COLUMN(AH$1)-COLUMN($A$1),FALSE)=0, VLOOKUP($D221, regions_lb[], COLUMN(AH$1)-COLUMN($A$1), FALSE), VLOOKUP($A221,raw_lb[],COLUMN(AH$1)-COLUMN($A$1),FALSE))</f>
        <v>4.9493929739430397E-4</v>
      </c>
      <c r="AH221" s="72">
        <f>IF(VLOOKUP($A221,raw_lb[],COLUMN(AI$1)-COLUMN($A$1),FALSE)=0, VLOOKUP($D221, regions_lb[], COLUMN(AI$1)-COLUMN($A$1), FALSE), VLOOKUP($A221,raw_lb[],COLUMN(AI$1)-COLUMN($A$1),FALSE))</f>
        <v>8.5619521564759291E-4</v>
      </c>
      <c r="AI221" s="72">
        <f>IF(VLOOKUP($A221,raw_lb[],COLUMN(AJ$1)-COLUMN($A$1),FALSE)=0, VLOOKUP($D221, regions_lb[], COLUMN(AJ$1)-COLUMN($A$1), FALSE), VLOOKUP($A221,raw_lb[],COLUMN(AJ$1)-COLUMN($A$1),FALSE))</f>
        <v>1.2240992648668591E-3</v>
      </c>
      <c r="AJ221" s="72">
        <f>IF(VLOOKUP($A221,raw_lb[],COLUMN(AK$1)-COLUMN($A$1),FALSE)=0, VLOOKUP($D221, regions_lb[], COLUMN(AK$1)-COLUMN($A$1), FALSE), VLOOKUP($A221,raw_lb[],COLUMN(AK$1)-COLUMN($A$1),FALSE))</f>
        <v>1.8498156968859254E-3</v>
      </c>
      <c r="AK221" s="72">
        <f>IF(VLOOKUP($A221,raw_lb[],COLUMN(AL$1)-COLUMN($A$1),FALSE)=0, VLOOKUP($D221, regions_lb[], COLUMN(AL$1)-COLUMN($A$1), FALSE), VLOOKUP($A221,raw_lb[],COLUMN(AL$1)-COLUMN($A$1),FALSE))</f>
        <v>2.6932097931661628E-3</v>
      </c>
      <c r="AL221" s="72">
        <f>IF(VLOOKUP($A221,raw_lb[],COLUMN(AM$1)-COLUMN($A$1),FALSE)=0, VLOOKUP($D221, regions_lb[], COLUMN(AM$1)-COLUMN($A$1), FALSE), VLOOKUP($A221,raw_lb[],COLUMN(AM$1)-COLUMN($A$1),FALSE))</f>
        <v>4.128238358177304E-3</v>
      </c>
      <c r="AM221" s="72">
        <f>IF(VLOOKUP($A221,raw_lb[],COLUMN(AN$1)-COLUMN($A$1),FALSE)=0, VLOOKUP($D221, regions_lb[], COLUMN(AN$1)-COLUMN($A$1), FALSE), VLOOKUP($A221,raw_lb[],COLUMN(AN$1)-COLUMN($A$1),FALSE))</f>
        <v>7.1013024209583067E-3</v>
      </c>
      <c r="AN221" s="72">
        <f>IF(VLOOKUP($A221,raw_lb[],COLUMN(AO$1)-COLUMN($A$1),FALSE)=0, VLOOKUP($D221, regions_lb[], COLUMN(AO$1)-COLUMN($A$1), FALSE), VLOOKUP($A221,raw_lb[],COLUMN(AO$1)-COLUMN($A$1),FALSE))</f>
        <v>1.0618014587171522E-2</v>
      </c>
      <c r="AO221" s="72">
        <f>IF(VLOOKUP($A221,raw_lb[],COLUMN(AP$1)-COLUMN($A$1),FALSE)=0, VLOOKUP($D221, regions_lb[], COLUMN(AP$1)-COLUMN($A$1), FALSE), VLOOKUP($A221,raw_lb[],COLUMN(AP$1)-COLUMN($A$1),FALSE))</f>
        <v>1.4397549207143971E-2</v>
      </c>
      <c r="AP221" s="72">
        <f>IF(VLOOKUP($A221,raw_lb[],COLUMN(AQ$1)-COLUMN($A$1),FALSE)=0, VLOOKUP($D221, regions_lb[], COLUMN(AQ$1)-COLUMN($A$1), FALSE), VLOOKUP($A221,raw_lb[],COLUMN(AQ$1)-COLUMN($A$1),FALSE))</f>
        <v>2.0216557051855641E-2</v>
      </c>
      <c r="AQ221" s="72">
        <f>IF(VLOOKUP($A221,raw_lb[],COLUMN(AR$1)-COLUMN($A$1),FALSE)=0, VLOOKUP($D221, regions_lb[], COLUMN(AR$1)-COLUMN($A$1), FALSE), VLOOKUP($A221,raw_lb[],COLUMN(AR$1)-COLUMN($A$1),FALSE))</f>
        <v>2.7565094646609514E-2</v>
      </c>
      <c r="AR221" s="72">
        <f>IF(VLOOKUP($A221,raw_lb[],COLUMN(AS$1)-COLUMN($A$1),FALSE)=0, VLOOKUP($D221, regions_lb[], COLUMN(AS$1)-COLUMN($A$1), FALSE), VLOOKUP($A221,raw_lb[],COLUMN(AS$1)-COLUMN($A$1),FALSE))</f>
        <v>4.3845330982583142E-2</v>
      </c>
      <c r="AS221" s="82">
        <f>IF(VLOOKUP($A221,raw_lb[],COLUMN(AS$1),FALSE)=0, VLOOKUP($D221, regions_lb[], COLUMN(AS$1), FALSE), VLOOKUP($A221,raw_lb[],COLUMN(AS$1),FALSE))</f>
        <v>6.2588998745244345E-2</v>
      </c>
      <c r="AT221" s="82">
        <f>IF(VLOOKUP($A221,raw_lb[],COLUMN(AT$1),FALSE)=0, VLOOKUP($D221, regions_lb[], COLUMN(AT$1), FALSE), VLOOKUP($A221,raw_lb[],COLUMN(AT$1),FALSE))</f>
        <v>8.5520990892157769E-2</v>
      </c>
      <c r="AU221" s="82">
        <f>IF(VLOOKUP($A221,raw_lb[],COLUMN(AU$1),FALSE)=0, VLOOKUP($D221, regions_lb[], COLUMN(AU$1), FALSE), VLOOKUP($A221,raw_lb[],COLUMN(AU$1),FALSE))</f>
        <v>0.11148821121680133</v>
      </c>
      <c r="AV221" s="82">
        <f>IF(VLOOKUP($A221,raw_lb[],COLUMN(AV$1),FALSE)=0, VLOOKUP($D221, regions_lb[], COLUMN(AV$1), FALSE), VLOOKUP($A221,raw_lb[],COLUMN(AV$1),FALSE))</f>
        <v>0.13643041704868589</v>
      </c>
      <c r="AW221" s="82">
        <f>IF(VLOOKUP($A221,raw_lb[],COLUMN(AW$1),FALSE)=0, VLOOKUP($D221, regions_lb[], COLUMN(AW$1), FALSE), VLOOKUP($A221,raw_lb[],COLUMN(AW$1),FALSE))</f>
        <v>0.15685835251538757</v>
      </c>
      <c r="AX221" s="82">
        <f>IF(VLOOKUP($A221,raw_lb[],COLUMN(AX$1),FALSE)=0, VLOOKUP($D221, regions_lb[], COLUMN(AX$1), FALSE), VLOOKUP($A221,raw_lb[],COLUMN(AX$1),FALSE))</f>
        <v>66.071550000000002</v>
      </c>
      <c r="AY221" t="str">
        <f t="shared" si="7"/>
        <v>No</v>
      </c>
    </row>
    <row r="222" spans="1:51" x14ac:dyDescent="0.25">
      <c r="A222" s="53" t="s">
        <v>388</v>
      </c>
      <c r="B222" s="54" t="s">
        <v>389</v>
      </c>
      <c r="C222" s="54">
        <v>499</v>
      </c>
      <c r="D222" s="54" t="s">
        <v>201</v>
      </c>
      <c r="E222" s="54" t="s">
        <v>202</v>
      </c>
      <c r="F222" s="54" t="s">
        <v>203</v>
      </c>
      <c r="G222" s="54" t="s">
        <v>204</v>
      </c>
      <c r="H222" s="73"/>
      <c r="I222" s="73"/>
      <c r="J222" s="67">
        <f>IF(VLOOKUP($A222,raw_lb[],COLUMN(J$1),FALSE)=0, VLOOKUP($D222, regions_lb[], COLUMN(J$1), FALSE), VLOOKUP($A222,raw_lb[],COLUMN(J$1),FALSE))</f>
        <v>0.93669999999999998</v>
      </c>
      <c r="K222" s="77">
        <f>VLOOKUP($A222, raw_lb[], 11, FALSE)</f>
        <v>0</v>
      </c>
      <c r="L222" s="77">
        <f>VLOOKUP($A222, raw_lb[], 12, FALSE)</f>
        <v>0.49399999999999999</v>
      </c>
      <c r="M222" s="77">
        <f>IF(VLOOKUP($A222,raw_lb[],COLUMN(M$1),FALSE)=0, VLOOKUP($D222, regions_lb[], COLUMN(M$1), FALSE), VLOOKUP($A222,raw_lb[],COLUMN(M$1),FALSE))</f>
        <v>8.6999999999999994E-3</v>
      </c>
      <c r="N222" s="68">
        <f>IF(VLOOKUP($A222,raw_lb[],COLUMN(N$1),FALSE)=0, VLOOKUP($D222, regions_lb[], COLUMN(N$1), FALSE), VLOOKUP($A222,raw_lb[],COLUMN(N$1),FALSE))</f>
        <v>0.16329999999999997</v>
      </c>
      <c r="O222" s="67">
        <f>IF(VLOOKUP($A222,raw_lb[],COLUMN(O$1),FALSE)=0, VLOOKUP($D222, regions_lb[], COLUMN(O$1), FALSE), VLOOKUP($A222,raw_lb[],COLUMN(O$1),FALSE))</f>
        <v>0.7</v>
      </c>
      <c r="P222" s="68">
        <f>IF(VLOOKUP($A222,raw_lb[],COLUMN(P$1),FALSE)=0, VLOOKUP($D222, regions_lb[], COLUMN(P$1), FALSE), VLOOKUP($A222,raw_lb[],COLUMN(P$1),FALSE))</f>
        <v>0.05</v>
      </c>
      <c r="Q222" s="70">
        <f>IF(VLOOKUP($A222,raw_lb[],COLUMN(Q$1),FALSE)=0, VLOOKUP($D222, regions_lb[], COLUMN(Q$1), FALSE), VLOOKUP($A222,raw_lb[],COLUMN(Q$1),FALSE))</f>
        <v>1.9406708167984812</v>
      </c>
      <c r="R222" s="70">
        <f>IF(VLOOKUP($A222,raw_lb[],COLUMN(R$1),FALSE)=0, VLOOKUP($D222, regions_lb[], COLUMN(R$1), FALSE), VLOOKUP($A222,raw_lb[],COLUMN(R$1),FALSE))</f>
        <v>9.0015708167984823</v>
      </c>
      <c r="S222" s="70">
        <f>IF(VLOOKUP($A222,raw_lb[],COLUMN(S$1),FALSE)=0, VLOOKUP($D222, regions_lb[], COLUMN(S$1), FALSE), VLOOKUP($A222,raw_lb[],COLUMN(S$1),FALSE))</f>
        <v>49.472366474957482</v>
      </c>
      <c r="T222" s="70">
        <f>IF(VLOOKUP($A222,raw_lb[],COLUMN(U$1)-COLUMN($A$1),FALSE)=0, VLOOKUP($D222, regions_lb[], COLUMN(U$1)-COLUMN($A$1), FALSE), VLOOKUP($A222,raw_lb[],COLUMN(U$1)-COLUMN($A$1),FALSE))</f>
        <v>55.328012386811046</v>
      </c>
      <c r="U222" s="70">
        <f>IF(VLOOKUP($A222,raw_lb[],COLUMN(V$1)-COLUMN($A$1),FALSE)=0, VLOOKUP($D222, regions_lb[], COLUMN(V$1)-COLUMN($A$1), FALSE), VLOOKUP($A222,raw_lb[],COLUMN(V$1)-COLUMN($A$1),FALSE))</f>
        <v>52.639223556674416</v>
      </c>
      <c r="V222" s="70">
        <f>IF(VLOOKUP($A222,raw_lb[],COLUMN(W$1)-COLUMN($A$1),FALSE)=0, VLOOKUP($D222, regions_lb[], COLUMN(W$1)-COLUMN($A$1), FALSE), VLOOKUP($A222,raw_lb[],COLUMN(W$1)-COLUMN($A$1),FALSE))</f>
        <v>3.0786430636259543</v>
      </c>
      <c r="W222" s="70">
        <f>IF(VLOOKUP($A222,raw_lb[],COLUMN(X$1)-COLUMN($A$1),FALSE)=0, VLOOKUP($D222, regions_lb[], COLUMN(X$1)-COLUMN($A$1), FALSE), VLOOKUP($A222,raw_lb[],COLUMN(X$1)-COLUMN($A$1),FALSE))</f>
        <v>6.9451430636259541</v>
      </c>
      <c r="X222" s="70">
        <f>IF(VLOOKUP($A222,raw_lb[],COLUMN(Y$1)-COLUMN($A$1),FALSE)=0, VLOOKUP($D222, regions_lb[], COLUMN(Y$1)-COLUMN($A$1), FALSE), VLOOKUP($A222,raw_lb[],COLUMN(Y$1)-COLUMN($A$1),FALSE))</f>
        <v>2.600860481871476</v>
      </c>
      <c r="Y222" s="70">
        <f>IF(VLOOKUP($A222,raw_lb[],COLUMN(Z$1)-COLUMN($A$1),FALSE)=0, VLOOKUP($D222, regions_lb[], COLUMN(Z$1)-COLUMN($A$1), FALSE), VLOOKUP($A222,raw_lb[],COLUMN(Z$1)-COLUMN($A$1),FALSE))</f>
        <v>6.4673604818714763</v>
      </c>
      <c r="Z222" s="70">
        <f>IF(VLOOKUP($A222,raw_lb[],COLUMN(AA$1)-COLUMN($A$1),FALSE)=0, VLOOKUP($D222, regions_lb[], COLUMN(AA$1)-COLUMN($A$1), FALSE), VLOOKUP($A222,raw_lb[],COLUMN(AA$1)-COLUMN($A$1),FALSE))</f>
        <v>6.4610068471399771</v>
      </c>
      <c r="AA222" s="70">
        <f>IF(VLOOKUP($A222,raw_lb[],COLUMN(AB$1)-COLUMN($A$1),FALSE)=0, VLOOKUP($D222, regions_lb[], COLUMN(AB$1)-COLUMN($A$1), FALSE), VLOOKUP($A222,raw_lb[],COLUMN(AB$1)-COLUMN($A$1),FALSE))</f>
        <v>3.2437646333572316</v>
      </c>
      <c r="AB222" s="70">
        <f>IF(VLOOKUP($A222,raw_lb[],COLUMN(AC$1)-COLUMN($A$1),FALSE)=0, VLOOKUP($D222, regions_lb[], COLUMN(AC$1)-COLUMN($A$1), FALSE), VLOOKUP($A222,raw_lb[],COLUMN(AC$1)-COLUMN($A$1),FALSE))</f>
        <v>7.1102646333572324</v>
      </c>
      <c r="AC222" s="72">
        <f>IF(VLOOKUP($A222,raw_lb[],COLUMN(AD$1)-COLUMN($A$1),FALSE)=0, VLOOKUP($D222, regions_lb[], COLUMN(AD$1)-COLUMN($A$1), FALSE), VLOOKUP($A222,raw_lb[],COLUMN(AD$1)-COLUMN($A$1),FALSE))</f>
        <v>2.6210405000000464E-3</v>
      </c>
      <c r="AD222" s="72">
        <f>IF(VLOOKUP($A222,raw_lb[],COLUMN(AE$1)-COLUMN($A$1),FALSE)=0, VLOOKUP($D222, regions_lb[], COLUMN(AE$1)-COLUMN($A$1), FALSE), VLOOKUP($A222,raw_lb[],COLUMN(AE$1)-COLUMN($A$1),FALSE))</f>
        <v>1.0429374540062592E-4</v>
      </c>
      <c r="AE222" s="72">
        <f>IF(VLOOKUP($A222,raw_lb[],COLUMN(AF$1)-COLUMN($A$1),FALSE)=0, VLOOKUP($D222, regions_lb[], COLUMN(AF$1)-COLUMN($A$1), FALSE), VLOOKUP($A222,raw_lb[],COLUMN(AF$1)-COLUMN($A$1),FALSE))</f>
        <v>1.2314889593689613E-4</v>
      </c>
      <c r="AF222" s="72">
        <f>IF(VLOOKUP($A222,raw_lb[],COLUMN(AG$1)-COLUMN($A$1),FALSE)=0, VLOOKUP($D222, regions_lb[], COLUMN(AG$1)-COLUMN($A$1), FALSE), VLOOKUP($A222,raw_lb[],COLUMN(AG$1)-COLUMN($A$1),FALSE))</f>
        <v>1.3386213083016766E-4</v>
      </c>
      <c r="AG222" s="72">
        <f>IF(VLOOKUP($A222,raw_lb[],COLUMN(AH$1)-COLUMN($A$1),FALSE)=0, VLOOKUP($D222, regions_lb[], COLUMN(AH$1)-COLUMN($A$1), FALSE), VLOOKUP($A222,raw_lb[],COLUMN(AH$1)-COLUMN($A$1),FALSE))</f>
        <v>2.4685270109297164E-4</v>
      </c>
      <c r="AH222" s="72">
        <f>IF(VLOOKUP($A222,raw_lb[],COLUMN(AI$1)-COLUMN($A$1),FALSE)=0, VLOOKUP($D222, regions_lb[], COLUMN(AI$1)-COLUMN($A$1), FALSE), VLOOKUP($A222,raw_lb[],COLUMN(AI$1)-COLUMN($A$1),FALSE))</f>
        <v>3.6586245624027012E-4</v>
      </c>
      <c r="AI222" s="72">
        <f>IF(VLOOKUP($A222,raw_lb[],COLUMN(AJ$1)-COLUMN($A$1),FALSE)=0, VLOOKUP($D222, regions_lb[], COLUMN(AJ$1)-COLUMN($A$1), FALSE), VLOOKUP($A222,raw_lb[],COLUMN(AJ$1)-COLUMN($A$1),FALSE))</f>
        <v>5.5664347295768441E-4</v>
      </c>
      <c r="AJ222" s="72">
        <f>IF(VLOOKUP($A222,raw_lb[],COLUMN(AK$1)-COLUMN($A$1),FALSE)=0, VLOOKUP($D222, regions_lb[], COLUMN(AK$1)-COLUMN($A$1), FALSE), VLOOKUP($A222,raw_lb[],COLUMN(AK$1)-COLUMN($A$1),FALSE))</f>
        <v>5.5427680249059462E-4</v>
      </c>
      <c r="AK222" s="72">
        <f>IF(VLOOKUP($A222,raw_lb[],COLUMN(AL$1)-COLUMN($A$1),FALSE)=0, VLOOKUP($D222, regions_lb[], COLUMN(AL$1)-COLUMN($A$1), FALSE), VLOOKUP($A222,raw_lb[],COLUMN(AL$1)-COLUMN($A$1),FALSE))</f>
        <v>9.2242188556577553E-4</v>
      </c>
      <c r="AL222" s="72">
        <f>IF(VLOOKUP($A222,raw_lb[],COLUMN(AM$1)-COLUMN($A$1),FALSE)=0, VLOOKUP($D222, regions_lb[], COLUMN(AM$1)-COLUMN($A$1), FALSE), VLOOKUP($A222,raw_lb[],COLUMN(AM$1)-COLUMN($A$1),FALSE))</f>
        <v>1.4316426674477287E-3</v>
      </c>
      <c r="AM222" s="72">
        <f>IF(VLOOKUP($A222,raw_lb[],COLUMN(AN$1)-COLUMN($A$1),FALSE)=0, VLOOKUP($D222, regions_lb[], COLUMN(AN$1)-COLUMN($A$1), FALSE), VLOOKUP($A222,raw_lb[],COLUMN(AN$1)-COLUMN($A$1),FALSE))</f>
        <v>2.4329816400606614E-3</v>
      </c>
      <c r="AN222" s="72">
        <f>IF(VLOOKUP($A222,raw_lb[],COLUMN(AO$1)-COLUMN($A$1),FALSE)=0, VLOOKUP($D222, regions_lb[], COLUMN(AO$1)-COLUMN($A$1), FALSE), VLOOKUP($A222,raw_lb[],COLUMN(AO$1)-COLUMN($A$1),FALSE))</f>
        <v>4.5430094714786892E-3</v>
      </c>
      <c r="AO222" s="72">
        <f>IF(VLOOKUP($A222,raw_lb[],COLUMN(AP$1)-COLUMN($A$1),FALSE)=0, VLOOKUP($D222, regions_lb[], COLUMN(AP$1)-COLUMN($A$1), FALSE), VLOOKUP($A222,raw_lb[],COLUMN(AP$1)-COLUMN($A$1),FALSE))</f>
        <v>8.1042670430410205E-3</v>
      </c>
      <c r="AP222" s="72">
        <f>IF(VLOOKUP($A222,raw_lb[],COLUMN(AQ$1)-COLUMN($A$1),FALSE)=0, VLOOKUP($D222, regions_lb[], COLUMN(AQ$1)-COLUMN($A$1), FALSE), VLOOKUP($A222,raw_lb[],COLUMN(AQ$1)-COLUMN($A$1),FALSE))</f>
        <v>1.2155327883148249E-2</v>
      </c>
      <c r="AQ222" s="72">
        <f>IF(VLOOKUP($A222,raw_lb[],COLUMN(AR$1)-COLUMN($A$1),FALSE)=0, VLOOKUP($D222, regions_lb[], COLUMN(AR$1)-COLUMN($A$1), FALSE), VLOOKUP($A222,raw_lb[],COLUMN(AR$1)-COLUMN($A$1),FALSE))</f>
        <v>2.0126847256531098E-2</v>
      </c>
      <c r="AR222" s="72">
        <f>IF(VLOOKUP($A222,raw_lb[],COLUMN(AS$1)-COLUMN($A$1),FALSE)=0, VLOOKUP($D222, regions_lb[], COLUMN(AS$1)-COLUMN($A$1), FALSE), VLOOKUP($A222,raw_lb[],COLUMN(AS$1)-COLUMN($A$1),FALSE))</f>
        <v>2.9426599249038326E-2</v>
      </c>
      <c r="AS222" s="82">
        <f>IF(VLOOKUP($A222,raw_lb[],COLUMN(AS$1),FALSE)=0, VLOOKUP($D222, regions_lb[], COLUMN(AS$1), FALSE), VLOOKUP($A222,raw_lb[],COLUMN(AS$1),FALSE))</f>
        <v>4.887883261272255E-2</v>
      </c>
      <c r="AT222" s="82">
        <f>IF(VLOOKUP($A222,raw_lb[],COLUMN(AT$1),FALSE)=0, VLOOKUP($D222, regions_lb[], COLUMN(AT$1), FALSE), VLOOKUP($A222,raw_lb[],COLUMN(AT$1),FALSE))</f>
        <v>7.7063946051068116E-2</v>
      </c>
      <c r="AU222" s="82">
        <f>IF(VLOOKUP($A222,raw_lb[],COLUMN(AU$1),FALSE)=0, VLOOKUP($D222, regions_lb[], COLUMN(AU$1), FALSE), VLOOKUP($A222,raw_lb[],COLUMN(AU$1),FALSE))</f>
        <v>0.1117260127560994</v>
      </c>
      <c r="AV222" s="82">
        <f>IF(VLOOKUP($A222,raw_lb[],COLUMN(AV$1),FALSE)=0, VLOOKUP($D222, regions_lb[], COLUMN(AV$1), FALSE), VLOOKUP($A222,raw_lb[],COLUMN(AV$1),FALSE))</f>
        <v>0.1479933124985566</v>
      </c>
      <c r="AW222" s="82">
        <f>IF(VLOOKUP($A222,raw_lb[],COLUMN(AW$1),FALSE)=0, VLOOKUP($D222, regions_lb[], COLUMN(AW$1), FALSE), VLOOKUP($A222,raw_lb[],COLUMN(AW$1),FALSE))</f>
        <v>0.17016617947094131</v>
      </c>
      <c r="AX222" s="82">
        <f>IF(VLOOKUP($A222,raw_lb[],COLUMN(AX$1),FALSE)=0, VLOOKUP($D222, regions_lb[], COLUMN(AX$1), FALSE), VLOOKUP($A222,raw_lb[],COLUMN(AX$1),FALSE))</f>
        <v>72.819400000000002</v>
      </c>
      <c r="AY222" t="str">
        <f t="shared" si="7"/>
        <v>Yes</v>
      </c>
    </row>
    <row r="223" spans="1:51" x14ac:dyDescent="0.25">
      <c r="A223" s="55" t="s">
        <v>390</v>
      </c>
      <c r="B223" s="56" t="s">
        <v>391</v>
      </c>
      <c r="C223" s="56">
        <v>504</v>
      </c>
      <c r="D223" s="56" t="s">
        <v>196</v>
      </c>
      <c r="E223" s="56" t="s">
        <v>197</v>
      </c>
      <c r="F223" s="56" t="s">
        <v>197</v>
      </c>
      <c r="G223" s="56" t="s">
        <v>212</v>
      </c>
      <c r="H223" s="74"/>
      <c r="I223" s="74"/>
      <c r="J223" s="67">
        <f>IF(VLOOKUP($A223,raw_lb[],COLUMN(J$1),FALSE)=0, VLOOKUP($D223, regions_lb[], COLUMN(J$1), FALSE), VLOOKUP($A223,raw_lb[],COLUMN(J$1),FALSE))</f>
        <v>0.81794999999999995</v>
      </c>
      <c r="K223" s="77">
        <f>VLOOKUP($A223, raw_lb[], 11, FALSE)</f>
        <v>0.38949999999999996</v>
      </c>
      <c r="L223" s="77">
        <f>VLOOKUP($A223, raw_lb[], 12, FALSE)</f>
        <v>0.9405</v>
      </c>
      <c r="M223" s="77">
        <f>IF(VLOOKUP($A223,raw_lb[],COLUMN(M$1),FALSE)=0, VLOOKUP($D223, regions_lb[], COLUMN(M$1), FALSE), VLOOKUP($A223,raw_lb[],COLUMN(M$1),FALSE))</f>
        <v>1.21E-2</v>
      </c>
      <c r="N223" s="68">
        <f>IF(VLOOKUP($A223,raw_lb[],COLUMN(N$1),FALSE)=0, VLOOKUP($D223, regions_lb[], COLUMN(N$1), FALSE), VLOOKUP($A223,raw_lb[],COLUMN(N$1),FALSE))</f>
        <v>0.14980000000000002</v>
      </c>
      <c r="O223" s="67">
        <f>IF(VLOOKUP($A223,raw_lb[],COLUMN(O$1),FALSE)=0, VLOOKUP($D223, regions_lb[], COLUMN(O$1), FALSE), VLOOKUP($A223,raw_lb[],COLUMN(O$1),FALSE))</f>
        <v>0.7</v>
      </c>
      <c r="P223" s="68">
        <f>IF(VLOOKUP($A223,raw_lb[],COLUMN(P$1),FALSE)=0, VLOOKUP($D223, regions_lb[], COLUMN(P$1), FALSE), VLOOKUP($A223,raw_lb[],COLUMN(P$1),FALSE))</f>
        <v>0.05</v>
      </c>
      <c r="Q223" s="70">
        <f>IF(VLOOKUP($A223,raw_lb[],COLUMN(Q$1),FALSE)=0, VLOOKUP($D223, regions_lb[], COLUMN(Q$1), FALSE), VLOOKUP($A223,raw_lb[],COLUMN(Q$1),FALSE))</f>
        <v>1.3728965435978</v>
      </c>
      <c r="R223" s="70">
        <f>IF(VLOOKUP($A223,raw_lb[],COLUMN(R$1),FALSE)=0, VLOOKUP($D223, regions_lb[], COLUMN(R$1), FALSE), VLOOKUP($A223,raw_lb[],COLUMN(R$1),FALSE))</f>
        <v>8.4337965435978006</v>
      </c>
      <c r="S223" s="70">
        <f>IF(VLOOKUP($A223,raw_lb[],COLUMN(S$1),FALSE)=0, VLOOKUP($D223, regions_lb[], COLUMN(S$1), FALSE), VLOOKUP($A223,raw_lb[],COLUMN(S$1),FALSE))</f>
        <v>42.392043882635825</v>
      </c>
      <c r="T223" s="70">
        <f>IF(VLOOKUP($A223,raw_lb[],COLUMN(U$1)-COLUMN($A$1),FALSE)=0, VLOOKUP($D223, regions_lb[], COLUMN(U$1)-COLUMN($A$1), FALSE), VLOOKUP($A223,raw_lb[],COLUMN(U$1)-COLUMN($A$1),FALSE))</f>
        <v>44.858136015423618</v>
      </c>
      <c r="U223" s="70">
        <f>IF(VLOOKUP($A223,raw_lb[],COLUMN(V$1)-COLUMN($A$1),FALSE)=0, VLOOKUP($D223, regions_lb[], COLUMN(V$1)-COLUMN($A$1), FALSE), VLOOKUP($A223,raw_lb[],COLUMN(V$1)-COLUMN($A$1),FALSE))</f>
        <v>43.725758634594477</v>
      </c>
      <c r="V223" s="70">
        <f>IF(VLOOKUP($A223,raw_lb[],COLUMN(W$1)-COLUMN($A$1),FALSE)=0, VLOOKUP($D223, regions_lb[], COLUMN(W$1)-COLUMN($A$1), FALSE), VLOOKUP($A223,raw_lb[],COLUMN(W$1)-COLUMN($A$1),FALSE))</f>
        <v>1.8461401518215967</v>
      </c>
      <c r="W223" s="70">
        <f>IF(VLOOKUP($A223,raw_lb[],COLUMN(X$1)-COLUMN($A$1),FALSE)=0, VLOOKUP($D223, regions_lb[], COLUMN(X$1)-COLUMN($A$1), FALSE), VLOOKUP($A223,raw_lb[],COLUMN(X$1)-COLUMN($A$1),FALSE))</f>
        <v>2.3021401518215967</v>
      </c>
      <c r="X223" s="70">
        <f>IF(VLOOKUP($A223,raw_lb[],COLUMN(Y$1)-COLUMN($A$1),FALSE)=0, VLOOKUP($D223, regions_lb[], COLUMN(Y$1)-COLUMN($A$1), FALSE), VLOOKUP($A223,raw_lb[],COLUMN(Y$1)-COLUMN($A$1),FALSE))</f>
        <v>1.3708647690453837</v>
      </c>
      <c r="Y223" s="70">
        <f>IF(VLOOKUP($A223,raw_lb[],COLUMN(Z$1)-COLUMN($A$1),FALSE)=0, VLOOKUP($D223, regions_lb[], COLUMN(Z$1)-COLUMN($A$1), FALSE), VLOOKUP($A223,raw_lb[],COLUMN(Z$1)-COLUMN($A$1),FALSE))</f>
        <v>1.8268647690453836</v>
      </c>
      <c r="Z223" s="70">
        <f>IF(VLOOKUP($A223,raw_lb[],COLUMN(AA$1)-COLUMN($A$1),FALSE)=0, VLOOKUP($D223, regions_lb[], COLUMN(AA$1)-COLUMN($A$1), FALSE), VLOOKUP($A223,raw_lb[],COLUMN(AA$1)-COLUMN($A$1),FALSE))</f>
        <v>1.8219646841844102</v>
      </c>
      <c r="AA223" s="70">
        <f>IF(VLOOKUP($A223,raw_lb[],COLUMN(AB$1)-COLUMN($A$1),FALSE)=0, VLOOKUP($D223, regions_lb[], COLUMN(AB$1)-COLUMN($A$1), FALSE), VLOOKUP($A223,raw_lb[],COLUMN(AB$1)-COLUMN($A$1),FALSE))</f>
        <v>2.003525221848514</v>
      </c>
      <c r="AB223" s="70">
        <f>IF(VLOOKUP($A223,raw_lb[],COLUMN(AC$1)-COLUMN($A$1),FALSE)=0, VLOOKUP($D223, regions_lb[], COLUMN(AC$1)-COLUMN($A$1), FALSE), VLOOKUP($A223,raw_lb[],COLUMN(AC$1)-COLUMN($A$1),FALSE))</f>
        <v>2.459525221848514</v>
      </c>
      <c r="AC223" s="72">
        <f>IF(VLOOKUP($A223,raw_lb[],COLUMN(AD$1)-COLUMN($A$1),FALSE)=0, VLOOKUP($D223, regions_lb[], COLUMN(AD$1)-COLUMN($A$1), FALSE), VLOOKUP($A223,raw_lb[],COLUMN(AD$1)-COLUMN($A$1),FALSE))</f>
        <v>1.8875293500000064E-2</v>
      </c>
      <c r="AD223" s="72">
        <f>IF(VLOOKUP($A223,raw_lb[],COLUMN(AE$1)-COLUMN($A$1),FALSE)=0, VLOOKUP($D223, regions_lb[], COLUMN(AE$1)-COLUMN($A$1), FALSE), VLOOKUP($A223,raw_lb[],COLUMN(AE$1)-COLUMN($A$1),FALSE))</f>
        <v>8.5650414969413698E-4</v>
      </c>
      <c r="AE223" s="72">
        <f>IF(VLOOKUP($A223,raw_lb[],COLUMN(AF$1)-COLUMN($A$1),FALSE)=0, VLOOKUP($D223, regions_lb[], COLUMN(AF$1)-COLUMN($A$1), FALSE), VLOOKUP($A223,raw_lb[],COLUMN(AF$1)-COLUMN($A$1),FALSE))</f>
        <v>3.9984769965251197E-4</v>
      </c>
      <c r="AF223" s="72">
        <f>IF(VLOOKUP($A223,raw_lb[],COLUMN(AG$1)-COLUMN($A$1),FALSE)=0, VLOOKUP($D223, regions_lb[], COLUMN(AG$1)-COLUMN($A$1), FALSE), VLOOKUP($A223,raw_lb[],COLUMN(AG$1)-COLUMN($A$1),FALSE))</f>
        <v>2.4296351582322627E-4</v>
      </c>
      <c r="AG223" s="72">
        <f>IF(VLOOKUP($A223,raw_lb[],COLUMN(AH$1)-COLUMN($A$1),FALSE)=0, VLOOKUP($D223, regions_lb[], COLUMN(AH$1)-COLUMN($A$1), FALSE), VLOOKUP($A223,raw_lb[],COLUMN(AH$1)-COLUMN($A$1),FALSE))</f>
        <v>3.9420558930539746E-4</v>
      </c>
      <c r="AH223" s="72">
        <f>IF(VLOOKUP($A223,raw_lb[],COLUMN(AI$1)-COLUMN($A$1),FALSE)=0, VLOOKUP($D223, regions_lb[], COLUMN(AI$1)-COLUMN($A$1), FALSE), VLOOKUP($A223,raw_lb[],COLUMN(AI$1)-COLUMN($A$1),FALSE))</f>
        <v>5.7432954523667845E-4</v>
      </c>
      <c r="AI223" s="72">
        <f>IF(VLOOKUP($A223,raw_lb[],COLUMN(AJ$1)-COLUMN($A$1),FALSE)=0, VLOOKUP($D223, regions_lb[], COLUMN(AJ$1)-COLUMN($A$1), FALSE), VLOOKUP($A223,raw_lb[],COLUMN(AJ$1)-COLUMN($A$1),FALSE))</f>
        <v>6.3552315196445071E-4</v>
      </c>
      <c r="AJ223" s="72">
        <f>IF(VLOOKUP($A223,raw_lb[],COLUMN(AK$1)-COLUMN($A$1),FALSE)=0, VLOOKUP($D223, regions_lb[], COLUMN(AK$1)-COLUMN($A$1), FALSE), VLOOKUP($A223,raw_lb[],COLUMN(AK$1)-COLUMN($A$1),FALSE))</f>
        <v>7.0574568938854671E-4</v>
      </c>
      <c r="AK223" s="72">
        <f>IF(VLOOKUP($A223,raw_lb[],COLUMN(AL$1)-COLUMN($A$1),FALSE)=0, VLOOKUP($D223, regions_lb[], COLUMN(AL$1)-COLUMN($A$1), FALSE), VLOOKUP($A223,raw_lb[],COLUMN(AL$1)-COLUMN($A$1),FALSE))</f>
        <v>9.5137129687938382E-4</v>
      </c>
      <c r="AL223" s="72">
        <f>IF(VLOOKUP($A223,raw_lb[],COLUMN(AM$1)-COLUMN($A$1),FALSE)=0, VLOOKUP($D223, regions_lb[], COLUMN(AM$1)-COLUMN($A$1), FALSE), VLOOKUP($A223,raw_lb[],COLUMN(AM$1)-COLUMN($A$1),FALSE))</f>
        <v>1.2642595670064691E-3</v>
      </c>
      <c r="AM223" s="72">
        <f>IF(VLOOKUP($A223,raw_lb[],COLUMN(AN$1)-COLUMN($A$1),FALSE)=0, VLOOKUP($D223, regions_lb[], COLUMN(AN$1)-COLUMN($A$1), FALSE), VLOOKUP($A223,raw_lb[],COLUMN(AN$1)-COLUMN($A$1),FALSE))</f>
        <v>1.8054080828093112E-3</v>
      </c>
      <c r="AN223" s="72">
        <f>IF(VLOOKUP($A223,raw_lb[],COLUMN(AO$1)-COLUMN($A$1),FALSE)=0, VLOOKUP($D223, regions_lb[], COLUMN(AO$1)-COLUMN($A$1), FALSE), VLOOKUP($A223,raw_lb[],COLUMN(AO$1)-COLUMN($A$1),FALSE))</f>
        <v>2.7577877378462635E-3</v>
      </c>
      <c r="AO223" s="72">
        <f>IF(VLOOKUP($A223,raw_lb[],COLUMN(AP$1)-COLUMN($A$1),FALSE)=0, VLOOKUP($D223, regions_lb[], COLUMN(AP$1)-COLUMN($A$1), FALSE), VLOOKUP($A223,raw_lb[],COLUMN(AP$1)-COLUMN($A$1),FALSE))</f>
        <v>4.283856273541534E-3</v>
      </c>
      <c r="AP223" s="72">
        <f>IF(VLOOKUP($A223,raw_lb[],COLUMN(AQ$1)-COLUMN($A$1),FALSE)=0, VLOOKUP($D223, regions_lb[], COLUMN(AQ$1)-COLUMN($A$1), FALSE), VLOOKUP($A223,raw_lb[],COLUMN(AQ$1)-COLUMN($A$1),FALSE))</f>
        <v>7.4320729215778588E-3</v>
      </c>
      <c r="AQ223" s="72">
        <f>IF(VLOOKUP($A223,raw_lb[],COLUMN(AR$1)-COLUMN($A$1),FALSE)=0, VLOOKUP($D223, regions_lb[], COLUMN(AR$1)-COLUMN($A$1), FALSE), VLOOKUP($A223,raw_lb[],COLUMN(AR$1)-COLUMN($A$1),FALSE))</f>
        <v>1.3213399071246024E-2</v>
      </c>
      <c r="AR223" s="72">
        <f>IF(VLOOKUP($A223,raw_lb[],COLUMN(AS$1)-COLUMN($A$1),FALSE)=0, VLOOKUP($D223, regions_lb[], COLUMN(AS$1)-COLUMN($A$1), FALSE), VLOOKUP($A223,raw_lb[],COLUMN(AS$1)-COLUMN($A$1),FALSE))</f>
        <v>2.6343554368299809E-2</v>
      </c>
      <c r="AS223" s="82">
        <f>IF(VLOOKUP($A223,raw_lb[],COLUMN(AS$1),FALSE)=0, VLOOKUP($D223, regions_lb[], COLUMN(AS$1), FALSE), VLOOKUP($A223,raw_lb[],COLUMN(AS$1),FALSE))</f>
        <v>4.467083794193033E-2</v>
      </c>
      <c r="AT223" s="82">
        <f>IF(VLOOKUP($A223,raw_lb[],COLUMN(AT$1),FALSE)=0, VLOOKUP($D223, regions_lb[], COLUMN(AT$1), FALSE), VLOOKUP($A223,raw_lb[],COLUMN(AT$1),FALSE))</f>
        <v>8.7399132494828988E-2</v>
      </c>
      <c r="AU223" s="82">
        <f>IF(VLOOKUP($A223,raw_lb[],COLUMN(AU$1),FALSE)=0, VLOOKUP($D223, regions_lb[], COLUMN(AU$1), FALSE), VLOOKUP($A223,raw_lb[],COLUMN(AU$1),FALSE))</f>
        <v>0.13239106888338972</v>
      </c>
      <c r="AV223" s="82">
        <f>IF(VLOOKUP($A223,raw_lb[],COLUMN(AV$1),FALSE)=0, VLOOKUP($D223, regions_lb[], COLUMN(AV$1), FALSE), VLOOKUP($A223,raw_lb[],COLUMN(AV$1),FALSE))</f>
        <v>0.16455770580630139</v>
      </c>
      <c r="AW223" s="82">
        <f>IF(VLOOKUP($A223,raw_lb[],COLUMN(AW$1),FALSE)=0, VLOOKUP($D223, regions_lb[], COLUMN(AW$1), FALSE), VLOOKUP($A223,raw_lb[],COLUMN(AW$1),FALSE))</f>
        <v>0.17516608604530076</v>
      </c>
      <c r="AX223" s="82">
        <f>IF(VLOOKUP($A223,raw_lb[],COLUMN(AX$1),FALSE)=0, VLOOKUP($D223, regions_lb[], COLUMN(AX$1), FALSE), VLOOKUP($A223,raw_lb[],COLUMN(AX$1),FALSE))</f>
        <v>72.513499999999993</v>
      </c>
      <c r="AY223" t="str">
        <f t="shared" si="7"/>
        <v>No</v>
      </c>
    </row>
    <row r="224" spans="1:51" x14ac:dyDescent="0.25">
      <c r="A224" s="53" t="s">
        <v>392</v>
      </c>
      <c r="B224" s="54" t="s">
        <v>393</v>
      </c>
      <c r="C224" s="54">
        <v>508</v>
      </c>
      <c r="D224" s="54" t="s">
        <v>207</v>
      </c>
      <c r="E224" s="54" t="s">
        <v>255</v>
      </c>
      <c r="F224" s="54" t="s">
        <v>211</v>
      </c>
      <c r="G224" s="54" t="s">
        <v>198</v>
      </c>
      <c r="H224" s="73"/>
      <c r="I224" s="73"/>
      <c r="J224" s="67">
        <f>IF(VLOOKUP($A224,raw_lb[],COLUMN(J$1),FALSE)=0, VLOOKUP($D224, regions_lb[], COLUMN(J$1), FALSE), VLOOKUP($A224,raw_lb[],COLUMN(J$1),FALSE))</f>
        <v>0.52059999999999995</v>
      </c>
      <c r="K224" s="77">
        <f>VLOOKUP($A224, raw_lb[], 11, FALSE)</f>
        <v>0</v>
      </c>
      <c r="L224" s="77">
        <f>VLOOKUP($A224, raw_lb[], 12, FALSE)</f>
        <v>0.75049999999999994</v>
      </c>
      <c r="M224" s="77">
        <f>IF(VLOOKUP($A224,raw_lb[],COLUMN(M$1),FALSE)=0, VLOOKUP($D224, regions_lb[], COLUMN(M$1), FALSE), VLOOKUP($A224,raw_lb[],COLUMN(M$1),FALSE))</f>
        <v>7.7000000000000002E-3</v>
      </c>
      <c r="N224" s="68">
        <f>IF(VLOOKUP($A224,raw_lb[],COLUMN(N$1),FALSE)=0, VLOOKUP($D224, regions_lb[], COLUMN(N$1), FALSE), VLOOKUP($A224,raw_lb[],COLUMN(N$1),FALSE))</f>
        <v>0.15560000000000002</v>
      </c>
      <c r="O224" s="67">
        <f>IF(VLOOKUP($A224,raw_lb[],COLUMN(O$1),FALSE)=0, VLOOKUP($D224, regions_lb[], COLUMN(O$1), FALSE), VLOOKUP($A224,raw_lb[],COLUMN(O$1),FALSE))</f>
        <v>7.0000000000000007E-2</v>
      </c>
      <c r="P224" s="68">
        <f>IF(VLOOKUP($A224,raw_lb[],COLUMN(P$1),FALSE)=0, VLOOKUP($D224, regions_lb[], COLUMN(P$1), FALSE), VLOOKUP($A224,raw_lb[],COLUMN(P$1),FALSE))</f>
        <v>1E-3</v>
      </c>
      <c r="Q224" s="70">
        <f>IF(VLOOKUP($A224,raw_lb[],COLUMN(Q$1),FALSE)=0, VLOOKUP($D224, regions_lb[], COLUMN(Q$1), FALSE), VLOOKUP($A224,raw_lb[],COLUMN(Q$1),FALSE))</f>
        <v>0.63224912280701806</v>
      </c>
      <c r="R224" s="70">
        <f>IF(VLOOKUP($A224,raw_lb[],COLUMN(R$1),FALSE)=0, VLOOKUP($D224, regions_lb[], COLUMN(R$1), FALSE), VLOOKUP($A224,raw_lb[],COLUMN(R$1),FALSE))</f>
        <v>7.6931491228070179</v>
      </c>
      <c r="S224" s="70">
        <f>IF(VLOOKUP($A224,raw_lb[],COLUMN(S$1),FALSE)=0, VLOOKUP($D224, regions_lb[], COLUMN(S$1), FALSE), VLOOKUP($A224,raw_lb[],COLUMN(S$1),FALSE))</f>
        <v>37.378351761893747</v>
      </c>
      <c r="T224" s="70">
        <f>IF(VLOOKUP($A224,raw_lb[],COLUMN(U$1)-COLUMN($A$1),FALSE)=0, VLOOKUP($D224, regions_lb[], COLUMN(U$1)-COLUMN($A$1), FALSE), VLOOKUP($A224,raw_lb[],COLUMN(U$1)-COLUMN($A$1),FALSE))</f>
        <v>37.620473476172343</v>
      </c>
      <c r="U224" s="70">
        <f>IF(VLOOKUP($A224,raw_lb[],COLUMN(V$1)-COLUMN($A$1),FALSE)=0, VLOOKUP($D224, regions_lb[], COLUMN(V$1)-COLUMN($A$1), FALSE), VLOOKUP($A224,raw_lb[],COLUMN(V$1)-COLUMN($A$1),FALSE))</f>
        <v>37.509296302776669</v>
      </c>
      <c r="V224" s="70">
        <f>IF(VLOOKUP($A224,raw_lb[],COLUMN(W$1)-COLUMN($A$1),FALSE)=0, VLOOKUP($D224, regions_lb[], COLUMN(W$1)-COLUMN($A$1), FALSE), VLOOKUP($A224,raw_lb[],COLUMN(W$1)-COLUMN($A$1),FALSE))</f>
        <v>0.87373397810293407</v>
      </c>
      <c r="W224" s="70">
        <f>IF(VLOOKUP($A224,raw_lb[],COLUMN(X$1)-COLUMN($A$1),FALSE)=0, VLOOKUP($D224, regions_lb[], COLUMN(X$1)-COLUMN($A$1), FALSE), VLOOKUP($A224,raw_lb[],COLUMN(X$1)-COLUMN($A$1),FALSE))</f>
        <v>5.4622339781029341</v>
      </c>
      <c r="X224" s="70">
        <f>IF(VLOOKUP($A224,raw_lb[],COLUMN(Y$1)-COLUMN($A$1),FALSE)=0, VLOOKUP($D224, regions_lb[], COLUMN(Y$1)-COLUMN($A$1), FALSE), VLOOKUP($A224,raw_lb[],COLUMN(Y$1)-COLUMN($A$1),FALSE))</f>
        <v>0.40420196097558214</v>
      </c>
      <c r="Y224" s="70">
        <f>IF(VLOOKUP($A224,raw_lb[],COLUMN(Z$1)-COLUMN($A$1),FALSE)=0, VLOOKUP($D224, regions_lb[], COLUMN(Z$1)-COLUMN($A$1), FALSE), VLOOKUP($A224,raw_lb[],COLUMN(Z$1)-COLUMN($A$1),FALSE))</f>
        <v>4.9927019609755821</v>
      </c>
      <c r="Z224" s="70">
        <f>IF(VLOOKUP($A224,raw_lb[],COLUMN(AA$1)-COLUMN($A$1),FALSE)=0, VLOOKUP($D224, regions_lb[], COLUMN(AA$1)-COLUMN($A$1), FALSE), VLOOKUP($A224,raw_lb[],COLUMN(AA$1)-COLUMN($A$1),FALSE))</f>
        <v>4.9917145662334939</v>
      </c>
      <c r="AA224" s="70">
        <f>IF(VLOOKUP($A224,raw_lb[],COLUMN(AB$1)-COLUMN($A$1),FALSE)=0, VLOOKUP($D224, regions_lb[], COLUMN(AB$1)-COLUMN($A$1), FALSE), VLOOKUP($A224,raw_lb[],COLUMN(AB$1)-COLUMN($A$1),FALSE))</f>
        <v>1.0133966626990805</v>
      </c>
      <c r="AB224" s="70">
        <f>IF(VLOOKUP($A224,raw_lb[],COLUMN(AC$1)-COLUMN($A$1),FALSE)=0, VLOOKUP($D224, regions_lb[], COLUMN(AC$1)-COLUMN($A$1), FALSE), VLOOKUP($A224,raw_lb[],COLUMN(AC$1)-COLUMN($A$1),FALSE))</f>
        <v>5.6018966626990805</v>
      </c>
      <c r="AC224" s="72">
        <f>IF(VLOOKUP($A224,raw_lb[],COLUMN(AD$1)-COLUMN($A$1),FALSE)=0, VLOOKUP($D224, regions_lb[], COLUMN(AD$1)-COLUMN($A$1), FALSE), VLOOKUP($A224,raw_lb[],COLUMN(AD$1)-COLUMN($A$1),FALSE))</f>
        <v>5.1220019500000054E-2</v>
      </c>
      <c r="AD224" s="72">
        <f>IF(VLOOKUP($A224,raw_lb[],COLUMN(AE$1)-COLUMN($A$1),FALSE)=0, VLOOKUP($D224, regions_lb[], COLUMN(AE$1)-COLUMN($A$1), FALSE), VLOOKUP($A224,raw_lb[],COLUMN(AE$1)-COLUMN($A$1),FALSE))</f>
        <v>4.856362466008444E-3</v>
      </c>
      <c r="AE224" s="72">
        <f>IF(VLOOKUP($A224,raw_lb[],COLUMN(AF$1)-COLUMN($A$1),FALSE)=0, VLOOKUP($D224, regions_lb[], COLUMN(AF$1)-COLUMN($A$1), FALSE), VLOOKUP($A224,raw_lb[],COLUMN(AF$1)-COLUMN($A$1),FALSE))</f>
        <v>1.3312215768755706E-3</v>
      </c>
      <c r="AF224" s="72">
        <f>IF(VLOOKUP($A224,raw_lb[],COLUMN(AG$1)-COLUMN($A$1),FALSE)=0, VLOOKUP($D224, regions_lb[], COLUMN(AG$1)-COLUMN($A$1), FALSE), VLOOKUP($A224,raw_lb[],COLUMN(AG$1)-COLUMN($A$1),FALSE))</f>
        <v>1.0401581021276709E-3</v>
      </c>
      <c r="AG224" s="72">
        <f>IF(VLOOKUP($A224,raw_lb[],COLUMN(AH$1)-COLUMN($A$1),FALSE)=0, VLOOKUP($D224, regions_lb[], COLUMN(AH$1)-COLUMN($A$1), FALSE), VLOOKUP($A224,raw_lb[],COLUMN(AH$1)-COLUMN($A$1),FALSE))</f>
        <v>1.6399982963431706E-3</v>
      </c>
      <c r="AH224" s="72">
        <f>IF(VLOOKUP($A224,raw_lb[],COLUMN(AI$1)-COLUMN($A$1),FALSE)=0, VLOOKUP($D224, regions_lb[], COLUMN(AI$1)-COLUMN($A$1), FALSE), VLOOKUP($A224,raw_lb[],COLUMN(AI$1)-COLUMN($A$1),FALSE))</f>
        <v>2.7221837874036228E-3</v>
      </c>
      <c r="AI224" s="72">
        <f>IF(VLOOKUP($A224,raw_lb[],COLUMN(AJ$1)-COLUMN($A$1),FALSE)=0, VLOOKUP($D224, regions_lb[], COLUMN(AJ$1)-COLUMN($A$1), FALSE), VLOOKUP($A224,raw_lb[],COLUMN(AJ$1)-COLUMN($A$1),FALSE))</f>
        <v>4.1707275307711475E-3</v>
      </c>
      <c r="AJ224" s="72">
        <f>IF(VLOOKUP($A224,raw_lb[],COLUMN(AK$1)-COLUMN($A$1),FALSE)=0, VLOOKUP($D224, regions_lb[], COLUMN(AK$1)-COLUMN($A$1), FALSE), VLOOKUP($A224,raw_lb[],COLUMN(AK$1)-COLUMN($A$1),FALSE))</f>
        <v>5.7643347459793888E-3</v>
      </c>
      <c r="AK224" s="72">
        <f>IF(VLOOKUP($A224,raw_lb[],COLUMN(AL$1)-COLUMN($A$1),FALSE)=0, VLOOKUP($D224, regions_lb[], COLUMN(AL$1)-COLUMN($A$1), FALSE), VLOOKUP($A224,raw_lb[],COLUMN(AL$1)-COLUMN($A$1),FALSE))</f>
        <v>7.9949510529019642E-3</v>
      </c>
      <c r="AL224" s="72">
        <f>IF(VLOOKUP($A224,raw_lb[],COLUMN(AM$1)-COLUMN($A$1),FALSE)=0, VLOOKUP($D224, regions_lb[], COLUMN(AM$1)-COLUMN($A$1), FALSE), VLOOKUP($A224,raw_lb[],COLUMN(AM$1)-COLUMN($A$1),FALSE))</f>
        <v>9.5782106750065647E-3</v>
      </c>
      <c r="AM224" s="72">
        <f>IF(VLOOKUP($A224,raw_lb[],COLUMN(AN$1)-COLUMN($A$1),FALSE)=0, VLOOKUP($D224, regions_lb[], COLUMN(AN$1)-COLUMN($A$1), FALSE), VLOOKUP($A224,raw_lb[],COLUMN(AN$1)-COLUMN($A$1),FALSE))</f>
        <v>1.1270090558925644E-2</v>
      </c>
      <c r="AN224" s="72">
        <f>IF(VLOOKUP($A224,raw_lb[],COLUMN(AO$1)-COLUMN($A$1),FALSE)=0, VLOOKUP($D224, regions_lb[], COLUMN(AO$1)-COLUMN($A$1), FALSE), VLOOKUP($A224,raw_lb[],COLUMN(AO$1)-COLUMN($A$1),FALSE))</f>
        <v>1.379266152660532E-2</v>
      </c>
      <c r="AO224" s="72">
        <f>IF(VLOOKUP($A224,raw_lb[],COLUMN(AP$1)-COLUMN($A$1),FALSE)=0, VLOOKUP($D224, regions_lb[], COLUMN(AP$1)-COLUMN($A$1), FALSE), VLOOKUP($A224,raw_lb[],COLUMN(AP$1)-COLUMN($A$1),FALSE))</f>
        <v>1.7059467830708774E-2</v>
      </c>
      <c r="AP224" s="72">
        <f>IF(VLOOKUP($A224,raw_lb[],COLUMN(AQ$1)-COLUMN($A$1),FALSE)=0, VLOOKUP($D224, regions_lb[], COLUMN(AQ$1)-COLUMN($A$1), FALSE), VLOOKUP($A224,raw_lb[],COLUMN(AQ$1)-COLUMN($A$1),FALSE))</f>
        <v>2.2998261987161421E-2</v>
      </c>
      <c r="AQ224" s="72">
        <f>IF(VLOOKUP($A224,raw_lb[],COLUMN(AR$1)-COLUMN($A$1),FALSE)=0, VLOOKUP($D224, regions_lb[], COLUMN(AR$1)-COLUMN($A$1), FALSE), VLOOKUP($A224,raw_lb[],COLUMN(AR$1)-COLUMN($A$1),FALSE))</f>
        <v>3.2626727217979108E-2</v>
      </c>
      <c r="AR224" s="72">
        <f>IF(VLOOKUP($A224,raw_lb[],COLUMN(AS$1)-COLUMN($A$1),FALSE)=0, VLOOKUP($D224, regions_lb[], COLUMN(AS$1)-COLUMN($A$1), FALSE), VLOOKUP($A224,raw_lb[],COLUMN(AS$1)-COLUMN($A$1),FALSE))</f>
        <v>4.7760692695172038E-2</v>
      </c>
      <c r="AS224" s="82">
        <f>IF(VLOOKUP($A224,raw_lb[],COLUMN(AS$1),FALSE)=0, VLOOKUP($D224, regions_lb[], COLUMN(AS$1), FALSE), VLOOKUP($A224,raw_lb[],COLUMN(AS$1),FALSE))</f>
        <v>6.9878922432894036E-2</v>
      </c>
      <c r="AT224" s="82">
        <f>IF(VLOOKUP($A224,raw_lb[],COLUMN(AT$1),FALSE)=0, VLOOKUP($D224, regions_lb[], COLUMN(AT$1), FALSE), VLOOKUP($A224,raw_lb[],COLUMN(AT$1),FALSE))</f>
        <v>0.10290583556713905</v>
      </c>
      <c r="AU224" s="82">
        <f>IF(VLOOKUP($A224,raw_lb[],COLUMN(AU$1),FALSE)=0, VLOOKUP($D224, regions_lb[], COLUMN(AU$1), FALSE), VLOOKUP($A224,raw_lb[],COLUMN(AU$1),FALSE))</f>
        <v>0.14062568220594418</v>
      </c>
      <c r="AV224" s="82">
        <f>IF(VLOOKUP($A224,raw_lb[],COLUMN(AV$1),FALSE)=0, VLOOKUP($D224, regions_lb[], COLUMN(AV$1), FALSE), VLOOKUP($A224,raw_lb[],COLUMN(AV$1),FALSE))</f>
        <v>0.16924857029673171</v>
      </c>
      <c r="AW224" s="82">
        <f>IF(VLOOKUP($A224,raw_lb[],COLUMN(AW$1),FALSE)=0, VLOOKUP($D224, regions_lb[], COLUMN(AW$1), FALSE), VLOOKUP($A224,raw_lb[],COLUMN(AW$1),FALSE))</f>
        <v>0.1787038569630241</v>
      </c>
      <c r="AX224" s="82">
        <f>IF(VLOOKUP($A224,raw_lb[],COLUMN(AX$1),FALSE)=0, VLOOKUP($D224, regions_lb[], COLUMN(AX$1), FALSE), VLOOKUP($A224,raw_lb[],COLUMN(AX$1),FALSE))</f>
        <v>57.051299999999998</v>
      </c>
      <c r="AY224" t="str">
        <f t="shared" si="7"/>
        <v>Yes</v>
      </c>
    </row>
    <row r="225" spans="1:51" x14ac:dyDescent="0.25">
      <c r="A225" s="55" t="s">
        <v>394</v>
      </c>
      <c r="B225" s="56" t="s">
        <v>395</v>
      </c>
      <c r="C225" s="56">
        <v>104</v>
      </c>
      <c r="D225" s="56" t="s">
        <v>225</v>
      </c>
      <c r="E225" s="56" t="s">
        <v>261</v>
      </c>
      <c r="F225" s="56" t="s">
        <v>262</v>
      </c>
      <c r="G225" s="56" t="s">
        <v>212</v>
      </c>
      <c r="H225" s="74"/>
      <c r="I225" s="74"/>
      <c r="J225" s="67">
        <f>IF(VLOOKUP($A225,raw_lb[],COLUMN(J$1),FALSE)=0, VLOOKUP($D225, regions_lb[], COLUMN(J$1), FALSE), VLOOKUP($A225,raw_lb[],COLUMN(J$1),FALSE))</f>
        <v>0.35244999999999999</v>
      </c>
      <c r="K225" s="77">
        <f>VLOOKUP($A225, raw_lb[], 11, FALSE)</f>
        <v>0.19949999999999998</v>
      </c>
      <c r="L225" s="77">
        <f>VLOOKUP($A225, raw_lb[], 12, FALSE)</f>
        <v>0.79799999999999993</v>
      </c>
      <c r="M225" s="77">
        <f>IF(VLOOKUP($A225,raw_lb[],COLUMN(M$1),FALSE)=0, VLOOKUP($D225, regions_lb[], COLUMN(M$1), FALSE), VLOOKUP($A225,raw_lb[],COLUMN(M$1),FALSE))</f>
        <v>4.5700000000000005E-2</v>
      </c>
      <c r="N225" s="68">
        <f>IF(VLOOKUP($A225,raw_lb[],COLUMN(N$1),FALSE)=0, VLOOKUP($D225, regions_lb[], COLUMN(N$1), FALSE), VLOOKUP($A225,raw_lb[],COLUMN(N$1),FALSE))</f>
        <v>0.18100000000000002</v>
      </c>
      <c r="O225" s="67">
        <f>IF(VLOOKUP($A225,raw_lb[],COLUMN(O$1),FALSE)=0, VLOOKUP($D225, regions_lb[], COLUMN(O$1), FALSE), VLOOKUP($A225,raw_lb[],COLUMN(O$1),FALSE))</f>
        <v>0.7</v>
      </c>
      <c r="P225" s="68">
        <f>IF(VLOOKUP($A225,raw_lb[],COLUMN(P$1),FALSE)=0, VLOOKUP($D225, regions_lb[], COLUMN(P$1), FALSE), VLOOKUP($A225,raw_lb[],COLUMN(P$1),FALSE))</f>
        <v>0.05</v>
      </c>
      <c r="Q225" s="70">
        <f>IF(VLOOKUP($A225,raw_lb[],COLUMN(Q$1),FALSE)=0, VLOOKUP($D225, regions_lb[], COLUMN(Q$1), FALSE), VLOOKUP($A225,raw_lb[],COLUMN(Q$1),FALSE))</f>
        <v>0.711777083333333</v>
      </c>
      <c r="R225" s="70">
        <f>IF(VLOOKUP($A225,raw_lb[],COLUMN(R$1),FALSE)=0, VLOOKUP($D225, regions_lb[], COLUMN(R$1), FALSE), VLOOKUP($A225,raw_lb[],COLUMN(R$1),FALSE))</f>
        <v>7.772677083333333</v>
      </c>
      <c r="S225" s="70">
        <f>IF(VLOOKUP($A225,raw_lb[],COLUMN(S$1),FALSE)=0, VLOOKUP($D225, regions_lb[], COLUMN(S$1), FALSE), VLOOKUP($A225,raw_lb[],COLUMN(S$1),FALSE))</f>
        <v>37.660776551295399</v>
      </c>
      <c r="T225" s="70">
        <f>IF(VLOOKUP($A225,raw_lb[],COLUMN(U$1)-COLUMN($A$1),FALSE)=0, VLOOKUP($D225, regions_lb[], COLUMN(U$1)-COLUMN($A$1), FALSE), VLOOKUP($A225,raw_lb[],COLUMN(U$1)-COLUMN($A$1),FALSE))</f>
        <v>38.008498973526628</v>
      </c>
      <c r="U225" s="70">
        <f>IF(VLOOKUP($A225,raw_lb[],COLUMN(V$1)-COLUMN($A$1),FALSE)=0, VLOOKUP($D225, regions_lb[], COLUMN(V$1)-COLUMN($A$1), FALSE), VLOOKUP($A225,raw_lb[],COLUMN(V$1)-COLUMN($A$1),FALSE))</f>
        <v>37.848832187153704</v>
      </c>
      <c r="V225" s="70">
        <f>IF(VLOOKUP($A225,raw_lb[],COLUMN(W$1)-COLUMN($A$1),FALSE)=0, VLOOKUP($D225, regions_lb[], COLUMN(W$1)-COLUMN($A$1), FALSE), VLOOKUP($A225,raw_lb[],COLUMN(W$1)-COLUMN($A$1),FALSE))</f>
        <v>1.1775377151163933</v>
      </c>
      <c r="W225" s="70">
        <f>IF(VLOOKUP($A225,raw_lb[],COLUMN(X$1)-COLUMN($A$1),FALSE)=0, VLOOKUP($D225, regions_lb[], COLUMN(X$1)-COLUMN($A$1), FALSE), VLOOKUP($A225,raw_lb[],COLUMN(X$1)-COLUMN($A$1),FALSE))</f>
        <v>1.7760377151163933</v>
      </c>
      <c r="X225" s="70">
        <f>IF(VLOOKUP($A225,raw_lb[],COLUMN(Y$1)-COLUMN($A$1),FALSE)=0, VLOOKUP($D225, regions_lb[], COLUMN(Y$1)-COLUMN($A$1), FALSE), VLOOKUP($A225,raw_lb[],COLUMN(Y$1)-COLUMN($A$1),FALSE))</f>
        <v>0.70597580627761691</v>
      </c>
      <c r="Y225" s="70">
        <f>IF(VLOOKUP($A225,raw_lb[],COLUMN(Z$1)-COLUMN($A$1),FALSE)=0, VLOOKUP($D225, regions_lb[], COLUMN(Z$1)-COLUMN($A$1), FALSE), VLOOKUP($A225,raw_lb[],COLUMN(Z$1)-COLUMN($A$1),FALSE))</f>
        <v>1.3044758062776167</v>
      </c>
      <c r="Z225" s="70">
        <f>IF(VLOOKUP($A225,raw_lb[],COLUMN(AA$1)-COLUMN($A$1),FALSE)=0, VLOOKUP($D225, regions_lb[], COLUMN(AA$1)-COLUMN($A$1), FALSE), VLOOKUP($A225,raw_lb[],COLUMN(AA$1)-COLUMN($A$1),FALSE))</f>
        <v>1.3020257857058359</v>
      </c>
      <c r="AA225" s="70">
        <f>IF(VLOOKUP($A225,raw_lb[],COLUMN(AB$1)-COLUMN($A$1),FALSE)=0, VLOOKUP($D225, regions_lb[], COLUMN(AB$1)-COLUMN($A$1), FALSE), VLOOKUP($A225,raw_lb[],COLUMN(AB$1)-COLUMN($A$1),FALSE))</f>
        <v>1.3234640655649348</v>
      </c>
      <c r="AB225" s="70">
        <f>IF(VLOOKUP($A225,raw_lb[],COLUMN(AC$1)-COLUMN($A$1),FALSE)=0, VLOOKUP($D225, regions_lb[], COLUMN(AC$1)-COLUMN($A$1), FALSE), VLOOKUP($A225,raw_lb[],COLUMN(AC$1)-COLUMN($A$1),FALSE))</f>
        <v>1.9219640655649348</v>
      </c>
      <c r="AC225" s="72">
        <f>IF(VLOOKUP($A225,raw_lb[],COLUMN(AD$1)-COLUMN($A$1),FALSE)=0, VLOOKUP($D225, regions_lb[], COLUMN(AD$1)-COLUMN($A$1), FALSE), VLOOKUP($A225,raw_lb[],COLUMN(AD$1)-COLUMN($A$1),FALSE))</f>
        <v>3.6499465499999988E-2</v>
      </c>
      <c r="AD225" s="72">
        <f>IF(VLOOKUP($A225,raw_lb[],COLUMN(AE$1)-COLUMN($A$1),FALSE)=0, VLOOKUP($D225, regions_lb[], COLUMN(AE$1)-COLUMN($A$1), FALSE), VLOOKUP($A225,raw_lb[],COLUMN(AE$1)-COLUMN($A$1),FALSE))</f>
        <v>2.3865035092105751E-3</v>
      </c>
      <c r="AE225" s="72">
        <f>IF(VLOOKUP($A225,raw_lb[],COLUMN(AF$1)-COLUMN($A$1),FALSE)=0, VLOOKUP($D225, regions_lb[], COLUMN(AF$1)-COLUMN($A$1), FALSE), VLOOKUP($A225,raw_lb[],COLUMN(AF$1)-COLUMN($A$1),FALSE))</f>
        <v>1.0192950197325081E-3</v>
      </c>
      <c r="AF225" s="72">
        <f>IF(VLOOKUP($A225,raw_lb[],COLUMN(AG$1)-COLUMN($A$1),FALSE)=0, VLOOKUP($D225, regions_lb[], COLUMN(AG$1)-COLUMN($A$1), FALSE), VLOOKUP($A225,raw_lb[],COLUMN(AG$1)-COLUMN($A$1),FALSE))</f>
        <v>8.2756855707476261E-4</v>
      </c>
      <c r="AG225" s="72">
        <f>IF(VLOOKUP($A225,raw_lb[],COLUMN(AH$1)-COLUMN($A$1),FALSE)=0, VLOOKUP($D225, regions_lb[], COLUMN(AH$1)-COLUMN($A$1), FALSE), VLOOKUP($A225,raw_lb[],COLUMN(AH$1)-COLUMN($A$1),FALSE))</f>
        <v>1.3413161150521613E-3</v>
      </c>
      <c r="AH225" s="72">
        <f>IF(VLOOKUP($A225,raw_lb[],COLUMN(AI$1)-COLUMN($A$1),FALSE)=0, VLOOKUP($D225, regions_lb[], COLUMN(AI$1)-COLUMN($A$1), FALSE), VLOOKUP($A225,raw_lb[],COLUMN(AI$1)-COLUMN($A$1),FALSE))</f>
        <v>1.8954846475889907E-3</v>
      </c>
      <c r="AI225" s="72">
        <f>IF(VLOOKUP($A225,raw_lb[],COLUMN(AJ$1)-COLUMN($A$1),FALSE)=0, VLOOKUP($D225, regions_lb[], COLUMN(AJ$1)-COLUMN($A$1), FALSE), VLOOKUP($A225,raw_lb[],COLUMN(AJ$1)-COLUMN($A$1),FALSE))</f>
        <v>2.0536486819303086E-3</v>
      </c>
      <c r="AJ225" s="72">
        <f>IF(VLOOKUP($A225,raw_lb[],COLUMN(AK$1)-COLUMN($A$1),FALSE)=0, VLOOKUP($D225, regions_lb[], COLUMN(AK$1)-COLUMN($A$1), FALSE), VLOOKUP($A225,raw_lb[],COLUMN(AK$1)-COLUMN($A$1),FALSE))</f>
        <v>2.3638667828369954E-3</v>
      </c>
      <c r="AK225" s="72">
        <f>IF(VLOOKUP($A225,raw_lb[],COLUMN(AL$1)-COLUMN($A$1),FALSE)=0, VLOOKUP($D225, regions_lb[], COLUMN(AL$1)-COLUMN($A$1), FALSE), VLOOKUP($A225,raw_lb[],COLUMN(AL$1)-COLUMN($A$1),FALSE))</f>
        <v>2.9882626590387214E-3</v>
      </c>
      <c r="AL225" s="72">
        <f>IF(VLOOKUP($A225,raw_lb[],COLUMN(AM$1)-COLUMN($A$1),FALSE)=0, VLOOKUP($D225, regions_lb[], COLUMN(AM$1)-COLUMN($A$1), FALSE), VLOOKUP($A225,raw_lb[],COLUMN(AM$1)-COLUMN($A$1),FALSE))</f>
        <v>4.0336526595469123E-3</v>
      </c>
      <c r="AM225" s="72">
        <f>IF(VLOOKUP($A225,raw_lb[],COLUMN(AN$1)-COLUMN($A$1),FALSE)=0, VLOOKUP($D225, regions_lb[], COLUMN(AN$1)-COLUMN($A$1), FALSE), VLOOKUP($A225,raw_lb[],COLUMN(AN$1)-COLUMN($A$1),FALSE))</f>
        <v>5.7659155863809446E-3</v>
      </c>
      <c r="AN225" s="72">
        <f>IF(VLOOKUP($A225,raw_lb[],COLUMN(AO$1)-COLUMN($A$1),FALSE)=0, VLOOKUP($D225, regions_lb[], COLUMN(AO$1)-COLUMN($A$1), FALSE), VLOOKUP($A225,raw_lb[],COLUMN(AO$1)-COLUMN($A$1),FALSE))</f>
        <v>8.4519508108738158E-3</v>
      </c>
      <c r="AO225" s="72">
        <f>IF(VLOOKUP($A225,raw_lb[],COLUMN(AP$1)-COLUMN($A$1),FALSE)=0, VLOOKUP($D225, regions_lb[], COLUMN(AP$1)-COLUMN($A$1), FALSE), VLOOKUP($A225,raw_lb[],COLUMN(AP$1)-COLUMN($A$1),FALSE))</f>
        <v>1.2520934020103108E-2</v>
      </c>
      <c r="AP225" s="72">
        <f>IF(VLOOKUP($A225,raw_lb[],COLUMN(AQ$1)-COLUMN($A$1),FALSE)=0, VLOOKUP($D225, regions_lb[], COLUMN(AQ$1)-COLUMN($A$1), FALSE), VLOOKUP($A225,raw_lb[],COLUMN(AQ$1)-COLUMN($A$1),FALSE))</f>
        <v>1.891476914136217E-2</v>
      </c>
      <c r="AQ225" s="72">
        <f>IF(VLOOKUP($A225,raw_lb[],COLUMN(AR$1)-COLUMN($A$1),FALSE)=0, VLOOKUP($D225, regions_lb[], COLUMN(AR$1)-COLUMN($A$1), FALSE), VLOOKUP($A225,raw_lb[],COLUMN(AR$1)-COLUMN($A$1),FALSE))</f>
        <v>2.8989960993456389E-2</v>
      </c>
      <c r="AR225" s="72">
        <f>IF(VLOOKUP($A225,raw_lb[],COLUMN(AS$1)-COLUMN($A$1),FALSE)=0, VLOOKUP($D225, regions_lb[], COLUMN(AS$1)-COLUMN($A$1), FALSE), VLOOKUP($A225,raw_lb[],COLUMN(AS$1)-COLUMN($A$1),FALSE))</f>
        <v>4.482126722495669E-2</v>
      </c>
      <c r="AS225" s="82">
        <f>IF(VLOOKUP($A225,raw_lb[],COLUMN(AS$1),FALSE)=0, VLOOKUP($D225, regions_lb[], COLUMN(AS$1), FALSE), VLOOKUP($A225,raw_lb[],COLUMN(AS$1),FALSE))</f>
        <v>6.7378635027513234E-2</v>
      </c>
      <c r="AT225" s="82">
        <f>IF(VLOOKUP($A225,raw_lb[],COLUMN(AT$1),FALSE)=0, VLOOKUP($D225, regions_lb[], COLUMN(AT$1), FALSE), VLOOKUP($A225,raw_lb[],COLUMN(AT$1),FALSE))</f>
        <v>9.7036107213252967E-2</v>
      </c>
      <c r="AU225" s="82">
        <f>IF(VLOOKUP($A225,raw_lb[],COLUMN(AU$1),FALSE)=0, VLOOKUP($D225, regions_lb[], COLUMN(AU$1), FALSE), VLOOKUP($A225,raw_lb[],COLUMN(AU$1),FALSE))</f>
        <v>0.12844851345922201</v>
      </c>
      <c r="AV225" s="82">
        <f>IF(VLOOKUP($A225,raw_lb[],COLUMN(AV$1),FALSE)=0, VLOOKUP($D225, regions_lb[], COLUMN(AV$1), FALSE), VLOOKUP($A225,raw_lb[],COLUMN(AV$1),FALSE))</f>
        <v>0.15398833038853049</v>
      </c>
      <c r="AW225" s="82">
        <f>IF(VLOOKUP($A225,raw_lb[],COLUMN(AW$1),FALSE)=0, VLOOKUP($D225, regions_lb[], COLUMN(AW$1), FALSE), VLOOKUP($A225,raw_lb[],COLUMN(AW$1),FALSE))</f>
        <v>0.17052376186149343</v>
      </c>
      <c r="AX225" s="82">
        <f>IF(VLOOKUP($A225,raw_lb[],COLUMN(AX$1),FALSE)=0, VLOOKUP($D225, regions_lb[], COLUMN(AX$1), FALSE), VLOOKUP($A225,raw_lb[],COLUMN(AX$1),FALSE))</f>
        <v>63.421049999999994</v>
      </c>
      <c r="AY225" t="str">
        <f t="shared" si="7"/>
        <v>No</v>
      </c>
    </row>
    <row r="226" spans="1:51" x14ac:dyDescent="0.25">
      <c r="A226" s="53" t="s">
        <v>396</v>
      </c>
      <c r="B226" s="54" t="s">
        <v>397</v>
      </c>
      <c r="C226" s="54">
        <v>516</v>
      </c>
      <c r="D226" s="54" t="s">
        <v>207</v>
      </c>
      <c r="E226" s="54" t="s">
        <v>245</v>
      </c>
      <c r="F226" s="54" t="s">
        <v>211</v>
      </c>
      <c r="G226" s="54" t="s">
        <v>204</v>
      </c>
      <c r="H226" s="73"/>
      <c r="I226" s="73"/>
      <c r="J226" s="67">
        <f>IF(VLOOKUP($A226,raw_lb[],COLUMN(J$1),FALSE)=0, VLOOKUP($D226, regions_lb[], COLUMN(J$1), FALSE), VLOOKUP($A226,raw_lb[],COLUMN(J$1),FALSE))</f>
        <v>0.83030000000000004</v>
      </c>
      <c r="K226" s="77">
        <f>VLOOKUP($A226, raw_lb[], 11, FALSE)</f>
        <v>0.76949999999999996</v>
      </c>
      <c r="L226" s="77">
        <f>VLOOKUP($A226, raw_lb[], 12, FALSE)</f>
        <v>0.82650000000000001</v>
      </c>
      <c r="M226" s="77">
        <f>IF(VLOOKUP($A226,raw_lb[],COLUMN(M$1),FALSE)=0, VLOOKUP($D226, regions_lb[], COLUMN(M$1), FALSE), VLOOKUP($A226,raw_lb[],COLUMN(M$1),FALSE))</f>
        <v>4.9699999999999994E-2</v>
      </c>
      <c r="N226" s="68">
        <f>IF(VLOOKUP($A226,raw_lb[],COLUMN(N$1),FALSE)=0, VLOOKUP($D226, regions_lb[], COLUMN(N$1), FALSE), VLOOKUP($A226,raw_lb[],COLUMN(N$1),FALSE))</f>
        <v>0.15109999999999998</v>
      </c>
      <c r="O226" s="67">
        <f>IF(VLOOKUP($A226,raw_lb[],COLUMN(O$1),FALSE)=0, VLOOKUP($D226, regions_lb[], COLUMN(O$1), FALSE), VLOOKUP($A226,raw_lb[],COLUMN(O$1),FALSE))</f>
        <v>7.0000000000000007E-2</v>
      </c>
      <c r="P226" s="68">
        <f>IF(VLOOKUP($A226,raw_lb[],COLUMN(P$1),FALSE)=0, VLOOKUP($D226, regions_lb[], COLUMN(P$1), FALSE), VLOOKUP($A226,raw_lb[],COLUMN(P$1),FALSE))</f>
        <v>1E-3</v>
      </c>
      <c r="Q226" s="70">
        <f>IF(VLOOKUP($A226,raw_lb[],COLUMN(Q$1),FALSE)=0, VLOOKUP($D226, regions_lb[], COLUMN(Q$1), FALSE), VLOOKUP($A226,raw_lb[],COLUMN(Q$1),FALSE))</f>
        <v>1.7831752037864801</v>
      </c>
      <c r="R226" s="70">
        <f>IF(VLOOKUP($A226,raw_lb[],COLUMN(R$1),FALSE)=0, VLOOKUP($D226, regions_lb[], COLUMN(R$1), FALSE), VLOOKUP($A226,raw_lb[],COLUMN(R$1),FALSE))</f>
        <v>8.8440752037864812</v>
      </c>
      <c r="S226" s="70">
        <f>IF(VLOOKUP($A226,raw_lb[],COLUMN(S$1),FALSE)=0, VLOOKUP($D226, regions_lb[], COLUMN(S$1), FALSE), VLOOKUP($A226,raw_lb[],COLUMN(S$1),FALSE))</f>
        <v>45.783201558432168</v>
      </c>
      <c r="T226" s="70">
        <f>IF(VLOOKUP($A226,raw_lb[],COLUMN(U$1)-COLUMN($A$1),FALSE)=0, VLOOKUP($D226, regions_lb[], COLUMN(U$1)-COLUMN($A$1), FALSE), VLOOKUP($A226,raw_lb[],COLUMN(U$1)-COLUMN($A$1),FALSE))</f>
        <v>49.800737033701687</v>
      </c>
      <c r="U226" s="70">
        <f>IF(VLOOKUP($A226,raw_lb[],COLUMN(V$1)-COLUMN($A$1),FALSE)=0, VLOOKUP($D226, regions_lb[], COLUMN(V$1)-COLUMN($A$1), FALSE), VLOOKUP($A226,raw_lb[],COLUMN(V$1)-COLUMN($A$1),FALSE))</f>
        <v>47.955969663339481</v>
      </c>
      <c r="V226" s="70">
        <f>IF(VLOOKUP($A226,raw_lb[],COLUMN(W$1)-COLUMN($A$1),FALSE)=0, VLOOKUP($D226, regions_lb[], COLUMN(W$1)-COLUMN($A$1), FALSE), VLOOKUP($A226,raw_lb[],COLUMN(W$1)-COLUMN($A$1),FALSE))</f>
        <v>2.6653600483907498</v>
      </c>
      <c r="W226" s="70">
        <f>IF(VLOOKUP($A226,raw_lb[],COLUMN(X$1)-COLUMN($A$1),FALSE)=0, VLOOKUP($D226, regions_lb[], COLUMN(X$1)-COLUMN($A$1), FALSE), VLOOKUP($A226,raw_lb[],COLUMN(X$1)-COLUMN($A$1),FALSE))</f>
        <v>7.2538600483907496</v>
      </c>
      <c r="X226" s="70">
        <f>IF(VLOOKUP($A226,raw_lb[],COLUMN(Y$1)-COLUMN($A$1),FALSE)=0, VLOOKUP($D226, regions_lb[], COLUMN(Y$1)-COLUMN($A$1), FALSE), VLOOKUP($A226,raw_lb[],COLUMN(Y$1)-COLUMN($A$1),FALSE))</f>
        <v>2.1922505905566503</v>
      </c>
      <c r="Y226" s="70">
        <f>IF(VLOOKUP($A226,raw_lb[],COLUMN(Z$1)-COLUMN($A$1),FALSE)=0, VLOOKUP($D226, regions_lb[], COLUMN(Z$1)-COLUMN($A$1), FALSE), VLOOKUP($A226,raw_lb[],COLUMN(Z$1)-COLUMN($A$1),FALSE))</f>
        <v>6.7807505905566501</v>
      </c>
      <c r="Z226" s="70">
        <f>IF(VLOOKUP($A226,raw_lb[],COLUMN(AA$1)-COLUMN($A$1),FALSE)=0, VLOOKUP($D226, regions_lb[], COLUMN(AA$1)-COLUMN($A$1), FALSE), VLOOKUP($A226,raw_lb[],COLUMN(AA$1)-COLUMN($A$1),FALSE))</f>
        <v>6.7775641770719837</v>
      </c>
      <c r="AA226" s="70">
        <f>IF(VLOOKUP($A226,raw_lb[],COLUMN(AB$1)-COLUMN($A$1),FALSE)=0, VLOOKUP($D226, regions_lb[], COLUMN(AB$1)-COLUMN($A$1), FALSE), VLOOKUP($A226,raw_lb[],COLUMN(AB$1)-COLUMN($A$1),FALSE))</f>
        <v>2.8160616928820028</v>
      </c>
      <c r="AB226" s="70">
        <f>IF(VLOOKUP($A226,raw_lb[],COLUMN(AC$1)-COLUMN($A$1),FALSE)=0, VLOOKUP($D226, regions_lb[], COLUMN(AC$1)-COLUMN($A$1), FALSE), VLOOKUP($A226,raw_lb[],COLUMN(AC$1)-COLUMN($A$1),FALSE))</f>
        <v>7.4045616928820026</v>
      </c>
      <c r="AC226" s="72">
        <f>IF(VLOOKUP($A226,raw_lb[],COLUMN(AD$1)-COLUMN($A$1),FALSE)=0, VLOOKUP($D226, regions_lb[], COLUMN(AD$1)-COLUMN($A$1), FALSE), VLOOKUP($A226,raw_lb[],COLUMN(AD$1)-COLUMN($A$1),FALSE))</f>
        <v>3.1724204999999998E-2</v>
      </c>
      <c r="AD226" s="72">
        <f>IF(VLOOKUP($A226,raw_lb[],COLUMN(AE$1)-COLUMN($A$1),FALSE)=0, VLOOKUP($D226, regions_lb[], COLUMN(AE$1)-COLUMN($A$1), FALSE), VLOOKUP($A226,raw_lb[],COLUMN(AE$1)-COLUMN($A$1),FALSE))</f>
        <v>2.7445204928874503E-3</v>
      </c>
      <c r="AE226" s="72">
        <f>IF(VLOOKUP($A226,raw_lb[],COLUMN(AF$1)-COLUMN($A$1),FALSE)=0, VLOOKUP($D226, regions_lb[], COLUMN(AF$1)-COLUMN($A$1), FALSE), VLOOKUP($A226,raw_lb[],COLUMN(AF$1)-COLUMN($A$1),FALSE))</f>
        <v>1.1635121142374067E-3</v>
      </c>
      <c r="AF226" s="72">
        <f>IF(VLOOKUP($A226,raw_lb[],COLUMN(AG$1)-COLUMN($A$1),FALSE)=0, VLOOKUP($D226, regions_lb[], COLUMN(AG$1)-COLUMN($A$1), FALSE), VLOOKUP($A226,raw_lb[],COLUMN(AG$1)-COLUMN($A$1),FALSE))</f>
        <v>9.3902794006062856E-4</v>
      </c>
      <c r="AG226" s="72">
        <f>IF(VLOOKUP($A226,raw_lb[],COLUMN(AH$1)-COLUMN($A$1),FALSE)=0, VLOOKUP($D226, regions_lb[], COLUMN(AH$1)-COLUMN($A$1), FALSE), VLOOKUP($A226,raw_lb[],COLUMN(AH$1)-COLUMN($A$1),FALSE))</f>
        <v>1.5819636691246455E-3</v>
      </c>
      <c r="AH226" s="72">
        <f>IF(VLOOKUP($A226,raw_lb[],COLUMN(AI$1)-COLUMN($A$1),FALSE)=0, VLOOKUP($D226, regions_lb[], COLUMN(AI$1)-COLUMN($A$1), FALSE), VLOOKUP($A226,raw_lb[],COLUMN(AI$1)-COLUMN($A$1),FALSE))</f>
        <v>2.585918502122185E-3</v>
      </c>
      <c r="AI226" s="72">
        <f>IF(VLOOKUP($A226,raw_lb[],COLUMN(AJ$1)-COLUMN($A$1),FALSE)=0, VLOOKUP($D226, regions_lb[], COLUMN(AJ$1)-COLUMN($A$1), FALSE), VLOOKUP($A226,raw_lb[],COLUMN(AJ$1)-COLUMN($A$1),FALSE))</f>
        <v>3.7259428067210752E-3</v>
      </c>
      <c r="AJ226" s="72">
        <f>IF(VLOOKUP($A226,raw_lb[],COLUMN(AK$1)-COLUMN($A$1),FALSE)=0, VLOOKUP($D226, regions_lb[], COLUMN(AK$1)-COLUMN($A$1), FALSE), VLOOKUP($A226,raw_lb[],COLUMN(AK$1)-COLUMN($A$1),FALSE))</f>
        <v>4.9597843819352413E-3</v>
      </c>
      <c r="AK226" s="72">
        <f>IF(VLOOKUP($A226,raw_lb[],COLUMN(AL$1)-COLUMN($A$1),FALSE)=0, VLOOKUP($D226, regions_lb[], COLUMN(AL$1)-COLUMN($A$1), FALSE), VLOOKUP($A226,raw_lb[],COLUMN(AL$1)-COLUMN($A$1),FALSE))</f>
        <v>6.6948018620077987E-3</v>
      </c>
      <c r="AL226" s="72">
        <f>IF(VLOOKUP($A226,raw_lb[],COLUMN(AM$1)-COLUMN($A$1),FALSE)=0, VLOOKUP($D226, regions_lb[], COLUMN(AM$1)-COLUMN($A$1), FALSE), VLOOKUP($A226,raw_lb[],COLUMN(AM$1)-COLUMN($A$1),FALSE))</f>
        <v>8.1939252537602415E-3</v>
      </c>
      <c r="AM226" s="72">
        <f>IF(VLOOKUP($A226,raw_lb[],COLUMN(AN$1)-COLUMN($A$1),FALSE)=0, VLOOKUP($D226, regions_lb[], COLUMN(AN$1)-COLUMN($A$1), FALSE), VLOOKUP($A226,raw_lb[],COLUMN(AN$1)-COLUMN($A$1),FALSE))</f>
        <v>9.9918977995677189E-3</v>
      </c>
      <c r="AN226" s="72">
        <f>IF(VLOOKUP($A226,raw_lb[],COLUMN(AO$1)-COLUMN($A$1),FALSE)=0, VLOOKUP($D226, regions_lb[], COLUMN(AO$1)-COLUMN($A$1), FALSE), VLOOKUP($A226,raw_lb[],COLUMN(AO$1)-COLUMN($A$1),FALSE))</f>
        <v>1.2786166821256759E-2</v>
      </c>
      <c r="AO226" s="72">
        <f>IF(VLOOKUP($A226,raw_lb[],COLUMN(AP$1)-COLUMN($A$1),FALSE)=0, VLOOKUP($D226, regions_lb[], COLUMN(AP$1)-COLUMN($A$1), FALSE), VLOOKUP($A226,raw_lb[],COLUMN(AP$1)-COLUMN($A$1),FALSE))</f>
        <v>1.5992361336201653E-2</v>
      </c>
      <c r="AP226" s="72">
        <f>IF(VLOOKUP($A226,raw_lb[],COLUMN(AQ$1)-COLUMN($A$1),FALSE)=0, VLOOKUP($D226, regions_lb[], COLUMN(AQ$1)-COLUMN($A$1), FALSE), VLOOKUP($A226,raw_lb[],COLUMN(AQ$1)-COLUMN($A$1),FALSE))</f>
        <v>2.1914537153476174E-2</v>
      </c>
      <c r="AQ226" s="72">
        <f>IF(VLOOKUP($A226,raw_lb[],COLUMN(AR$1)-COLUMN($A$1),FALSE)=0, VLOOKUP($D226, regions_lb[], COLUMN(AR$1)-COLUMN($A$1), FALSE), VLOOKUP($A226,raw_lb[],COLUMN(AR$1)-COLUMN($A$1),FALSE))</f>
        <v>3.1774691806230659E-2</v>
      </c>
      <c r="AR226" s="72">
        <f>IF(VLOOKUP($A226,raw_lb[],COLUMN(AS$1)-COLUMN($A$1),FALSE)=0, VLOOKUP($D226, regions_lb[], COLUMN(AS$1)-COLUMN($A$1), FALSE), VLOOKUP($A226,raw_lb[],COLUMN(AS$1)-COLUMN($A$1),FALSE))</f>
        <v>4.7257267440035083E-2</v>
      </c>
      <c r="AS226" s="82">
        <f>IF(VLOOKUP($A226,raw_lb[],COLUMN(AS$1),FALSE)=0, VLOOKUP($D226, regions_lb[], COLUMN(AS$1), FALSE), VLOOKUP($A226,raw_lb[],COLUMN(AS$1),FALSE))</f>
        <v>6.9551744124068476E-2</v>
      </c>
      <c r="AT226" s="82">
        <f>IF(VLOOKUP($A226,raw_lb[],COLUMN(AT$1),FALSE)=0, VLOOKUP($D226, regions_lb[], COLUMN(AT$1), FALSE), VLOOKUP($A226,raw_lb[],COLUMN(AT$1),FALSE))</f>
        <v>0.10197397665093527</v>
      </c>
      <c r="AU226" s="82">
        <f>IF(VLOOKUP($A226,raw_lb[],COLUMN(AU$1),FALSE)=0, VLOOKUP($D226, regions_lb[], COLUMN(AU$1), FALSE), VLOOKUP($A226,raw_lb[],COLUMN(AU$1),FALSE))</f>
        <v>0.13949468516599511</v>
      </c>
      <c r="AV226" s="82">
        <f>IF(VLOOKUP($A226,raw_lb[],COLUMN(AV$1),FALSE)=0, VLOOKUP($D226, regions_lb[], COLUMN(AV$1), FALSE), VLOOKUP($A226,raw_lb[],COLUMN(AV$1),FALSE))</f>
        <v>0.16911516525652456</v>
      </c>
      <c r="AW226" s="82">
        <f>IF(VLOOKUP($A226,raw_lb[],COLUMN(AW$1),FALSE)=0, VLOOKUP($D226, regions_lb[], COLUMN(AW$1), FALSE), VLOOKUP($A226,raw_lb[],COLUMN(AW$1),FALSE))</f>
        <v>0.17910810637073443</v>
      </c>
      <c r="AX226" s="82">
        <f>IF(VLOOKUP($A226,raw_lb[],COLUMN(AX$1),FALSE)=0, VLOOKUP($D226, regions_lb[], COLUMN(AX$1), FALSE), VLOOKUP($A226,raw_lb[],COLUMN(AX$1),FALSE))</f>
        <v>59.872799999999998</v>
      </c>
      <c r="AY226" t="str">
        <f t="shared" si="7"/>
        <v>No</v>
      </c>
    </row>
    <row r="227" spans="1:51" x14ac:dyDescent="0.25">
      <c r="A227" s="55" t="s">
        <v>398</v>
      </c>
      <c r="B227" s="56" t="s">
        <v>399</v>
      </c>
      <c r="C227" s="56">
        <v>520</v>
      </c>
      <c r="D227" s="56" t="s">
        <v>260</v>
      </c>
      <c r="E227" s="56" t="s">
        <v>309</v>
      </c>
      <c r="F227" s="56" t="s">
        <v>262</v>
      </c>
      <c r="G227" s="56" t="s">
        <v>204</v>
      </c>
      <c r="H227" s="74"/>
      <c r="I227" s="74"/>
      <c r="J227" s="67">
        <f>IF(VLOOKUP($A227,raw_lb[],COLUMN(J$1),FALSE)=0, VLOOKUP($D227, regions_lb[], COLUMN(J$1), FALSE), VLOOKUP($A227,raw_lb[],COLUMN(J$1),FALSE))</f>
        <v>0.93764999999999998</v>
      </c>
      <c r="K227" s="77">
        <f>VLOOKUP($A227, raw_lb[], 11, FALSE)</f>
        <v>0.9405</v>
      </c>
      <c r="L227" s="77">
        <f>VLOOKUP($A227, raw_lb[], 12, FALSE)</f>
        <v>0.90249999999999997</v>
      </c>
      <c r="M227" s="77">
        <f>IF(VLOOKUP($A227,raw_lb[],COLUMN(M$1),FALSE)=0, VLOOKUP($D227, regions_lb[], COLUMN(M$1), FALSE), VLOOKUP($A227,raw_lb[],COLUMN(M$1),FALSE))</f>
        <v>9.9600000000000008E-2</v>
      </c>
      <c r="N227" s="68">
        <f>IF(VLOOKUP($A227,raw_lb[],COLUMN(N$1),FALSE)=0, VLOOKUP($D227, regions_lb[], COLUMN(N$1), FALSE), VLOOKUP($A227,raw_lb[],COLUMN(N$1),FALSE))</f>
        <v>0.18286915583064589</v>
      </c>
      <c r="O227" s="67">
        <f>IF(VLOOKUP($A227,raw_lb[],COLUMN(O$1),FALSE)=0, VLOOKUP($D227, regions_lb[], COLUMN(O$1), FALSE), VLOOKUP($A227,raw_lb[],COLUMN(O$1),FALSE))</f>
        <v>0.7</v>
      </c>
      <c r="P227" s="68">
        <f>IF(VLOOKUP($A227,raw_lb[],COLUMN(P$1),FALSE)=0, VLOOKUP($D227, regions_lb[], COLUMN(P$1), FALSE), VLOOKUP($A227,raw_lb[],COLUMN(P$1),FALSE))</f>
        <v>0.05</v>
      </c>
      <c r="Q227" s="70">
        <f>IF(VLOOKUP($A227,raw_lb[],COLUMN(Q$1),FALSE)=0, VLOOKUP($D227, regions_lb[], COLUMN(Q$1), FALSE), VLOOKUP($A227,raw_lb[],COLUMN(Q$1),FALSE))</f>
        <v>1.2006219650448751</v>
      </c>
      <c r="R227" s="70">
        <f>IF(VLOOKUP($A227,raw_lb[],COLUMN(R$1),FALSE)=0, VLOOKUP($D227, regions_lb[], COLUMN(R$1), FALSE), VLOOKUP($A227,raw_lb[],COLUMN(R$1),FALSE))</f>
        <v>8.2615219650448761</v>
      </c>
      <c r="S227" s="70">
        <f>IF(VLOOKUP($A227,raw_lb[],COLUMN(S$1),FALSE)=0, VLOOKUP($D227, regions_lb[], COLUMN(S$1), FALSE), VLOOKUP($A227,raw_lb[],COLUMN(S$1),FALSE))</f>
        <v>40.686191795900932</v>
      </c>
      <c r="T227" s="70">
        <f>IF(VLOOKUP($A227,raw_lb[],COLUMN(U$1)-COLUMN($A$1),FALSE)=0, VLOOKUP($D227, regions_lb[], COLUMN(U$1)-COLUMN($A$1), FALSE), VLOOKUP($A227,raw_lb[],COLUMN(U$1)-COLUMN($A$1),FALSE))</f>
        <v>42.354110435973659</v>
      </c>
      <c r="U227" s="70">
        <f>IF(VLOOKUP($A227,raw_lb[],COLUMN(V$1)-COLUMN($A$1),FALSE)=0, VLOOKUP($D227, regions_lb[], COLUMN(V$1)-COLUMN($A$1), FALSE), VLOOKUP($A227,raw_lb[],COLUMN(V$1)-COLUMN($A$1),FALSE))</f>
        <v>41.588237451760953</v>
      </c>
      <c r="V227" s="70">
        <f>IF(VLOOKUP($A227,raw_lb[],COLUMN(W$1)-COLUMN($A$1),FALSE)=0, VLOOKUP($D227, regions_lb[], COLUMN(W$1)-COLUMN($A$1), FALSE), VLOOKUP($A227,raw_lb[],COLUMN(W$1)-COLUMN($A$1),FALSE))</f>
        <v>1.0645160375442027</v>
      </c>
      <c r="W227" s="70">
        <f>IF(VLOOKUP($A227,raw_lb[],COLUMN(X$1)-COLUMN($A$1),FALSE)=0, VLOOKUP($D227, regions_lb[], COLUMN(X$1)-COLUMN($A$1), FALSE), VLOOKUP($A227,raw_lb[],COLUMN(X$1)-COLUMN($A$1),FALSE))</f>
        <v>1.6746209445622606</v>
      </c>
      <c r="X227" s="70">
        <f>IF(VLOOKUP($A227,raw_lb[],COLUMN(Y$1)-COLUMN($A$1),FALSE)=0, VLOOKUP($D227, regions_lb[], COLUMN(Y$1)-COLUMN($A$1), FALSE), VLOOKUP($A227,raw_lb[],COLUMN(Y$1)-COLUMN($A$1),FALSE))</f>
        <v>0.58440458218590385</v>
      </c>
      <c r="Y227" s="70">
        <f>IF(VLOOKUP($A227,raw_lb[],COLUMN(Z$1)-COLUMN($A$1),FALSE)=0, VLOOKUP($D227, regions_lb[], COLUMN(Z$1)-COLUMN($A$1), FALSE), VLOOKUP($A227,raw_lb[],COLUMN(Z$1)-COLUMN($A$1),FALSE))</f>
        <v>1.1945094892039627</v>
      </c>
      <c r="Z227" s="70">
        <f>IF(VLOOKUP($A227,raw_lb[],COLUMN(AA$1)-COLUMN($A$1),FALSE)=0, VLOOKUP($D227, regions_lb[], COLUMN(AA$1)-COLUMN($A$1), FALSE), VLOOKUP($A227,raw_lb[],COLUMN(AA$1)-COLUMN($A$1),FALSE))</f>
        <v>1.1865151191840915</v>
      </c>
      <c r="AA227" s="70">
        <f>IF(VLOOKUP($A227,raw_lb[],COLUMN(AB$1)-COLUMN($A$1),FALSE)=0, VLOOKUP($D227, regions_lb[], COLUMN(AB$1)-COLUMN($A$1), FALSE), VLOOKUP($A227,raw_lb[],COLUMN(AB$1)-COLUMN($A$1),FALSE))</f>
        <v>1.236823845824413</v>
      </c>
      <c r="AB227" s="70">
        <f>IF(VLOOKUP($A227,raw_lb[],COLUMN(AC$1)-COLUMN($A$1),FALSE)=0, VLOOKUP($D227, regions_lb[], COLUMN(AC$1)-COLUMN($A$1), FALSE), VLOOKUP($A227,raw_lb[],COLUMN(AC$1)-COLUMN($A$1),FALSE))</f>
        <v>1.8469287528424716</v>
      </c>
      <c r="AC227" s="72">
        <f>IF(VLOOKUP($A227,raw_lb[],COLUMN(AD$1)-COLUMN($A$1),FALSE)=0, VLOOKUP($D227, regions_lb[], COLUMN(AD$1)-COLUMN($A$1), FALSE), VLOOKUP($A227,raw_lb[],COLUMN(AD$1)-COLUMN($A$1),FALSE))</f>
        <v>1.1523742726354593E-2</v>
      </c>
      <c r="AD227" s="72">
        <f>IF(VLOOKUP($A227,raw_lb[],COLUMN(AE$1)-COLUMN($A$1),FALSE)=0, VLOOKUP($D227, regions_lb[], COLUMN(AE$1)-COLUMN($A$1), FALSE), VLOOKUP($A227,raw_lb[],COLUMN(AE$1)-COLUMN($A$1),FALSE))</f>
        <v>6.4416826181326646E-4</v>
      </c>
      <c r="AE227" s="72">
        <f>IF(VLOOKUP($A227,raw_lb[],COLUMN(AF$1)-COLUMN($A$1),FALSE)=0, VLOOKUP($D227, regions_lb[], COLUMN(AF$1)-COLUMN($A$1), FALSE), VLOOKUP($A227,raw_lb[],COLUMN(AF$1)-COLUMN($A$1),FALSE))</f>
        <v>3.7184834738016075E-4</v>
      </c>
      <c r="AF227" s="72">
        <f>IF(VLOOKUP($A227,raw_lb[],COLUMN(AG$1)-COLUMN($A$1),FALSE)=0, VLOOKUP($D227, regions_lb[], COLUMN(AG$1)-COLUMN($A$1), FALSE), VLOOKUP($A227,raw_lb[],COLUMN(AG$1)-COLUMN($A$1),FALSE))</f>
        <v>2.9295441530775515E-4</v>
      </c>
      <c r="AG227" s="72">
        <f>IF(VLOOKUP($A227,raw_lb[],COLUMN(AH$1)-COLUMN($A$1),FALSE)=0, VLOOKUP($D227, regions_lb[], COLUMN(AH$1)-COLUMN($A$1), FALSE), VLOOKUP($A227,raw_lb[],COLUMN(AH$1)-COLUMN($A$1),FALSE))</f>
        <v>4.6602766282551099E-4</v>
      </c>
      <c r="AH227" s="72">
        <f>IF(VLOOKUP($A227,raw_lb[],COLUMN(AI$1)-COLUMN($A$1),FALSE)=0, VLOOKUP($D227, regions_lb[], COLUMN(AI$1)-COLUMN($A$1), FALSE), VLOOKUP($A227,raw_lb[],COLUMN(AI$1)-COLUMN($A$1),FALSE))</f>
        <v>6.483356200326166E-4</v>
      </c>
      <c r="AI227" s="72">
        <f>IF(VLOOKUP($A227,raw_lb[],COLUMN(AJ$1)-COLUMN($A$1),FALSE)=0, VLOOKUP($D227, regions_lb[], COLUMN(AJ$1)-COLUMN($A$1), FALSE), VLOOKUP($A227,raw_lb[],COLUMN(AJ$1)-COLUMN($A$1),FALSE))</f>
        <v>8.0918790417641435E-4</v>
      </c>
      <c r="AJ227" s="72">
        <f>IF(VLOOKUP($A227,raw_lb[],COLUMN(AK$1)-COLUMN($A$1),FALSE)=0, VLOOKUP($D227, regions_lb[], COLUMN(AK$1)-COLUMN($A$1), FALSE), VLOOKUP($A227,raw_lb[],COLUMN(AK$1)-COLUMN($A$1),FALSE))</f>
        <v>1.0072409527763799E-3</v>
      </c>
      <c r="AK227" s="72">
        <f>IF(VLOOKUP($A227,raw_lb[],COLUMN(AL$1)-COLUMN($A$1),FALSE)=0, VLOOKUP($D227, regions_lb[], COLUMN(AL$1)-COLUMN($A$1), FALSE), VLOOKUP($A227,raw_lb[],COLUMN(AL$1)-COLUMN($A$1),FALSE))</f>
        <v>1.2939239518039061E-3</v>
      </c>
      <c r="AL227" s="72">
        <f>IF(VLOOKUP($A227,raw_lb[],COLUMN(AM$1)-COLUMN($A$1),FALSE)=0, VLOOKUP($D227, regions_lb[], COLUMN(AM$1)-COLUMN($A$1), FALSE), VLOOKUP($A227,raw_lb[],COLUMN(AM$1)-COLUMN($A$1),FALSE))</f>
        <v>1.8212620564475456E-3</v>
      </c>
      <c r="AM227" s="72">
        <f>IF(VLOOKUP($A227,raw_lb[],COLUMN(AN$1)-COLUMN($A$1),FALSE)=0, VLOOKUP($D227, regions_lb[], COLUMN(AN$1)-COLUMN($A$1), FALSE), VLOOKUP($A227,raw_lb[],COLUMN(AN$1)-COLUMN($A$1),FALSE))</f>
        <v>2.6694380894867909E-3</v>
      </c>
      <c r="AN227" s="72">
        <f>IF(VLOOKUP($A227,raw_lb[],COLUMN(AO$1)-COLUMN($A$1),FALSE)=0, VLOOKUP($D227, regions_lb[], COLUMN(AO$1)-COLUMN($A$1), FALSE), VLOOKUP($A227,raw_lb[],COLUMN(AO$1)-COLUMN($A$1),FALSE))</f>
        <v>4.250414821637633E-3</v>
      </c>
      <c r="AO227" s="72">
        <f>IF(VLOOKUP($A227,raw_lb[],COLUMN(AP$1)-COLUMN($A$1),FALSE)=0, VLOOKUP($D227, regions_lb[], COLUMN(AP$1)-COLUMN($A$1), FALSE), VLOOKUP($A227,raw_lb[],COLUMN(AP$1)-COLUMN($A$1),FALSE))</f>
        <v>6.8007185670634117E-3</v>
      </c>
      <c r="AP227" s="72">
        <f>IF(VLOOKUP($A227,raw_lb[],COLUMN(AQ$1)-COLUMN($A$1),FALSE)=0, VLOOKUP($D227, regions_lb[], COLUMN(AQ$1)-COLUMN($A$1), FALSE), VLOOKUP($A227,raw_lb[],COLUMN(AQ$1)-COLUMN($A$1),FALSE))</f>
        <v>1.152568966710163E-2</v>
      </c>
      <c r="AQ227" s="72">
        <f>IF(VLOOKUP($A227,raw_lb[],COLUMN(AR$1)-COLUMN($A$1),FALSE)=0, VLOOKUP($D227, regions_lb[], COLUMN(AR$1)-COLUMN($A$1), FALSE), VLOOKUP($A227,raw_lb[],COLUMN(AR$1)-COLUMN($A$1),FALSE))</f>
        <v>1.9372590142895035E-2</v>
      </c>
      <c r="AR227" s="72">
        <f>IF(VLOOKUP($A227,raw_lb[],COLUMN(AS$1)-COLUMN($A$1),FALSE)=0, VLOOKUP($D227, regions_lb[], COLUMN(AS$1)-COLUMN($A$1), FALSE), VLOOKUP($A227,raw_lb[],COLUMN(AS$1)-COLUMN($A$1),FALSE))</f>
        <v>3.2703199461531267E-2</v>
      </c>
      <c r="AS227" s="82">
        <f>IF(VLOOKUP($A227,raw_lb[],COLUMN(AS$1),FALSE)=0, VLOOKUP($D227, regions_lb[], COLUMN(AS$1), FALSE), VLOOKUP($A227,raw_lb[],COLUMN(AS$1),FALSE))</f>
        <v>5.1174212083972055E-2</v>
      </c>
      <c r="AT227" s="82">
        <f>IF(VLOOKUP($A227,raw_lb[],COLUMN(AT$1),FALSE)=0, VLOOKUP($D227, regions_lb[], COLUMN(AT$1), FALSE), VLOOKUP($A227,raw_lb[],COLUMN(AT$1),FALSE))</f>
        <v>7.2985218965190946E-2</v>
      </c>
      <c r="AU227" s="82">
        <f>IF(VLOOKUP($A227,raw_lb[],COLUMN(AU$1),FALSE)=0, VLOOKUP($D227, regions_lb[], COLUMN(AU$1), FALSE), VLOOKUP($A227,raw_lb[],COLUMN(AU$1),FALSE))</f>
        <v>0.10061158165397555</v>
      </c>
      <c r="AV227" s="82">
        <f>IF(VLOOKUP($A227,raw_lb[],COLUMN(AV$1),FALSE)=0, VLOOKUP($D227, regions_lb[], COLUMN(AV$1), FALSE), VLOOKUP($A227,raw_lb[],COLUMN(AV$1),FALSE))</f>
        <v>0.12550745881240277</v>
      </c>
      <c r="AW227" s="82">
        <f>IF(VLOOKUP($A227,raw_lb[],COLUMN(AW$1),FALSE)=0, VLOOKUP($D227, regions_lb[], COLUMN(AW$1), FALSE), VLOOKUP($A227,raw_lb[],COLUMN(AW$1),FALSE))</f>
        <v>0.14642775941331135</v>
      </c>
      <c r="AX227" s="82">
        <f>IF(VLOOKUP($A227,raw_lb[],COLUMN(AX$1),FALSE)=0, VLOOKUP($D227, regions_lb[], COLUMN(AX$1), FALSE), VLOOKUP($A227,raw_lb[],COLUMN(AX$1),FALSE))</f>
        <v>71.800592147312173</v>
      </c>
      <c r="AY227" t="str">
        <f t="shared" si="7"/>
        <v>No</v>
      </c>
    </row>
    <row r="228" spans="1:51" x14ac:dyDescent="0.25">
      <c r="A228" s="53" t="s">
        <v>400</v>
      </c>
      <c r="B228" s="54" t="s">
        <v>401</v>
      </c>
      <c r="C228" s="54">
        <v>524</v>
      </c>
      <c r="D228" s="54" t="s">
        <v>225</v>
      </c>
      <c r="E228" s="54" t="s">
        <v>226</v>
      </c>
      <c r="F228" s="54" t="s">
        <v>226</v>
      </c>
      <c r="G228" s="54" t="s">
        <v>198</v>
      </c>
      <c r="H228" s="73"/>
      <c r="I228" s="73"/>
      <c r="J228" s="67">
        <f>IF(VLOOKUP($A228,raw_lb[],COLUMN(J$1),FALSE)=0, VLOOKUP($D228, regions_lb[], COLUMN(J$1), FALSE), VLOOKUP($A228,raw_lb[],COLUMN(J$1),FALSE))</f>
        <v>0.5452999999999999</v>
      </c>
      <c r="K228" s="77">
        <f>VLOOKUP($A228, raw_lb[], 11, FALSE)</f>
        <v>0</v>
      </c>
      <c r="L228" s="77">
        <f>VLOOKUP($A228, raw_lb[], 12, FALSE)</f>
        <v>0.79799999999999993</v>
      </c>
      <c r="M228" s="77">
        <f>IF(VLOOKUP($A228,raw_lb[],COLUMN(M$1),FALSE)=0, VLOOKUP($D228, regions_lb[], COLUMN(M$1), FALSE), VLOOKUP($A228,raw_lb[],COLUMN(M$1),FALSE))</f>
        <v>6.6E-3</v>
      </c>
      <c r="N228" s="68">
        <f>IF(VLOOKUP($A228,raw_lb[],COLUMN(N$1),FALSE)=0, VLOOKUP($D228, regions_lb[], COLUMN(N$1), FALSE), VLOOKUP($A228,raw_lb[],COLUMN(N$1),FALSE))</f>
        <v>0.1482</v>
      </c>
      <c r="O228" s="67">
        <f>IF(VLOOKUP($A228,raw_lb[],COLUMN(O$1),FALSE)=0, VLOOKUP($D228, regions_lb[], COLUMN(O$1), FALSE), VLOOKUP($A228,raw_lb[],COLUMN(O$1),FALSE))</f>
        <v>0.7</v>
      </c>
      <c r="P228" s="68">
        <f>IF(VLOOKUP($A228,raw_lb[],COLUMN(P$1),FALSE)=0, VLOOKUP($D228, regions_lb[], COLUMN(P$1), FALSE), VLOOKUP($A228,raw_lb[],COLUMN(P$1),FALSE))</f>
        <v>0.05</v>
      </c>
      <c r="Q228" s="70">
        <f>IF(VLOOKUP($A228,raw_lb[],COLUMN(Q$1),FALSE)=0, VLOOKUP($D228, regions_lb[], COLUMN(Q$1), FALSE), VLOOKUP($A228,raw_lb[],COLUMN(Q$1),FALSE))</f>
        <v>0.64636582278481003</v>
      </c>
      <c r="R228" s="70">
        <f>IF(VLOOKUP($A228,raw_lb[],COLUMN(R$1),FALSE)=0, VLOOKUP($D228, regions_lb[], COLUMN(R$1), FALSE), VLOOKUP($A228,raw_lb[],COLUMN(R$1),FALSE))</f>
        <v>7.7072658227848105</v>
      </c>
      <c r="S228" s="70">
        <f>IF(VLOOKUP($A228,raw_lb[],COLUMN(S$1),FALSE)=0, VLOOKUP($D228, regions_lb[], COLUMN(S$1), FALSE), VLOOKUP($A228,raw_lb[],COLUMN(S$1),FALSE))</f>
        <v>37.480383576805835</v>
      </c>
      <c r="T228" s="70">
        <f>IF(VLOOKUP($A228,raw_lb[],COLUMN(U$1)-COLUMN($A$1),FALSE)=0, VLOOKUP($D228, regions_lb[], COLUMN(U$1)-COLUMN($A$1), FALSE), VLOOKUP($A228,raw_lb[],COLUMN(U$1)-COLUMN($A$1),FALSE))</f>
        <v>37.768262035673594</v>
      </c>
      <c r="U228" s="70">
        <f>IF(VLOOKUP($A228,raw_lb[],COLUMN(V$1)-COLUMN($A$1),FALSE)=0, VLOOKUP($D228, regions_lb[], COLUMN(V$1)-COLUMN($A$1), FALSE), VLOOKUP($A228,raw_lb[],COLUMN(V$1)-COLUMN($A$1),FALSE))</f>
        <v>37.636074332336946</v>
      </c>
      <c r="V228" s="70">
        <f>IF(VLOOKUP($A228,raw_lb[],COLUMN(W$1)-COLUMN($A$1),FALSE)=0, VLOOKUP($D228, regions_lb[], COLUMN(W$1)-COLUMN($A$1), FALSE), VLOOKUP($A228,raw_lb[],COLUMN(W$1)-COLUMN($A$1),FALSE))</f>
        <v>1.2887472480589692</v>
      </c>
      <c r="W228" s="70">
        <f>IF(VLOOKUP($A228,raw_lb[],COLUMN(X$1)-COLUMN($A$1),FALSE)=0, VLOOKUP($D228, regions_lb[], COLUMN(X$1)-COLUMN($A$1), FALSE), VLOOKUP($A228,raw_lb[],COLUMN(X$1)-COLUMN($A$1),FALSE))</f>
        <v>3.0081023360168202</v>
      </c>
      <c r="X228" s="70">
        <f>IF(VLOOKUP($A228,raw_lb[],COLUMN(Y$1)-COLUMN($A$1),FALSE)=0, VLOOKUP($D228, regions_lb[], COLUMN(Y$1)-COLUMN($A$1), FALSE), VLOOKUP($A228,raw_lb[],COLUMN(Y$1)-COLUMN($A$1),FALSE))</f>
        <v>0.81807329624383807</v>
      </c>
      <c r="Y228" s="70">
        <f>IF(VLOOKUP($A228,raw_lb[],COLUMN(Z$1)-COLUMN($A$1),FALSE)=0, VLOOKUP($D228, regions_lb[], COLUMN(Z$1)-COLUMN($A$1), FALSE), VLOOKUP($A228,raw_lb[],COLUMN(Z$1)-COLUMN($A$1),FALSE))</f>
        <v>2.5374283842016889</v>
      </c>
      <c r="Z228" s="70">
        <f>IF(VLOOKUP($A228,raw_lb[],COLUMN(AA$1)-COLUMN($A$1),FALSE)=0, VLOOKUP($D228, regions_lb[], COLUMN(AA$1)-COLUMN($A$1), FALSE), VLOOKUP($A228,raw_lb[],COLUMN(AA$1)-COLUMN($A$1),FALSE))</f>
        <v>2.5356682413919316</v>
      </c>
      <c r="AA228" s="70">
        <f>IF(VLOOKUP($A228,raw_lb[],COLUMN(AB$1)-COLUMN($A$1),FALSE)=0, VLOOKUP($D228, regions_lb[], COLUMN(AB$1)-COLUMN($A$1), FALSE), VLOOKUP($A228,raw_lb[],COLUMN(AB$1)-COLUMN($A$1),FALSE))</f>
        <v>1.4319336168345482</v>
      </c>
      <c r="AB228" s="70">
        <f>IF(VLOOKUP($A228,raw_lb[],COLUMN(AC$1)-COLUMN($A$1),FALSE)=0, VLOOKUP($D228, regions_lb[], COLUMN(AC$1)-COLUMN($A$1), FALSE), VLOOKUP($A228,raw_lb[],COLUMN(AC$1)-COLUMN($A$1),FALSE))</f>
        <v>3.1512887047923992</v>
      </c>
      <c r="AC228" s="72">
        <f>IF(VLOOKUP($A228,raw_lb[],COLUMN(AD$1)-COLUMN($A$1),FALSE)=0, VLOOKUP($D228, regions_lb[], COLUMN(AD$1)-COLUMN($A$1), FALSE), VLOOKUP($A228,raw_lb[],COLUMN(AD$1)-COLUMN($A$1),FALSE))</f>
        <v>2.6545451000000015E-2</v>
      </c>
      <c r="AD228" s="72">
        <f>IF(VLOOKUP($A228,raw_lb[],COLUMN(AE$1)-COLUMN($A$1),FALSE)=0, VLOOKUP($D228, regions_lb[], COLUMN(AE$1)-COLUMN($A$1), FALSE), VLOOKUP($A228,raw_lb[],COLUMN(AE$1)-COLUMN($A$1),FALSE))</f>
        <v>1.3909836725489043E-3</v>
      </c>
      <c r="AE228" s="72">
        <f>IF(VLOOKUP($A228,raw_lb[],COLUMN(AF$1)-COLUMN($A$1),FALSE)=0, VLOOKUP($D228, regions_lb[], COLUMN(AF$1)-COLUMN($A$1), FALSE), VLOOKUP($A228,raw_lb[],COLUMN(AF$1)-COLUMN($A$1),FALSE))</f>
        <v>5.6747491603321857E-4</v>
      </c>
      <c r="AF228" s="72">
        <f>IF(VLOOKUP($A228,raw_lb[],COLUMN(AG$1)-COLUMN($A$1),FALSE)=0, VLOOKUP($D228, regions_lb[], COLUMN(AG$1)-COLUMN($A$1), FALSE), VLOOKUP($A228,raw_lb[],COLUMN(AG$1)-COLUMN($A$1),FALSE))</f>
        <v>4.6501464148559899E-4</v>
      </c>
      <c r="AG228" s="72">
        <f>IF(VLOOKUP($A228,raw_lb[],COLUMN(AH$1)-COLUMN($A$1),FALSE)=0, VLOOKUP($D228, regions_lb[], COLUMN(AH$1)-COLUMN($A$1), FALSE), VLOOKUP($A228,raw_lb[],COLUMN(AH$1)-COLUMN($A$1),FALSE))</f>
        <v>8.1649669985534642E-4</v>
      </c>
      <c r="AH228" s="72">
        <f>IF(VLOOKUP($A228,raw_lb[],COLUMN(AI$1)-COLUMN($A$1),FALSE)=0, VLOOKUP($D228, regions_lb[], COLUMN(AI$1)-COLUMN($A$1), FALSE), VLOOKUP($A228,raw_lb[],COLUMN(AI$1)-COLUMN($A$1),FALSE))</f>
        <v>1.127915250751052E-3</v>
      </c>
      <c r="AI228" s="72">
        <f>IF(VLOOKUP($A228,raw_lb[],COLUMN(AJ$1)-COLUMN($A$1),FALSE)=0, VLOOKUP($D228, regions_lb[], COLUMN(AJ$1)-COLUMN($A$1), FALSE), VLOOKUP($A228,raw_lb[],COLUMN(AJ$1)-COLUMN($A$1),FALSE))</f>
        <v>1.2255917151599524E-3</v>
      </c>
      <c r="AJ228" s="72">
        <f>IF(VLOOKUP($A228,raw_lb[],COLUMN(AK$1)-COLUMN($A$1),FALSE)=0, VLOOKUP($D228, regions_lb[], COLUMN(AK$1)-COLUMN($A$1), FALSE), VLOOKUP($A228,raw_lb[],COLUMN(AK$1)-COLUMN($A$1),FALSE))</f>
        <v>1.4428965725559679E-3</v>
      </c>
      <c r="AK228" s="72">
        <f>IF(VLOOKUP($A228,raw_lb[],COLUMN(AL$1)-COLUMN($A$1),FALSE)=0, VLOOKUP($D228, regions_lb[], COLUMN(AL$1)-COLUMN($A$1), FALSE), VLOOKUP($A228,raw_lb[],COLUMN(AL$1)-COLUMN($A$1),FALSE))</f>
        <v>1.884744347575717E-3</v>
      </c>
      <c r="AL228" s="72">
        <f>IF(VLOOKUP($A228,raw_lb[],COLUMN(AM$1)-COLUMN($A$1),FALSE)=0, VLOOKUP($D228, regions_lb[], COLUMN(AM$1)-COLUMN($A$1), FALSE), VLOOKUP($A228,raw_lb[],COLUMN(AM$1)-COLUMN($A$1),FALSE))</f>
        <v>2.7077414869851909E-3</v>
      </c>
      <c r="AM228" s="72">
        <f>IF(VLOOKUP($A228,raw_lb[],COLUMN(AN$1)-COLUMN($A$1),FALSE)=0, VLOOKUP($D228, regions_lb[], COLUMN(AN$1)-COLUMN($A$1), FALSE), VLOOKUP($A228,raw_lb[],COLUMN(AN$1)-COLUMN($A$1),FALSE))</f>
        <v>4.2316656620476041E-3</v>
      </c>
      <c r="AN228" s="72">
        <f>IF(VLOOKUP($A228,raw_lb[],COLUMN(AO$1)-COLUMN($A$1),FALSE)=0, VLOOKUP($D228, regions_lb[], COLUMN(AO$1)-COLUMN($A$1), FALSE), VLOOKUP($A228,raw_lb[],COLUMN(AO$1)-COLUMN($A$1),FALSE))</f>
        <v>6.6046061303757803E-3</v>
      </c>
      <c r="AO228" s="72">
        <f>IF(VLOOKUP($A228,raw_lb[],COLUMN(AP$1)-COLUMN($A$1),FALSE)=0, VLOOKUP($D228, regions_lb[], COLUMN(AP$1)-COLUMN($A$1), FALSE), VLOOKUP($A228,raw_lb[],COLUMN(AP$1)-COLUMN($A$1),FALSE))</f>
        <v>1.0404027703424728E-2</v>
      </c>
      <c r="AP228" s="72">
        <f>IF(VLOOKUP($A228,raw_lb[],COLUMN(AQ$1)-COLUMN($A$1),FALSE)=0, VLOOKUP($D228, regions_lb[], COLUMN(AQ$1)-COLUMN($A$1), FALSE), VLOOKUP($A228,raw_lb[],COLUMN(AQ$1)-COLUMN($A$1),FALSE))</f>
        <v>1.6321855280767666E-2</v>
      </c>
      <c r="AQ228" s="72">
        <f>IF(VLOOKUP($A228,raw_lb[],COLUMN(AR$1)-COLUMN($A$1),FALSE)=0, VLOOKUP($D228, regions_lb[], COLUMN(AR$1)-COLUMN($A$1), FALSE), VLOOKUP($A228,raw_lb[],COLUMN(AR$1)-COLUMN($A$1),FALSE))</f>
        <v>2.5898110847068209E-2</v>
      </c>
      <c r="AR228" s="72">
        <f>IF(VLOOKUP($A228,raw_lb[],COLUMN(AS$1)-COLUMN($A$1),FALSE)=0, VLOOKUP($D228, regions_lb[], COLUMN(AS$1)-COLUMN($A$1), FALSE), VLOOKUP($A228,raw_lb[],COLUMN(AS$1)-COLUMN($A$1),FALSE))</f>
        <v>4.1048853815573716E-2</v>
      </c>
      <c r="AS228" s="82">
        <f>IF(VLOOKUP($A228,raw_lb[],COLUMN(AS$1),FALSE)=0, VLOOKUP($D228, regions_lb[], COLUMN(AS$1), FALSE), VLOOKUP($A228,raw_lb[],COLUMN(AS$1),FALSE))</f>
        <v>6.3434359263953521E-2</v>
      </c>
      <c r="AT228" s="82">
        <f>IF(VLOOKUP($A228,raw_lb[],COLUMN(AT$1),FALSE)=0, VLOOKUP($D228, regions_lb[], COLUMN(AT$1), FALSE), VLOOKUP($A228,raw_lb[],COLUMN(AT$1),FALSE))</f>
        <v>9.3705080727038773E-2</v>
      </c>
      <c r="AU228" s="82">
        <f>IF(VLOOKUP($A228,raw_lb[],COLUMN(AU$1),FALSE)=0, VLOOKUP($D228, regions_lb[], COLUMN(AU$1), FALSE), VLOOKUP($A228,raw_lb[],COLUMN(AU$1),FALSE))</f>
        <v>0.12635839879288988</v>
      </c>
      <c r="AV228" s="82">
        <f>IF(VLOOKUP($A228,raw_lb[],COLUMN(AV$1),FALSE)=0, VLOOKUP($D228, regions_lb[], COLUMN(AV$1), FALSE), VLOOKUP($A228,raw_lb[],COLUMN(AV$1),FALSE))</f>
        <v>0.15313669618889267</v>
      </c>
      <c r="AW228" s="82">
        <f>IF(VLOOKUP($A228,raw_lb[],COLUMN(AW$1),FALSE)=0, VLOOKUP($D228, regions_lb[], COLUMN(AW$1), FALSE), VLOOKUP($A228,raw_lb[],COLUMN(AW$1),FALSE))</f>
        <v>0.17039284856014719</v>
      </c>
      <c r="AX228" s="82">
        <f>IF(VLOOKUP($A228,raw_lb[],COLUMN(AX$1),FALSE)=0, VLOOKUP($D228, regions_lb[], COLUMN(AX$1), FALSE), VLOOKUP($A228,raw_lb[],COLUMN(AX$1),FALSE))</f>
        <v>66.790700000000001</v>
      </c>
      <c r="AY228" t="str">
        <f t="shared" si="7"/>
        <v>Yes</v>
      </c>
    </row>
    <row r="229" spans="1:51" x14ac:dyDescent="0.25">
      <c r="A229" s="55" t="s">
        <v>402</v>
      </c>
      <c r="B229" s="56" t="s">
        <v>403</v>
      </c>
      <c r="C229" s="56">
        <v>558</v>
      </c>
      <c r="D229" s="56" t="s">
        <v>215</v>
      </c>
      <c r="E229" s="56" t="s">
        <v>274</v>
      </c>
      <c r="F229" s="56" t="s">
        <v>217</v>
      </c>
      <c r="G229" s="56" t="s">
        <v>212</v>
      </c>
      <c r="H229" s="74"/>
      <c r="I229" s="74"/>
      <c r="J229" s="67">
        <f>IF(VLOOKUP($A229,raw_lb[],COLUMN(J$1),FALSE)=0, VLOOKUP($D229, regions_lb[], COLUMN(J$1), FALSE), VLOOKUP($A229,raw_lb[],COLUMN(J$1),FALSE))</f>
        <v>0.67449999999999999</v>
      </c>
      <c r="K229" s="77">
        <f>VLOOKUP($A229, raw_lb[], 11, FALSE)</f>
        <v>0</v>
      </c>
      <c r="L229" s="77">
        <f>VLOOKUP($A229, raw_lb[], 12, FALSE)</f>
        <v>0.874</v>
      </c>
      <c r="M229" s="77">
        <f>IF(VLOOKUP($A229,raw_lb[],COLUMN(M$1),FALSE)=0, VLOOKUP($D229, regions_lb[], COLUMN(M$1), FALSE), VLOOKUP($A229,raw_lb[],COLUMN(M$1),FALSE))</f>
        <v>2.3999999999999998E-3</v>
      </c>
      <c r="N229" s="68">
        <f>IF(VLOOKUP($A229,raw_lb[],COLUMN(N$1),FALSE)=0, VLOOKUP($D229, regions_lb[], COLUMN(N$1), FALSE), VLOOKUP($A229,raw_lb[],COLUMN(N$1),FALSE))</f>
        <v>0.16440000000000002</v>
      </c>
      <c r="O229" s="67">
        <f>IF(VLOOKUP($A229,raw_lb[],COLUMN(O$1),FALSE)=0, VLOOKUP($D229, regions_lb[], COLUMN(O$1), FALSE), VLOOKUP($A229,raw_lb[],COLUMN(O$1),FALSE))</f>
        <v>0.7</v>
      </c>
      <c r="P229" s="68">
        <f>IF(VLOOKUP($A229,raw_lb[],COLUMN(P$1),FALSE)=0, VLOOKUP($D229, regions_lb[], COLUMN(P$1), FALSE), VLOOKUP($A229,raw_lb[],COLUMN(P$1),FALSE))</f>
        <v>0.05</v>
      </c>
      <c r="Q229" s="70">
        <f>IF(VLOOKUP($A229,raw_lb[],COLUMN(Q$1),FALSE)=0, VLOOKUP($D229, regions_lb[], COLUMN(Q$1), FALSE), VLOOKUP($A229,raw_lb[],COLUMN(Q$1),FALSE))</f>
        <v>2.1174258346342603</v>
      </c>
      <c r="R229" s="70">
        <f>IF(VLOOKUP($A229,raw_lb[],COLUMN(R$1),FALSE)=0, VLOOKUP($D229, regions_lb[], COLUMN(R$1), FALSE), VLOOKUP($A229,raw_lb[],COLUMN(R$1),FALSE))</f>
        <v>9.1783258346342613</v>
      </c>
      <c r="S229" s="70">
        <f>IF(VLOOKUP($A229,raw_lb[],COLUMN(S$1),FALSE)=0, VLOOKUP($D229, regions_lb[], COLUMN(S$1), FALSE), VLOOKUP($A229,raw_lb[],COLUMN(S$1),FALSE))</f>
        <v>50.331084970063586</v>
      </c>
      <c r="T229" s="70">
        <f>IF(VLOOKUP($A229,raw_lb[],COLUMN(U$1)-COLUMN($A$1),FALSE)=0, VLOOKUP($D229, regions_lb[], COLUMN(U$1)-COLUMN($A$1), FALSE), VLOOKUP($A229,raw_lb[],COLUMN(U$1)-COLUMN($A$1),FALSE))</f>
        <v>56.541669036430285</v>
      </c>
      <c r="U229" s="70">
        <f>IF(VLOOKUP($A229,raw_lb[],COLUMN(V$1)-COLUMN($A$1),FALSE)=0, VLOOKUP($D229, regions_lb[], COLUMN(V$1)-COLUMN($A$1), FALSE), VLOOKUP($A229,raw_lb[],COLUMN(V$1)-COLUMN($A$1),FALSE))</f>
        <v>53.689900108178044</v>
      </c>
      <c r="V229" s="70">
        <f>IF(VLOOKUP($A229,raw_lb[],COLUMN(W$1)-COLUMN($A$1),FALSE)=0, VLOOKUP($D229, regions_lb[], COLUMN(W$1)-COLUMN($A$1), FALSE), VLOOKUP($A229,raw_lb[],COLUMN(W$1)-COLUMN($A$1),FALSE))</f>
        <v>2.0870530805362884</v>
      </c>
      <c r="W229" s="70">
        <f>IF(VLOOKUP($A229,raw_lb[],COLUMN(X$1)-COLUMN($A$1),FALSE)=0, VLOOKUP($D229, regions_lb[], COLUMN(X$1)-COLUMN($A$1), FALSE), VLOOKUP($A229,raw_lb[],COLUMN(X$1)-COLUMN($A$1),FALSE))</f>
        <v>2.1060530805362885</v>
      </c>
      <c r="X229" s="70">
        <f>IF(VLOOKUP($A229,raw_lb[],COLUMN(Y$1)-COLUMN($A$1),FALSE)=0, VLOOKUP($D229, regions_lb[], COLUMN(Y$1)-COLUMN($A$1), FALSE), VLOOKUP($A229,raw_lb[],COLUMN(Y$1)-COLUMN($A$1),FALSE))</f>
        <v>1.6144257859363789</v>
      </c>
      <c r="Y229" s="70">
        <f>IF(VLOOKUP($A229,raw_lb[],COLUMN(Z$1)-COLUMN($A$1),FALSE)=0, VLOOKUP($D229, regions_lb[], COLUMN(Z$1)-COLUMN($A$1), FALSE), VLOOKUP($A229,raw_lb[],COLUMN(Z$1)-COLUMN($A$1),FALSE))</f>
        <v>1.6334257859363788</v>
      </c>
      <c r="Z229" s="70">
        <f>IF(VLOOKUP($A229,raw_lb[],COLUMN(AA$1)-COLUMN($A$1),FALSE)=0, VLOOKUP($D229, regions_lb[], COLUMN(AA$1)-COLUMN($A$1), FALSE), VLOOKUP($A229,raw_lb[],COLUMN(AA$1)-COLUMN($A$1),FALSE))</f>
        <v>1.6302642613917764</v>
      </c>
      <c r="AA229" s="70">
        <f>IF(VLOOKUP($A229,raw_lb[],COLUMN(AB$1)-COLUMN($A$1),FALSE)=0, VLOOKUP($D229, regions_lb[], COLUMN(AB$1)-COLUMN($A$1), FALSE), VLOOKUP($A229,raw_lb[],COLUMN(AB$1)-COLUMN($A$1),FALSE))</f>
        <v>2.2362669070477552</v>
      </c>
      <c r="AB229" s="70">
        <f>IF(VLOOKUP($A229,raw_lb[],COLUMN(AC$1)-COLUMN($A$1),FALSE)=0, VLOOKUP($D229, regions_lb[], COLUMN(AC$1)-COLUMN($A$1), FALSE), VLOOKUP($A229,raw_lb[],COLUMN(AC$1)-COLUMN($A$1),FALSE))</f>
        <v>2.2552669070477553</v>
      </c>
      <c r="AC229" s="72">
        <f>IF(VLOOKUP($A229,raw_lb[],COLUMN(AD$1)-COLUMN($A$1),FALSE)=0, VLOOKUP($D229, regions_lb[], COLUMN(AD$1)-COLUMN($A$1), FALSE), VLOOKUP($A229,raw_lb[],COLUMN(AD$1)-COLUMN($A$1),FALSE))</f>
        <v>1.5944828500000053E-2</v>
      </c>
      <c r="AD229" s="72">
        <f>IF(VLOOKUP($A229,raw_lb[],COLUMN(AE$1)-COLUMN($A$1),FALSE)=0, VLOOKUP($D229, regions_lb[], COLUMN(AE$1)-COLUMN($A$1), FALSE), VLOOKUP($A229,raw_lb[],COLUMN(AE$1)-COLUMN($A$1),FALSE))</f>
        <v>8.3740337842558505E-4</v>
      </c>
      <c r="AE229" s="72">
        <f>IF(VLOOKUP($A229,raw_lb[],COLUMN(AF$1)-COLUMN($A$1),FALSE)=0, VLOOKUP($D229, regions_lb[], COLUMN(AF$1)-COLUMN($A$1), FALSE), VLOOKUP($A229,raw_lb[],COLUMN(AF$1)-COLUMN($A$1),FALSE))</f>
        <v>4.3792634123399331E-4</v>
      </c>
      <c r="AF229" s="72">
        <f>IF(VLOOKUP($A229,raw_lb[],COLUMN(AG$1)-COLUMN($A$1),FALSE)=0, VLOOKUP($D229, regions_lb[], COLUMN(AG$1)-COLUMN($A$1), FALSE), VLOOKUP($A229,raw_lb[],COLUMN(AG$1)-COLUMN($A$1),FALSE))</f>
        <v>4.3765516254758364E-4</v>
      </c>
      <c r="AG229" s="72">
        <f>IF(VLOOKUP($A229,raw_lb[],COLUMN(AH$1)-COLUMN($A$1),FALSE)=0, VLOOKUP($D229, regions_lb[], COLUMN(AH$1)-COLUMN($A$1), FALSE), VLOOKUP($A229,raw_lb[],COLUMN(AH$1)-COLUMN($A$1),FALSE))</f>
        <v>1.0747365795624585E-3</v>
      </c>
      <c r="AH229" s="72">
        <f>IF(VLOOKUP($A229,raw_lb[],COLUMN(AI$1)-COLUMN($A$1),FALSE)=0, VLOOKUP($D229, regions_lb[], COLUMN(AI$1)-COLUMN($A$1), FALSE), VLOOKUP($A229,raw_lb[],COLUMN(AI$1)-COLUMN($A$1),FALSE))</f>
        <v>1.4323156347979295E-3</v>
      </c>
      <c r="AI229" s="72">
        <f>IF(VLOOKUP($A229,raw_lb[],COLUMN(AJ$1)-COLUMN($A$1),FALSE)=0, VLOOKUP($D229, regions_lb[], COLUMN(AJ$1)-COLUMN($A$1), FALSE), VLOOKUP($A229,raw_lb[],COLUMN(AJ$1)-COLUMN($A$1),FALSE))</f>
        <v>1.6805103980700605E-3</v>
      </c>
      <c r="AJ229" s="72">
        <f>IF(VLOOKUP($A229,raw_lb[],COLUMN(AK$1)-COLUMN($A$1),FALSE)=0, VLOOKUP($D229, regions_lb[], COLUMN(AK$1)-COLUMN($A$1), FALSE), VLOOKUP($A229,raw_lb[],COLUMN(AK$1)-COLUMN($A$1),FALSE))</f>
        <v>2.0210303090451697E-3</v>
      </c>
      <c r="AK229" s="72">
        <f>IF(VLOOKUP($A229,raw_lb[],COLUMN(AL$1)-COLUMN($A$1),FALSE)=0, VLOOKUP($D229, regions_lb[], COLUMN(AL$1)-COLUMN($A$1), FALSE), VLOOKUP($A229,raw_lb[],COLUMN(AL$1)-COLUMN($A$1),FALSE))</f>
        <v>2.5642519566147345E-3</v>
      </c>
      <c r="AL229" s="72">
        <f>IF(VLOOKUP($A229,raw_lb[],COLUMN(AM$1)-COLUMN($A$1),FALSE)=0, VLOOKUP($D229, regions_lb[], COLUMN(AM$1)-COLUMN($A$1), FALSE), VLOOKUP($A229,raw_lb[],COLUMN(AM$1)-COLUMN($A$1),FALSE))</f>
        <v>3.2632799243072874E-3</v>
      </c>
      <c r="AM229" s="72">
        <f>IF(VLOOKUP($A229,raw_lb[],COLUMN(AN$1)-COLUMN($A$1),FALSE)=0, VLOOKUP($D229, regions_lb[], COLUMN(AN$1)-COLUMN($A$1), FALSE), VLOOKUP($A229,raw_lb[],COLUMN(AN$1)-COLUMN($A$1),FALSE))</f>
        <v>4.2917538458424583E-3</v>
      </c>
      <c r="AN229" s="72">
        <f>IF(VLOOKUP($A229,raw_lb[],COLUMN(AO$1)-COLUMN($A$1),FALSE)=0, VLOOKUP($D229, regions_lb[], COLUMN(AO$1)-COLUMN($A$1), FALSE), VLOOKUP($A229,raw_lb[],COLUMN(AO$1)-COLUMN($A$1),FALSE))</f>
        <v>6.0380138750979473E-3</v>
      </c>
      <c r="AO229" s="72">
        <f>IF(VLOOKUP($A229,raw_lb[],COLUMN(AP$1)-COLUMN($A$1),FALSE)=0, VLOOKUP($D229, regions_lb[], COLUMN(AP$1)-COLUMN($A$1), FALSE), VLOOKUP($A229,raw_lb[],COLUMN(AP$1)-COLUMN($A$1),FALSE))</f>
        <v>8.5906702972358834E-3</v>
      </c>
      <c r="AP229" s="72">
        <f>IF(VLOOKUP($A229,raw_lb[],COLUMN(AQ$1)-COLUMN($A$1),FALSE)=0, VLOOKUP($D229, regions_lb[], COLUMN(AQ$1)-COLUMN($A$1), FALSE), VLOOKUP($A229,raw_lb[],COLUMN(AQ$1)-COLUMN($A$1),FALSE))</f>
        <v>1.2374345894257649E-2</v>
      </c>
      <c r="AQ229" s="72">
        <f>IF(VLOOKUP($A229,raw_lb[],COLUMN(AR$1)-COLUMN($A$1),FALSE)=0, VLOOKUP($D229, regions_lb[], COLUMN(AR$1)-COLUMN($A$1), FALSE), VLOOKUP($A229,raw_lb[],COLUMN(AR$1)-COLUMN($A$1),FALSE))</f>
        <v>1.8074151782531259E-2</v>
      </c>
      <c r="AR229" s="72">
        <f>IF(VLOOKUP($A229,raw_lb[],COLUMN(AS$1)-COLUMN($A$1),FALSE)=0, VLOOKUP($D229, regions_lb[], COLUMN(AS$1)-COLUMN($A$1), FALSE), VLOOKUP($A229,raw_lb[],COLUMN(AS$1)-COLUMN($A$1),FALSE))</f>
        <v>2.6154771693124083E-2</v>
      </c>
      <c r="AS229" s="82">
        <f>IF(VLOOKUP($A229,raw_lb[],COLUMN(AS$1),FALSE)=0, VLOOKUP($D229, regions_lb[], COLUMN(AS$1), FALSE), VLOOKUP($A229,raw_lb[],COLUMN(AS$1),FALSE))</f>
        <v>3.8368944009701887E-2</v>
      </c>
      <c r="AT229" s="82">
        <f>IF(VLOOKUP($A229,raw_lb[],COLUMN(AT$1),FALSE)=0, VLOOKUP($D229, regions_lb[], COLUMN(AT$1), FALSE), VLOOKUP($A229,raw_lb[],COLUMN(AT$1),FALSE))</f>
        <v>6.2466379812237072E-2</v>
      </c>
      <c r="AU229" s="82">
        <f>IF(VLOOKUP($A229,raw_lb[],COLUMN(AU$1),FALSE)=0, VLOOKUP($D229, regions_lb[], COLUMN(AU$1), FALSE), VLOOKUP($A229,raw_lb[],COLUMN(AU$1),FALSE))</f>
        <v>8.8087652571535807E-2</v>
      </c>
      <c r="AV229" s="82">
        <f>IF(VLOOKUP($A229,raw_lb[],COLUMN(AV$1),FALSE)=0, VLOOKUP($D229, regions_lb[], COLUMN(AV$1), FALSE), VLOOKUP($A229,raw_lb[],COLUMN(AV$1),FALSE))</f>
        <v>0.11497718618628529</v>
      </c>
      <c r="AW229" s="82">
        <f>IF(VLOOKUP($A229,raw_lb[],COLUMN(AW$1),FALSE)=0, VLOOKUP($D229, regions_lb[], COLUMN(AW$1), FALSE), VLOOKUP($A229,raw_lb[],COLUMN(AW$1),FALSE))</f>
        <v>0.13816143670701386</v>
      </c>
      <c r="AX229" s="82">
        <f>IF(VLOOKUP($A229,raw_lb[],COLUMN(AX$1),FALSE)=0, VLOOKUP($D229, regions_lb[], COLUMN(AX$1), FALSE), VLOOKUP($A229,raw_lb[],COLUMN(AX$1),FALSE))</f>
        <v>70.446299999999994</v>
      </c>
      <c r="AY229" t="str">
        <f t="shared" si="7"/>
        <v>Yes</v>
      </c>
    </row>
    <row r="230" spans="1:51" x14ac:dyDescent="0.25">
      <c r="A230" s="53" t="s">
        <v>404</v>
      </c>
      <c r="B230" s="54" t="s">
        <v>405</v>
      </c>
      <c r="C230" s="54">
        <v>562</v>
      </c>
      <c r="D230" s="54" t="s">
        <v>207</v>
      </c>
      <c r="E230" s="54" t="s">
        <v>235</v>
      </c>
      <c r="F230" s="54" t="s">
        <v>211</v>
      </c>
      <c r="G230" s="54" t="s">
        <v>198</v>
      </c>
      <c r="H230" s="73"/>
      <c r="I230" s="73"/>
      <c r="J230" s="67">
        <f>IF(VLOOKUP($A230,raw_lb[],COLUMN(J$1),FALSE)=0, VLOOKUP($D230, regions_lb[], COLUMN(J$1), FALSE), VLOOKUP($A230,raw_lb[],COLUMN(J$1),FALSE))</f>
        <v>0.55859999999999999</v>
      </c>
      <c r="K230" s="77">
        <f>VLOOKUP($A230, raw_lb[], 11, FALSE)</f>
        <v>0</v>
      </c>
      <c r="L230" s="77">
        <f>VLOOKUP($A230, raw_lb[], 12, FALSE)</f>
        <v>0.76949999999999996</v>
      </c>
      <c r="M230" s="77">
        <f>IF(VLOOKUP($A230,raw_lb[],COLUMN(M$1),FALSE)=0, VLOOKUP($D230, regions_lb[], COLUMN(M$1), FALSE), VLOOKUP($A230,raw_lb[],COLUMN(M$1),FALSE))</f>
        <v>8.7100000000000011E-2</v>
      </c>
      <c r="N230" s="68">
        <f>IF(VLOOKUP($A230,raw_lb[],COLUMN(N$1),FALSE)=0, VLOOKUP($D230, regions_lb[], COLUMN(N$1), FALSE), VLOOKUP($A230,raw_lb[],COLUMN(N$1),FALSE))</f>
        <v>0.155</v>
      </c>
      <c r="O230" s="67">
        <f>IF(VLOOKUP($A230,raw_lb[],COLUMN(O$1),FALSE)=0, VLOOKUP($D230, regions_lb[], COLUMN(O$1), FALSE), VLOOKUP($A230,raw_lb[],COLUMN(O$1),FALSE))</f>
        <v>7.0000000000000007E-2</v>
      </c>
      <c r="P230" s="68">
        <f>IF(VLOOKUP($A230,raw_lb[],COLUMN(P$1),FALSE)=0, VLOOKUP($D230, regions_lb[], COLUMN(P$1), FALSE), VLOOKUP($A230,raw_lb[],COLUMN(P$1),FALSE))</f>
        <v>1E-3</v>
      </c>
      <c r="Q230" s="70">
        <f>IF(VLOOKUP($A230,raw_lb[],COLUMN(Q$1),FALSE)=0, VLOOKUP($D230, regions_lb[], COLUMN(Q$1), FALSE), VLOOKUP($A230,raw_lb[],COLUMN(Q$1),FALSE))</f>
        <v>0.60280786516853901</v>
      </c>
      <c r="R230" s="70">
        <f>IF(VLOOKUP($A230,raw_lb[],COLUMN(R$1),FALSE)=0, VLOOKUP($D230, regions_lb[], COLUMN(R$1), FALSE), VLOOKUP($A230,raw_lb[],COLUMN(R$1),FALSE))</f>
        <v>7.66370786516854</v>
      </c>
      <c r="S230" s="70">
        <f>IF(VLOOKUP($A230,raw_lb[],COLUMN(S$1),FALSE)=0, VLOOKUP($D230, regions_lb[], COLUMN(S$1), FALSE), VLOOKUP($A230,raw_lb[],COLUMN(S$1),FALSE))</f>
        <v>37.159242351987146</v>
      </c>
      <c r="T230" s="70">
        <f>IF(VLOOKUP($A230,raw_lb[],COLUMN(U$1)-COLUMN($A$1),FALSE)=0, VLOOKUP($D230, regions_lb[], COLUMN(U$1)-COLUMN($A$1), FALSE), VLOOKUP($A230,raw_lb[],COLUMN(U$1)-COLUMN($A$1),FALSE))</f>
        <v>37.302648422129757</v>
      </c>
      <c r="U230" s="70">
        <f>IF(VLOOKUP($A230,raw_lb[],COLUMN(V$1)-COLUMN($A$1),FALSE)=0, VLOOKUP($D230, regions_lb[], COLUMN(V$1)-COLUMN($A$1), FALSE), VLOOKUP($A230,raw_lb[],COLUMN(V$1)-COLUMN($A$1),FALSE))</f>
        <v>37.236799385938426</v>
      </c>
      <c r="V230" s="70">
        <f>IF(VLOOKUP($A230,raw_lb[],COLUMN(W$1)-COLUMN($A$1),FALSE)=0, VLOOKUP($D230, regions_lb[], COLUMN(W$1)-COLUMN($A$1), FALSE), VLOOKUP($A230,raw_lb[],COLUMN(W$1)-COLUMN($A$1),FALSE))</f>
        <v>0.85417528436150902</v>
      </c>
      <c r="W230" s="70">
        <f>IF(VLOOKUP($A230,raw_lb[],COLUMN(X$1)-COLUMN($A$1),FALSE)=0, VLOOKUP($D230, regions_lb[], COLUMN(X$1)-COLUMN($A$1), FALSE), VLOOKUP($A230,raw_lb[],COLUMN(X$1)-COLUMN($A$1),FALSE))</f>
        <v>5.4426752843615089</v>
      </c>
      <c r="X230" s="70">
        <f>IF(VLOOKUP($A230,raw_lb[],COLUMN(Y$1)-COLUMN($A$1),FALSE)=0, VLOOKUP($D230, regions_lb[], COLUMN(Y$1)-COLUMN($A$1), FALSE), VLOOKUP($A230,raw_lb[],COLUMN(Y$1)-COLUMN($A$1),FALSE))</f>
        <v>0.38420955289239095</v>
      </c>
      <c r="Y230" s="70">
        <f>IF(VLOOKUP($A230,raw_lb[],COLUMN(Z$1)-COLUMN($A$1),FALSE)=0, VLOOKUP($D230, regions_lb[], COLUMN(Z$1)-COLUMN($A$1), FALSE), VLOOKUP($A230,raw_lb[],COLUMN(Z$1)-COLUMN($A$1),FALSE))</f>
        <v>4.9727095528923906</v>
      </c>
      <c r="Z230" s="70">
        <f>IF(VLOOKUP($A230,raw_lb[],COLUMN(AA$1)-COLUMN($A$1),FALSE)=0, VLOOKUP($D230, regions_lb[], COLUMN(AA$1)-COLUMN($A$1), FALSE), VLOOKUP($A230,raw_lb[],COLUMN(AA$1)-COLUMN($A$1),FALSE))</f>
        <v>4.9714426625010555</v>
      </c>
      <c r="AA230" s="70">
        <f>IF(VLOOKUP($A230,raw_lb[],COLUMN(AB$1)-COLUMN($A$1),FALSE)=0, VLOOKUP($D230, regions_lb[], COLUMN(AB$1)-COLUMN($A$1), FALSE), VLOOKUP($A230,raw_lb[],COLUMN(AB$1)-COLUMN($A$1),FALSE))</f>
        <v>0.9951762874979625</v>
      </c>
      <c r="AB230" s="70">
        <f>IF(VLOOKUP($A230,raw_lb[],COLUMN(AC$1)-COLUMN($A$1),FALSE)=0, VLOOKUP($D230, regions_lb[], COLUMN(AC$1)-COLUMN($A$1), FALSE), VLOOKUP($A230,raw_lb[],COLUMN(AC$1)-COLUMN($A$1),FALSE))</f>
        <v>5.583676287497962</v>
      </c>
      <c r="AC230" s="72">
        <f>IF(VLOOKUP($A230,raw_lb[],COLUMN(AD$1)-COLUMN($A$1),FALSE)=0, VLOOKUP($D230, regions_lb[], COLUMN(AD$1)-COLUMN($A$1), FALSE), VLOOKUP($A230,raw_lb[],COLUMN(AD$1)-COLUMN($A$1),FALSE))</f>
        <v>4.4002232999999988E-2</v>
      </c>
      <c r="AD230" s="72">
        <f>IF(VLOOKUP($A230,raw_lb[],COLUMN(AE$1)-COLUMN($A$1),FALSE)=0, VLOOKUP($D230, regions_lb[], COLUMN(AE$1)-COLUMN($A$1), FALSE), VLOOKUP($A230,raw_lb[],COLUMN(AE$1)-COLUMN($A$1),FALSE))</f>
        <v>9.5474699235655065E-3</v>
      </c>
      <c r="AE230" s="72">
        <f>IF(VLOOKUP($A230,raw_lb[],COLUMN(AF$1)-COLUMN($A$1),FALSE)=0, VLOOKUP($D230, regions_lb[], COLUMN(AF$1)-COLUMN($A$1), FALSE), VLOOKUP($A230,raw_lb[],COLUMN(AF$1)-COLUMN($A$1),FALSE))</f>
        <v>2.1129401223891676E-3</v>
      </c>
      <c r="AF230" s="72">
        <f>IF(VLOOKUP($A230,raw_lb[],COLUMN(AG$1)-COLUMN($A$1),FALSE)=0, VLOOKUP($D230, regions_lb[], COLUMN(AG$1)-COLUMN($A$1), FALSE), VLOOKUP($A230,raw_lb[],COLUMN(AG$1)-COLUMN($A$1),FALSE))</f>
        <v>1.2644162304743935E-3</v>
      </c>
      <c r="AG230" s="72">
        <f>IF(VLOOKUP($A230,raw_lb[],COLUMN(AH$1)-COLUMN($A$1),FALSE)=0, VLOOKUP($D230, regions_lb[], COLUMN(AH$1)-COLUMN($A$1), FALSE), VLOOKUP($A230,raw_lb[],COLUMN(AH$1)-COLUMN($A$1),FALSE))</f>
        <v>2.1081601042844374E-3</v>
      </c>
      <c r="AH230" s="72">
        <f>IF(VLOOKUP($A230,raw_lb[],COLUMN(AI$1)-COLUMN($A$1),FALSE)=0, VLOOKUP($D230, regions_lb[], COLUMN(AI$1)-COLUMN($A$1), FALSE), VLOOKUP($A230,raw_lb[],COLUMN(AI$1)-COLUMN($A$1),FALSE))</f>
        <v>2.7555545488676474E-3</v>
      </c>
      <c r="AI230" s="72">
        <f>IF(VLOOKUP($A230,raw_lb[],COLUMN(AJ$1)-COLUMN($A$1),FALSE)=0, VLOOKUP($D230, regions_lb[], COLUMN(AJ$1)-COLUMN($A$1), FALSE), VLOOKUP($A230,raw_lb[],COLUMN(AJ$1)-COLUMN($A$1),FALSE))</f>
        <v>3.4556613717438519E-3</v>
      </c>
      <c r="AJ230" s="72">
        <f>IF(VLOOKUP($A230,raw_lb[],COLUMN(AK$1)-COLUMN($A$1),FALSE)=0, VLOOKUP($D230, regions_lb[], COLUMN(AK$1)-COLUMN($A$1), FALSE), VLOOKUP($A230,raw_lb[],COLUMN(AK$1)-COLUMN($A$1),FALSE))</f>
        <v>3.6963985796733818E-3</v>
      </c>
      <c r="AK230" s="72">
        <f>IF(VLOOKUP($A230,raw_lb[],COLUMN(AL$1)-COLUMN($A$1),FALSE)=0, VLOOKUP($D230, regions_lb[], COLUMN(AL$1)-COLUMN($A$1), FALSE), VLOOKUP($A230,raw_lb[],COLUMN(AL$1)-COLUMN($A$1),FALSE))</f>
        <v>4.2495114001263453E-3</v>
      </c>
      <c r="AL230" s="72">
        <f>IF(VLOOKUP($A230,raw_lb[],COLUMN(AM$1)-COLUMN($A$1),FALSE)=0, VLOOKUP($D230, regions_lb[], COLUMN(AM$1)-COLUMN($A$1), FALSE), VLOOKUP($A230,raw_lb[],COLUMN(AM$1)-COLUMN($A$1),FALSE))</f>
        <v>5.1419717999589797E-3</v>
      </c>
      <c r="AM230" s="72">
        <f>IF(VLOOKUP($A230,raw_lb[],COLUMN(AN$1)-COLUMN($A$1),FALSE)=0, VLOOKUP($D230, regions_lb[], COLUMN(AN$1)-COLUMN($A$1), FALSE), VLOOKUP($A230,raw_lb[],COLUMN(AN$1)-COLUMN($A$1),FALSE))</f>
        <v>6.6147089865430629E-3</v>
      </c>
      <c r="AN230" s="72">
        <f>IF(VLOOKUP($A230,raw_lb[],COLUMN(AO$1)-COLUMN($A$1),FALSE)=0, VLOOKUP($D230, regions_lb[], COLUMN(AO$1)-COLUMN($A$1), FALSE), VLOOKUP($A230,raw_lb[],COLUMN(AO$1)-COLUMN($A$1),FALSE))</f>
        <v>9.55414793217489E-3</v>
      </c>
      <c r="AO230" s="72">
        <f>IF(VLOOKUP($A230,raw_lb[],COLUMN(AP$1)-COLUMN($A$1),FALSE)=0, VLOOKUP($D230, regions_lb[], COLUMN(AP$1)-COLUMN($A$1), FALSE), VLOOKUP($A230,raw_lb[],COLUMN(AP$1)-COLUMN($A$1),FALSE))</f>
        <v>1.375634296577782E-2</v>
      </c>
      <c r="AP230" s="72">
        <f>IF(VLOOKUP($A230,raw_lb[],COLUMN(AQ$1)-COLUMN($A$1),FALSE)=0, VLOOKUP($D230, regions_lb[], COLUMN(AQ$1)-COLUMN($A$1), FALSE), VLOOKUP($A230,raw_lb[],COLUMN(AQ$1)-COLUMN($A$1),FALSE))</f>
        <v>1.9495724055795961E-2</v>
      </c>
      <c r="AQ230" s="72">
        <f>IF(VLOOKUP($A230,raw_lb[],COLUMN(AR$1)-COLUMN($A$1),FALSE)=0, VLOOKUP($D230, regions_lb[], COLUMN(AR$1)-COLUMN($A$1), FALSE), VLOOKUP($A230,raw_lb[],COLUMN(AR$1)-COLUMN($A$1),FALSE))</f>
        <v>2.9484359242459145E-2</v>
      </c>
      <c r="AR230" s="72">
        <f>IF(VLOOKUP($A230,raw_lb[],COLUMN(AS$1)-COLUMN($A$1),FALSE)=0, VLOOKUP($D230, regions_lb[], COLUMN(AS$1)-COLUMN($A$1), FALSE), VLOOKUP($A230,raw_lb[],COLUMN(AS$1)-COLUMN($A$1),FALSE))</f>
        <v>4.796525179671271E-2</v>
      </c>
      <c r="AS230" s="82">
        <f>IF(VLOOKUP($A230,raw_lb[],COLUMN(AS$1),FALSE)=0, VLOOKUP($D230, regions_lb[], COLUMN(AS$1), FALSE), VLOOKUP($A230,raw_lb[],COLUMN(AS$1),FALSE))</f>
        <v>7.5419863307138832E-2</v>
      </c>
      <c r="AT230" s="82">
        <f>IF(VLOOKUP($A230,raw_lb[],COLUMN(AT$1),FALSE)=0, VLOOKUP($D230, regions_lb[], COLUMN(AT$1), FALSE), VLOOKUP($A230,raw_lb[],COLUMN(AT$1),FALSE))</f>
        <v>0.1104036325038866</v>
      </c>
      <c r="AU230" s="82">
        <f>IF(VLOOKUP($A230,raw_lb[],COLUMN(AU$1),FALSE)=0, VLOOKUP($D230, regions_lb[], COLUMN(AU$1), FALSE), VLOOKUP($A230,raw_lb[],COLUMN(AU$1),FALSE))</f>
        <v>0.14358583382082996</v>
      </c>
      <c r="AV230" s="82">
        <f>IF(VLOOKUP($A230,raw_lb[],COLUMN(AV$1),FALSE)=0, VLOOKUP($D230, regions_lb[], COLUMN(AV$1), FALSE), VLOOKUP($A230,raw_lb[],COLUMN(AV$1),FALSE))</f>
        <v>0.16647381207051634</v>
      </c>
      <c r="AW230" s="82">
        <f>IF(VLOOKUP($A230,raw_lb[],COLUMN(AW$1),FALSE)=0, VLOOKUP($D230, regions_lb[], COLUMN(AW$1), FALSE), VLOOKUP($A230,raw_lb[],COLUMN(AW$1),FALSE))</f>
        <v>0.17697206575818969</v>
      </c>
      <c r="AX230" s="82">
        <f>IF(VLOOKUP($A230,raw_lb[],COLUMN(AX$1),FALSE)=0, VLOOKUP($D230, regions_lb[], COLUMN(AX$1), FALSE), VLOOKUP($A230,raw_lb[],COLUMN(AX$1),FALSE))</f>
        <v>58.709049999999998</v>
      </c>
      <c r="AY230" t="str">
        <f t="shared" si="7"/>
        <v>Yes</v>
      </c>
    </row>
    <row r="231" spans="1:51" x14ac:dyDescent="0.25">
      <c r="A231" s="55" t="s">
        <v>406</v>
      </c>
      <c r="B231" s="56" t="s">
        <v>407</v>
      </c>
      <c r="C231" s="56">
        <v>566</v>
      </c>
      <c r="D231" s="56" t="s">
        <v>207</v>
      </c>
      <c r="E231" s="56" t="s">
        <v>235</v>
      </c>
      <c r="F231" s="56" t="s">
        <v>211</v>
      </c>
      <c r="G231" s="56" t="s">
        <v>212</v>
      </c>
      <c r="H231" s="74"/>
      <c r="I231" s="74"/>
      <c r="J231" s="67">
        <f>IF(VLOOKUP($A231,raw_lb[],COLUMN(J$1),FALSE)=0, VLOOKUP($D231, regions_lb[], COLUMN(J$1), FALSE), VLOOKUP($A231,raw_lb[],COLUMN(J$1),FALSE))</f>
        <v>0.37429999999999997</v>
      </c>
      <c r="K231" s="77">
        <f>VLOOKUP($A231, raw_lb[], 11, FALSE)</f>
        <v>0</v>
      </c>
      <c r="L231" s="77">
        <f>VLOOKUP($A231, raw_lb[], 12, FALSE)</f>
        <v>0.54149999999999998</v>
      </c>
      <c r="M231" s="77">
        <f>IF(VLOOKUP($A231,raw_lb[],COLUMN(M$1),FALSE)=0, VLOOKUP($D231, regions_lb[], COLUMN(M$1), FALSE), VLOOKUP($A231,raw_lb[],COLUMN(M$1),FALSE))</f>
        <v>5.1699999999999996E-2</v>
      </c>
      <c r="N231" s="68">
        <f>IF(VLOOKUP($A231,raw_lb[],COLUMN(N$1),FALSE)=0, VLOOKUP($D231, regions_lb[], COLUMN(N$1), FALSE), VLOOKUP($A231,raw_lb[],COLUMN(N$1),FALSE))</f>
        <v>0.155</v>
      </c>
      <c r="O231" s="67">
        <f>IF(VLOOKUP($A231,raw_lb[],COLUMN(O$1),FALSE)=0, VLOOKUP($D231, regions_lb[], COLUMN(O$1), FALSE), VLOOKUP($A231,raw_lb[],COLUMN(O$1),FALSE))</f>
        <v>7.0000000000000007E-2</v>
      </c>
      <c r="P231" s="68">
        <f>IF(VLOOKUP($A231,raw_lb[],COLUMN(P$1),FALSE)=0, VLOOKUP($D231, regions_lb[], COLUMN(P$1), FALSE), VLOOKUP($A231,raw_lb[],COLUMN(P$1),FALSE))</f>
        <v>1E-3</v>
      </c>
      <c r="Q231" s="70">
        <f>IF(VLOOKUP($A231,raw_lb[],COLUMN(Q$1),FALSE)=0, VLOOKUP($D231, regions_lb[], COLUMN(Q$1), FALSE), VLOOKUP($A231,raw_lb[],COLUMN(Q$1),FALSE))</f>
        <v>0.84435311203319507</v>
      </c>
      <c r="R231" s="70">
        <f>IF(VLOOKUP($A231,raw_lb[],COLUMN(R$1),FALSE)=0, VLOOKUP($D231, regions_lb[], COLUMN(R$1), FALSE), VLOOKUP($A231,raw_lb[],COLUMN(R$1),FALSE))</f>
        <v>7.9052531120331953</v>
      </c>
      <c r="S231" s="70">
        <f>IF(VLOOKUP($A231,raw_lb[],COLUMN(S$1),FALSE)=0, VLOOKUP($D231, regions_lb[], COLUMN(S$1), FALSE), VLOOKUP($A231,raw_lb[],COLUMN(S$1),FALSE))</f>
        <v>38.634579640118517</v>
      </c>
      <c r="T231" s="70">
        <f>IF(VLOOKUP($A231,raw_lb[],COLUMN(U$1)-COLUMN($A$1),FALSE)=0, VLOOKUP($D231, regions_lb[], COLUMN(U$1)-COLUMN($A$1), FALSE), VLOOKUP($A231,raw_lb[],COLUMN(U$1)-COLUMN($A$1),FALSE))</f>
        <v>39.420131345292873</v>
      </c>
      <c r="U231" s="70">
        <f>IF(VLOOKUP($A231,raw_lb[],COLUMN(V$1)-COLUMN($A$1),FALSE)=0, VLOOKUP($D231, regions_lb[], COLUMN(V$1)-COLUMN($A$1), FALSE), VLOOKUP($A231,raw_lb[],COLUMN(V$1)-COLUMN($A$1),FALSE))</f>
        <v>39.059422606724524</v>
      </c>
      <c r="V231" s="70">
        <f>IF(VLOOKUP($A231,raw_lb[],COLUMN(W$1)-COLUMN($A$1),FALSE)=0, VLOOKUP($D231, regions_lb[], COLUMN(W$1)-COLUMN($A$1), FALSE), VLOOKUP($A231,raw_lb[],COLUMN(W$1)-COLUMN($A$1),FALSE))</f>
        <v>0.5934685210288374</v>
      </c>
      <c r="W231" s="70">
        <f>IF(VLOOKUP($A231,raw_lb[],COLUMN(X$1)-COLUMN($A$1),FALSE)=0, VLOOKUP($D231, regions_lb[], COLUMN(X$1)-COLUMN($A$1), FALSE), VLOOKUP($A231,raw_lb[],COLUMN(X$1)-COLUMN($A$1),FALSE))</f>
        <v>5.1819685210288373</v>
      </c>
      <c r="X231" s="70">
        <f>IF(VLOOKUP($A231,raw_lb[],COLUMN(Y$1)-COLUMN($A$1),FALSE)=0, VLOOKUP($D231, regions_lb[], COLUMN(Y$1)-COLUMN($A$1), FALSE), VLOOKUP($A231,raw_lb[],COLUMN(Y$1)-COLUMN($A$1),FALSE))</f>
        <v>0.12051780975552527</v>
      </c>
      <c r="Y231" s="70">
        <f>IF(VLOOKUP($A231,raw_lb[],COLUMN(Z$1)-COLUMN($A$1),FALSE)=0, VLOOKUP($D231, regions_lb[], COLUMN(Z$1)-COLUMN($A$1), FALSE), VLOOKUP($A231,raw_lb[],COLUMN(Z$1)-COLUMN($A$1),FALSE))</f>
        <v>4.7090178097555251</v>
      </c>
      <c r="Z231" s="70">
        <f>IF(VLOOKUP($A231,raw_lb[],COLUMN(AA$1)-COLUMN($A$1),FALSE)=0, VLOOKUP($D231, regions_lb[], COLUMN(AA$1)-COLUMN($A$1), FALSE), VLOOKUP($A231,raw_lb[],COLUMN(AA$1)-COLUMN($A$1),FALSE))</f>
        <v>4.7057495045794262</v>
      </c>
      <c r="AA231" s="70">
        <f>IF(VLOOKUP($A231,raw_lb[],COLUMN(AB$1)-COLUMN($A$1),FALSE)=0, VLOOKUP($D231, regions_lb[], COLUMN(AB$1)-COLUMN($A$1), FALSE), VLOOKUP($A231,raw_lb[],COLUMN(AB$1)-COLUMN($A$1),FALSE))</f>
        <v>0.7436803189896608</v>
      </c>
      <c r="AB231" s="70">
        <f>IF(VLOOKUP($A231,raw_lb[],COLUMN(AC$1)-COLUMN($A$1),FALSE)=0, VLOOKUP($D231, regions_lb[], COLUMN(AC$1)-COLUMN($A$1), FALSE), VLOOKUP($A231,raw_lb[],COLUMN(AC$1)-COLUMN($A$1),FALSE))</f>
        <v>5.3321803189896606</v>
      </c>
      <c r="AC231" s="72">
        <f>IF(VLOOKUP($A231,raw_lb[],COLUMN(AD$1)-COLUMN($A$1),FALSE)=0, VLOOKUP($D231, regions_lb[], COLUMN(AD$1)-COLUMN($A$1), FALSE), VLOOKUP($A231,raw_lb[],COLUMN(AD$1)-COLUMN($A$1),FALSE))</f>
        <v>5.9048665500000048E-2</v>
      </c>
      <c r="AD231" s="72">
        <f>IF(VLOOKUP($A231,raw_lb[],COLUMN(AE$1)-COLUMN($A$1),FALSE)=0, VLOOKUP($D231, regions_lb[], COLUMN(AE$1)-COLUMN($A$1), FALSE), VLOOKUP($A231,raw_lb[],COLUMN(AE$1)-COLUMN($A$1),FALSE))</f>
        <v>1.0027517677229533E-2</v>
      </c>
      <c r="AE231" s="72">
        <f>IF(VLOOKUP($A231,raw_lb[],COLUMN(AF$1)-COLUMN($A$1),FALSE)=0, VLOOKUP($D231, regions_lb[], COLUMN(AF$1)-COLUMN($A$1), FALSE), VLOOKUP($A231,raw_lb[],COLUMN(AF$1)-COLUMN($A$1),FALSE))</f>
        <v>5.6146480694000784E-3</v>
      </c>
      <c r="AF231" s="72">
        <f>IF(VLOOKUP($A231,raw_lb[],COLUMN(AG$1)-COLUMN($A$1),FALSE)=0, VLOOKUP($D231, regions_lb[], COLUMN(AG$1)-COLUMN($A$1), FALSE), VLOOKUP($A231,raw_lb[],COLUMN(AG$1)-COLUMN($A$1),FALSE))</f>
        <v>3.0550994782269922E-3</v>
      </c>
      <c r="AG231" s="72">
        <f>IF(VLOOKUP($A231,raw_lb[],COLUMN(AH$1)-COLUMN($A$1),FALSE)=0, VLOOKUP($D231, regions_lb[], COLUMN(AH$1)-COLUMN($A$1), FALSE), VLOOKUP($A231,raw_lb[],COLUMN(AH$1)-COLUMN($A$1),FALSE))</f>
        <v>4.8095114123836618E-3</v>
      </c>
      <c r="AH231" s="72">
        <f>IF(VLOOKUP($A231,raw_lb[],COLUMN(AI$1)-COLUMN($A$1),FALSE)=0, VLOOKUP($D231, regions_lb[], COLUMN(AI$1)-COLUMN($A$1), FALSE), VLOOKUP($A231,raw_lb[],COLUMN(AI$1)-COLUMN($A$1),FALSE))</f>
        <v>5.8008155239096778E-3</v>
      </c>
      <c r="AI231" s="72">
        <f>IF(VLOOKUP($A231,raw_lb[],COLUMN(AJ$1)-COLUMN($A$1),FALSE)=0, VLOOKUP($D231, regions_lb[], COLUMN(AJ$1)-COLUMN($A$1), FALSE), VLOOKUP($A231,raw_lb[],COLUMN(AJ$1)-COLUMN($A$1),FALSE))</f>
        <v>6.3789270107266474E-3</v>
      </c>
      <c r="AJ231" s="72">
        <f>IF(VLOOKUP($A231,raw_lb[],COLUMN(AK$1)-COLUMN($A$1),FALSE)=0, VLOOKUP($D231, regions_lb[], COLUMN(AK$1)-COLUMN($A$1), FALSE), VLOOKUP($A231,raw_lb[],COLUMN(AK$1)-COLUMN($A$1),FALSE))</f>
        <v>6.6826422520068745E-3</v>
      </c>
      <c r="AK231" s="72">
        <f>IF(VLOOKUP($A231,raw_lb[],COLUMN(AL$1)-COLUMN($A$1),FALSE)=0, VLOOKUP($D231, regions_lb[], COLUMN(AL$1)-COLUMN($A$1), FALSE), VLOOKUP($A231,raw_lb[],COLUMN(AL$1)-COLUMN($A$1),FALSE))</f>
        <v>7.3168459852606497E-3</v>
      </c>
      <c r="AL231" s="72">
        <f>IF(VLOOKUP($A231,raw_lb[],COLUMN(AM$1)-COLUMN($A$1),FALSE)=0, VLOOKUP($D231, regions_lb[], COLUMN(AM$1)-COLUMN($A$1), FALSE), VLOOKUP($A231,raw_lb[],COLUMN(AM$1)-COLUMN($A$1),FALSE))</f>
        <v>8.3127819725202241E-3</v>
      </c>
      <c r="AM231" s="72">
        <f>IF(VLOOKUP($A231,raw_lb[],COLUMN(AN$1)-COLUMN($A$1),FALSE)=0, VLOOKUP($D231, regions_lb[], COLUMN(AN$1)-COLUMN($A$1), FALSE), VLOOKUP($A231,raw_lb[],COLUMN(AN$1)-COLUMN($A$1),FALSE))</f>
        <v>9.6256285964555904E-3</v>
      </c>
      <c r="AN231" s="72">
        <f>IF(VLOOKUP($A231,raw_lb[],COLUMN(AO$1)-COLUMN($A$1),FALSE)=0, VLOOKUP($D231, regions_lb[], COLUMN(AO$1)-COLUMN($A$1), FALSE), VLOOKUP($A231,raw_lb[],COLUMN(AO$1)-COLUMN($A$1),FALSE))</f>
        <v>1.2711681050821559E-2</v>
      </c>
      <c r="AO231" s="72">
        <f>IF(VLOOKUP($A231,raw_lb[],COLUMN(AP$1)-COLUMN($A$1),FALSE)=0, VLOOKUP($D231, regions_lb[], COLUMN(AP$1)-COLUMN($A$1), FALSE), VLOOKUP($A231,raw_lb[],COLUMN(AP$1)-COLUMN($A$1),FALSE))</f>
        <v>1.7397701428286914E-2</v>
      </c>
      <c r="AP231" s="72">
        <f>IF(VLOOKUP($A231,raw_lb[],COLUMN(AQ$1)-COLUMN($A$1),FALSE)=0, VLOOKUP($D231, regions_lb[], COLUMN(AQ$1)-COLUMN($A$1), FALSE), VLOOKUP($A231,raw_lb[],COLUMN(AQ$1)-COLUMN($A$1),FALSE))</f>
        <v>2.6774142736731121E-2</v>
      </c>
      <c r="AQ231" s="72">
        <f>IF(VLOOKUP($A231,raw_lb[],COLUMN(AR$1)-COLUMN($A$1),FALSE)=0, VLOOKUP($D231, regions_lb[], COLUMN(AR$1)-COLUMN($A$1), FALSE), VLOOKUP($A231,raw_lb[],COLUMN(AR$1)-COLUMN($A$1),FALSE))</f>
        <v>4.0290624259295887E-2</v>
      </c>
      <c r="AR231" s="72">
        <f>IF(VLOOKUP($A231,raw_lb[],COLUMN(AS$1)-COLUMN($A$1),FALSE)=0, VLOOKUP($D231, regions_lb[], COLUMN(AS$1)-COLUMN($A$1), FALSE), VLOOKUP($A231,raw_lb[],COLUMN(AS$1)-COLUMN($A$1),FALSE))</f>
        <v>6.2423389304718906E-2</v>
      </c>
      <c r="AS231" s="82">
        <f>IF(VLOOKUP($A231,raw_lb[],COLUMN(AS$1),FALSE)=0, VLOOKUP($D231, regions_lb[], COLUMN(AS$1), FALSE), VLOOKUP($A231,raw_lb[],COLUMN(AS$1),FALSE))</f>
        <v>9.2059244265893445E-2</v>
      </c>
      <c r="AT231" s="82">
        <f>IF(VLOOKUP($A231,raw_lb[],COLUMN(AT$1),FALSE)=0, VLOOKUP($D231, regions_lb[], COLUMN(AT$1), FALSE), VLOOKUP($A231,raw_lb[],COLUMN(AT$1),FALSE))</f>
        <v>0.12599400336954539</v>
      </c>
      <c r="AU231" s="82">
        <f>IF(VLOOKUP($A231,raw_lb[],COLUMN(AU$1),FALSE)=0, VLOOKUP($D231, regions_lb[], COLUMN(AU$1), FALSE), VLOOKUP($A231,raw_lb[],COLUMN(AU$1),FALSE))</f>
        <v>0.15441394223615879</v>
      </c>
      <c r="AV231" s="82">
        <f>IF(VLOOKUP($A231,raw_lb[],COLUMN(AV$1),FALSE)=0, VLOOKUP($D231, regions_lb[], COLUMN(AV$1), FALSE), VLOOKUP($A231,raw_lb[],COLUMN(AV$1),FALSE))</f>
        <v>0.17181653055795049</v>
      </c>
      <c r="AW231" s="82">
        <f>IF(VLOOKUP($A231,raw_lb[],COLUMN(AW$1),FALSE)=0, VLOOKUP($D231, regions_lb[], COLUMN(AW$1), FALSE), VLOOKUP($A231,raw_lb[],COLUMN(AW$1),FALSE))</f>
        <v>0.1770889043157382</v>
      </c>
      <c r="AX231" s="82">
        <f>IF(VLOOKUP($A231,raw_lb[],COLUMN(AX$1),FALSE)=0, VLOOKUP($D231, regions_lb[], COLUMN(AX$1), FALSE), VLOOKUP($A231,raw_lb[],COLUMN(AX$1),FALSE))</f>
        <v>51.467199999999998</v>
      </c>
      <c r="AY231" t="str">
        <f t="shared" si="7"/>
        <v>Yes</v>
      </c>
    </row>
    <row r="232" spans="1:51" x14ac:dyDescent="0.25">
      <c r="A232" s="53" t="s">
        <v>408</v>
      </c>
      <c r="B232" s="54" t="s">
        <v>409</v>
      </c>
      <c r="C232" s="54">
        <v>807</v>
      </c>
      <c r="D232" s="54" t="s">
        <v>201</v>
      </c>
      <c r="E232" s="54" t="s">
        <v>202</v>
      </c>
      <c r="F232" s="54" t="s">
        <v>203</v>
      </c>
      <c r="G232" s="54" t="s">
        <v>204</v>
      </c>
      <c r="H232" s="73"/>
      <c r="I232" s="73"/>
      <c r="J232" s="67">
        <f>IF(VLOOKUP($A232,raw_lb[],COLUMN(J$1),FALSE)=0, VLOOKUP($D232, regions_lb[], COLUMN(J$1), FALSE), VLOOKUP($A232,raw_lb[],COLUMN(J$1),FALSE))</f>
        <v>0.9414499999999999</v>
      </c>
      <c r="K232" s="77">
        <f>VLOOKUP($A232, raw_lb[], 11, FALSE)</f>
        <v>0.92149999999999999</v>
      </c>
      <c r="L232" s="77">
        <f>VLOOKUP($A232, raw_lb[], 12, FALSE)</f>
        <v>0.79799999999999993</v>
      </c>
      <c r="M232" s="77">
        <f>IF(VLOOKUP($A232,raw_lb[],COLUMN(M$1),FALSE)=0, VLOOKUP($D232, regions_lb[], COLUMN(M$1), FALSE), VLOOKUP($A232,raw_lb[],COLUMN(M$1),FALSE))</f>
        <v>1.03E-2</v>
      </c>
      <c r="N232" s="68">
        <f>IF(VLOOKUP($A232,raw_lb[],COLUMN(N$1),FALSE)=0, VLOOKUP($D232, regions_lb[], COLUMN(N$1), FALSE), VLOOKUP($A232,raw_lb[],COLUMN(N$1),FALSE))</f>
        <v>0.16329999999999997</v>
      </c>
      <c r="O232" s="67">
        <f>IF(VLOOKUP($A232,raw_lb[],COLUMN(O$1),FALSE)=0, VLOOKUP($D232, regions_lb[], COLUMN(O$1), FALSE), VLOOKUP($A232,raw_lb[],COLUMN(O$1),FALSE))</f>
        <v>0.7</v>
      </c>
      <c r="P232" s="68">
        <f>IF(VLOOKUP($A232,raw_lb[],COLUMN(P$1),FALSE)=0, VLOOKUP($D232, regions_lb[], COLUMN(P$1), FALSE), VLOOKUP($A232,raw_lb[],COLUMN(P$1),FALSE))</f>
        <v>0.05</v>
      </c>
      <c r="Q232" s="70">
        <f>IF(VLOOKUP($A232,raw_lb[],COLUMN(Q$1),FALSE)=0, VLOOKUP($D232, regions_lb[], COLUMN(Q$1), FALSE), VLOOKUP($A232,raw_lb[],COLUMN(Q$1),FALSE))</f>
        <v>1.7337935074356201</v>
      </c>
      <c r="R232" s="70">
        <f>IF(VLOOKUP($A232,raw_lb[],COLUMN(R$1),FALSE)=0, VLOOKUP($D232, regions_lb[], COLUMN(R$1), FALSE), VLOOKUP($A232,raw_lb[],COLUMN(R$1),FALSE))</f>
        <v>8.7946935074356212</v>
      </c>
      <c r="S232" s="70">
        <f>IF(VLOOKUP($A232,raw_lb[],COLUMN(S$1),FALSE)=0, VLOOKUP($D232, regions_lb[], COLUMN(S$1), FALSE), VLOOKUP($A232,raw_lb[],COLUMN(S$1),FALSE))</f>
        <v>47.197294450388974</v>
      </c>
      <c r="T232" s="70">
        <f>IF(VLOOKUP($A232,raw_lb[],COLUMN(U$1)-COLUMN($A$1),FALSE)=0, VLOOKUP($D232, regions_lb[], COLUMN(U$1)-COLUMN($A$1), FALSE), VLOOKUP($A232,raw_lb[],COLUMN(U$1)-COLUMN($A$1),FALSE))</f>
        <v>51.976517298756477</v>
      </c>
      <c r="U232" s="70">
        <f>IF(VLOOKUP($A232,raw_lb[],COLUMN(V$1)-COLUMN($A$1),FALSE)=0, VLOOKUP($D232, regions_lb[], COLUMN(V$1)-COLUMN($A$1), FALSE), VLOOKUP($A232,raw_lb[],COLUMN(V$1)-COLUMN($A$1),FALSE))</f>
        <v>49.781999186687685</v>
      </c>
      <c r="V232" s="70">
        <f>IF(VLOOKUP($A232,raw_lb[],COLUMN(W$1)-COLUMN($A$1),FALSE)=0, VLOOKUP($D232, regions_lb[], COLUMN(W$1)-COLUMN($A$1), FALSE), VLOOKUP($A232,raw_lb[],COLUMN(W$1)-COLUMN($A$1),FALSE))</f>
        <v>3.0116637276195397</v>
      </c>
      <c r="W232" s="70">
        <f>IF(VLOOKUP($A232,raw_lb[],COLUMN(X$1)-COLUMN($A$1),FALSE)=0, VLOOKUP($D232, regions_lb[], COLUMN(X$1)-COLUMN($A$1), FALSE), VLOOKUP($A232,raw_lb[],COLUMN(X$1)-COLUMN($A$1),FALSE))</f>
        <v>6.8781637276195404</v>
      </c>
      <c r="X232" s="70">
        <f>IF(VLOOKUP($A232,raw_lb[],COLUMN(Y$1)-COLUMN($A$1),FALSE)=0, VLOOKUP($D232, regions_lb[], COLUMN(Y$1)-COLUMN($A$1), FALSE), VLOOKUP($A232,raw_lb[],COLUMN(Y$1)-COLUMN($A$1),FALSE))</f>
        <v>2.5359989901029971</v>
      </c>
      <c r="Y232" s="70">
        <f>IF(VLOOKUP($A232,raw_lb[],COLUMN(Z$1)-COLUMN($A$1),FALSE)=0, VLOOKUP($D232, regions_lb[], COLUMN(Z$1)-COLUMN($A$1), FALSE), VLOOKUP($A232,raw_lb[],COLUMN(Z$1)-COLUMN($A$1),FALSE))</f>
        <v>6.4024989901029974</v>
      </c>
      <c r="Z232" s="70">
        <f>IF(VLOOKUP($A232,raw_lb[],COLUMN(AA$1)-COLUMN($A$1),FALSE)=0, VLOOKUP($D232, regions_lb[], COLUMN(AA$1)-COLUMN($A$1), FALSE), VLOOKUP($A232,raw_lb[],COLUMN(AA$1)-COLUMN($A$1),FALSE))</f>
        <v>6.3974055257315499</v>
      </c>
      <c r="AA232" s="70">
        <f>IF(VLOOKUP($A232,raw_lb[],COLUMN(AB$1)-COLUMN($A$1),FALSE)=0, VLOOKUP($D232, regions_lb[], COLUMN(AB$1)-COLUMN($A$1), FALSE), VLOOKUP($A232,raw_lb[],COLUMN(AB$1)-COLUMN($A$1),FALSE))</f>
        <v>3.1702502351309025</v>
      </c>
      <c r="AB232" s="70">
        <f>IF(VLOOKUP($A232,raw_lb[],COLUMN(AC$1)-COLUMN($A$1),FALSE)=0, VLOOKUP($D232, regions_lb[], COLUMN(AC$1)-COLUMN($A$1), FALSE), VLOOKUP($A232,raw_lb[],COLUMN(AC$1)-COLUMN($A$1),FALSE))</f>
        <v>7.0367502351309028</v>
      </c>
      <c r="AC232" s="72">
        <f>IF(VLOOKUP($A232,raw_lb[],COLUMN(AD$1)-COLUMN($A$1),FALSE)=0, VLOOKUP($D232, regions_lb[], COLUMN(AD$1)-COLUMN($A$1), FALSE), VLOOKUP($A232,raw_lb[],COLUMN(AD$1)-COLUMN($A$1),FALSE))</f>
        <v>1.0154834999999933E-2</v>
      </c>
      <c r="AD232" s="72">
        <f>IF(VLOOKUP($A232,raw_lb[],COLUMN(AE$1)-COLUMN($A$1),FALSE)=0, VLOOKUP($D232, regions_lb[], COLUMN(AE$1)-COLUMN($A$1), FALSE), VLOOKUP($A232,raw_lb[],COLUMN(AE$1)-COLUMN($A$1),FALSE))</f>
        <v>2.7047291614255099E-4</v>
      </c>
      <c r="AE232" s="72">
        <f>IF(VLOOKUP($A232,raw_lb[],COLUMN(AF$1)-COLUMN($A$1),FALSE)=0, VLOOKUP($D232, regions_lb[], COLUMN(AF$1)-COLUMN($A$1), FALSE), VLOOKUP($A232,raw_lb[],COLUMN(AF$1)-COLUMN($A$1),FALSE))</f>
        <v>1.3250031846294633E-4</v>
      </c>
      <c r="AF232" s="72">
        <f>IF(VLOOKUP($A232,raw_lb[],COLUMN(AG$1)-COLUMN($A$1),FALSE)=0, VLOOKUP($D232, regions_lb[], COLUMN(AG$1)-COLUMN($A$1), FALSE), VLOOKUP($A232,raw_lb[],COLUMN(AG$1)-COLUMN($A$1),FALSE))</f>
        <v>1.759380207843138E-4</v>
      </c>
      <c r="AG232" s="72">
        <f>IF(VLOOKUP($A232,raw_lb[],COLUMN(AH$1)-COLUMN($A$1),FALSE)=0, VLOOKUP($D232, regions_lb[], COLUMN(AH$1)-COLUMN($A$1), FALSE), VLOOKUP($A232,raw_lb[],COLUMN(AH$1)-COLUMN($A$1),FALSE))</f>
        <v>2.7696716081456271E-4</v>
      </c>
      <c r="AH232" s="72">
        <f>IF(VLOOKUP($A232,raw_lb[],COLUMN(AI$1)-COLUMN($A$1),FALSE)=0, VLOOKUP($D232, regions_lb[], COLUMN(AI$1)-COLUMN($A$1), FALSE), VLOOKUP($A232,raw_lb[],COLUMN(AI$1)-COLUMN($A$1),FALSE))</f>
        <v>2.9802353231511865E-4</v>
      </c>
      <c r="AI232" s="72">
        <f>IF(VLOOKUP($A232,raw_lb[],COLUMN(AJ$1)-COLUMN($A$1),FALSE)=0, VLOOKUP($D232, regions_lb[], COLUMN(AJ$1)-COLUMN($A$1), FALSE), VLOOKUP($A232,raw_lb[],COLUMN(AJ$1)-COLUMN($A$1),FALSE))</f>
        <v>4.4430692201107307E-4</v>
      </c>
      <c r="AJ232" s="72">
        <f>IF(VLOOKUP($A232,raw_lb[],COLUMN(AK$1)-COLUMN($A$1),FALSE)=0, VLOOKUP($D232, regions_lb[], COLUMN(AK$1)-COLUMN($A$1), FALSE), VLOOKUP($A232,raw_lb[],COLUMN(AK$1)-COLUMN($A$1),FALSE))</f>
        <v>5.3079149329916591E-4</v>
      </c>
      <c r="AK232" s="72">
        <f>IF(VLOOKUP($A232,raw_lb[],COLUMN(AL$1)-COLUMN($A$1),FALSE)=0, VLOOKUP($D232, regions_lb[], COLUMN(AL$1)-COLUMN($A$1), FALSE), VLOOKUP($A232,raw_lb[],COLUMN(AL$1)-COLUMN($A$1),FALSE))</f>
        <v>8.4651888102711594E-4</v>
      </c>
      <c r="AL232" s="72">
        <f>IF(VLOOKUP($A232,raw_lb[],COLUMN(AM$1)-COLUMN($A$1),FALSE)=0, VLOOKUP($D232, regions_lb[], COLUMN(AM$1)-COLUMN($A$1), FALSE), VLOOKUP($A232,raw_lb[],COLUMN(AM$1)-COLUMN($A$1),FALSE))</f>
        <v>1.5460707338922123E-3</v>
      </c>
      <c r="AM232" s="72">
        <f>IF(VLOOKUP($A232,raw_lb[],COLUMN(AN$1)-COLUMN($A$1),FALSE)=0, VLOOKUP($D232, regions_lb[], COLUMN(AN$1)-COLUMN($A$1), FALSE), VLOOKUP($A232,raw_lb[],COLUMN(AN$1)-COLUMN($A$1),FALSE))</f>
        <v>2.3879528108412418E-3</v>
      </c>
      <c r="AN232" s="72">
        <f>IF(VLOOKUP($A232,raw_lb[],COLUMN(AO$1)-COLUMN($A$1),FALSE)=0, VLOOKUP($D232, regions_lb[], COLUMN(AO$1)-COLUMN($A$1), FALSE), VLOOKUP($A232,raw_lb[],COLUMN(AO$1)-COLUMN($A$1),FALSE))</f>
        <v>4.4545012750539636E-3</v>
      </c>
      <c r="AO232" s="72">
        <f>IF(VLOOKUP($A232,raw_lb[],COLUMN(AP$1)-COLUMN($A$1),FALSE)=0, VLOOKUP($D232, regions_lb[], COLUMN(AP$1)-COLUMN($A$1), FALSE), VLOOKUP($A232,raw_lb[],COLUMN(AP$1)-COLUMN($A$1),FALSE))</f>
        <v>7.5720767705574916E-3</v>
      </c>
      <c r="AP232" s="72">
        <f>IF(VLOOKUP($A232,raw_lb[],COLUMN(AQ$1)-COLUMN($A$1),FALSE)=0, VLOOKUP($D232, regions_lb[], COLUMN(AQ$1)-COLUMN($A$1), FALSE), VLOOKUP($A232,raw_lb[],COLUMN(AQ$1)-COLUMN($A$1),FALSE))</f>
        <v>1.2511948372376555E-2</v>
      </c>
      <c r="AQ232" s="72">
        <f>IF(VLOOKUP($A232,raw_lb[],COLUMN(AR$1)-COLUMN($A$1),FALSE)=0, VLOOKUP($D232, regions_lb[], COLUMN(AR$1)-COLUMN($A$1), FALSE), VLOOKUP($A232,raw_lb[],COLUMN(AR$1)-COLUMN($A$1),FALSE))</f>
        <v>1.9364195228316873E-2</v>
      </c>
      <c r="AR232" s="72">
        <f>IF(VLOOKUP($A232,raw_lb[],COLUMN(AS$1)-COLUMN($A$1),FALSE)=0, VLOOKUP($D232, regions_lb[], COLUMN(AS$1)-COLUMN($A$1), FALSE), VLOOKUP($A232,raw_lb[],COLUMN(AS$1)-COLUMN($A$1),FALSE))</f>
        <v>3.0417303977783351E-2</v>
      </c>
      <c r="AS232" s="82">
        <f>IF(VLOOKUP($A232,raw_lb[],COLUMN(AS$1),FALSE)=0, VLOOKUP($D232, regions_lb[], COLUMN(AS$1), FALSE), VLOOKUP($A232,raw_lb[],COLUMN(AS$1),FALSE))</f>
        <v>5.3976580421549812E-2</v>
      </c>
      <c r="AT232" s="82">
        <f>IF(VLOOKUP($A232,raw_lb[],COLUMN(AT$1),FALSE)=0, VLOOKUP($D232, regions_lb[], COLUMN(AT$1), FALSE), VLOOKUP($A232,raw_lb[],COLUMN(AT$1),FALSE))</f>
        <v>8.6952502476853016E-2</v>
      </c>
      <c r="AU232" s="82">
        <f>IF(VLOOKUP($A232,raw_lb[],COLUMN(AU$1),FALSE)=0, VLOOKUP($D232, regions_lb[], COLUMN(AU$1), FALSE), VLOOKUP($A232,raw_lb[],COLUMN(AU$1),FALSE))</f>
        <v>0.12323479313347013</v>
      </c>
      <c r="AV232" s="82">
        <f>IF(VLOOKUP($A232,raw_lb[],COLUMN(AV$1),FALSE)=0, VLOOKUP($D232, regions_lb[], COLUMN(AV$1), FALSE), VLOOKUP($A232,raw_lb[],COLUMN(AV$1),FALSE))</f>
        <v>0.1584157010486904</v>
      </c>
      <c r="AW232" s="82">
        <f>IF(VLOOKUP($A232,raw_lb[],COLUMN(AW$1),FALSE)=0, VLOOKUP($D232, regions_lb[], COLUMN(AW$1), FALSE), VLOOKUP($A232,raw_lb[],COLUMN(AW$1),FALSE))</f>
        <v>0.17693515833224979</v>
      </c>
      <c r="AX232" s="82">
        <f>IF(VLOOKUP($A232,raw_lb[],COLUMN(AX$1),FALSE)=0, VLOOKUP($D232, regions_lb[], COLUMN(AX$1), FALSE), VLOOKUP($A232,raw_lb[],COLUMN(AX$1),FALSE))</f>
        <v>71.822849999999988</v>
      </c>
      <c r="AY232" t="str">
        <f t="shared" si="7"/>
        <v>No</v>
      </c>
    </row>
    <row r="233" spans="1:51" x14ac:dyDescent="0.25">
      <c r="A233" s="55" t="s">
        <v>410</v>
      </c>
      <c r="B233" s="56" t="s">
        <v>411</v>
      </c>
      <c r="C233" s="56">
        <v>586</v>
      </c>
      <c r="D233" s="56" t="s">
        <v>196</v>
      </c>
      <c r="E233" s="56" t="s">
        <v>226</v>
      </c>
      <c r="F233" s="56" t="s">
        <v>226</v>
      </c>
      <c r="G233" s="56" t="s">
        <v>212</v>
      </c>
      <c r="H233" s="74"/>
      <c r="I233" s="74"/>
      <c r="J233" s="67">
        <f>IF(VLOOKUP($A233,raw_lb[],COLUMN(J$1),FALSE)=0, VLOOKUP($D233, regions_lb[], COLUMN(J$1), FALSE), VLOOKUP($A233,raw_lb[],COLUMN(J$1),FALSE))</f>
        <v>0.62890000000000001</v>
      </c>
      <c r="K233" s="77">
        <f>VLOOKUP($A233, raw_lb[], 11, FALSE)</f>
        <v>0</v>
      </c>
      <c r="L233" s="77">
        <f>VLOOKUP($A233, raw_lb[], 12, FALSE)</f>
        <v>0.73149999999999993</v>
      </c>
      <c r="M233" s="77">
        <f>IF(VLOOKUP($A233,raw_lb[],COLUMN(M$1),FALSE)=0, VLOOKUP($D233, regions_lb[], COLUMN(M$1), FALSE), VLOOKUP($A233,raw_lb[],COLUMN(M$1),FALSE))</f>
        <v>2.7400000000000001E-2</v>
      </c>
      <c r="N233" s="68">
        <f>IF(VLOOKUP($A233,raw_lb[],COLUMN(N$1),FALSE)=0, VLOOKUP($D233, regions_lb[], COLUMN(N$1), FALSE), VLOOKUP($A233,raw_lb[],COLUMN(N$1),FALSE))</f>
        <v>0.1482</v>
      </c>
      <c r="O233" s="67">
        <f>IF(VLOOKUP($A233,raw_lb[],COLUMN(O$1),FALSE)=0, VLOOKUP($D233, regions_lb[], COLUMN(O$1), FALSE), VLOOKUP($A233,raw_lb[],COLUMN(O$1),FALSE))</f>
        <v>0.7</v>
      </c>
      <c r="P233" s="68">
        <f>IF(VLOOKUP($A233,raw_lb[],COLUMN(P$1),FALSE)=0, VLOOKUP($D233, regions_lb[], COLUMN(P$1), FALSE), VLOOKUP($A233,raw_lb[],COLUMN(P$1),FALSE))</f>
        <v>0.05</v>
      </c>
      <c r="Q233" s="70">
        <f>IF(VLOOKUP($A233,raw_lb[],COLUMN(Q$1),FALSE)=0, VLOOKUP($D233, regions_lb[], COLUMN(Q$1), FALSE), VLOOKUP($A233,raw_lb[],COLUMN(Q$1),FALSE))</f>
        <v>0.71411273885350302</v>
      </c>
      <c r="R233" s="70">
        <f>IF(VLOOKUP($A233,raw_lb[],COLUMN(R$1),FALSE)=0, VLOOKUP($D233, regions_lb[], COLUMN(R$1), FALSE), VLOOKUP($A233,raw_lb[],COLUMN(R$1),FALSE))</f>
        <v>7.7750127388535031</v>
      </c>
      <c r="S233" s="70">
        <f>IF(VLOOKUP($A233,raw_lb[],COLUMN(S$1),FALSE)=0, VLOOKUP($D233, regions_lb[], COLUMN(S$1), FALSE), VLOOKUP($A233,raw_lb[],COLUMN(S$1),FALSE))</f>
        <v>37.97795744727874</v>
      </c>
      <c r="T233" s="70">
        <f>IF(VLOOKUP($A233,raw_lb[],COLUMN(U$1)-COLUMN($A$1),FALSE)=0, VLOOKUP($D233, regions_lb[], COLUMN(U$1)-COLUMN($A$1), FALSE), VLOOKUP($A233,raw_lb[],COLUMN(U$1)-COLUMN($A$1),FALSE))</f>
        <v>38.489545812968615</v>
      </c>
      <c r="U233" s="70">
        <f>IF(VLOOKUP($A233,raw_lb[],COLUMN(V$1)-COLUMN($A$1),FALSE)=0, VLOOKUP($D233, regions_lb[], COLUMN(V$1)-COLUMN($A$1), FALSE), VLOOKUP($A233,raw_lb[],COLUMN(V$1)-COLUMN($A$1),FALSE))</f>
        <v>38.25463524904427</v>
      </c>
      <c r="V233" s="70">
        <f>IF(VLOOKUP($A233,raw_lb[],COLUMN(W$1)-COLUMN($A$1),FALSE)=0, VLOOKUP($D233, regions_lb[], COLUMN(W$1)-COLUMN($A$1), FALSE), VLOOKUP($A233,raw_lb[],COLUMN(W$1)-COLUMN($A$1),FALSE))</f>
        <v>0.72267279556518793</v>
      </c>
      <c r="W233" s="70">
        <f>IF(VLOOKUP($A233,raw_lb[],COLUMN(X$1)-COLUMN($A$1),FALSE)=0, VLOOKUP($D233, regions_lb[], COLUMN(X$1)-COLUMN($A$1), FALSE), VLOOKUP($A233,raw_lb[],COLUMN(X$1)-COLUMN($A$1),FALSE))</f>
        <v>2.4420278835230391</v>
      </c>
      <c r="X233" s="70">
        <f>IF(VLOOKUP($A233,raw_lb[],COLUMN(Y$1)-COLUMN($A$1),FALSE)=0, VLOOKUP($D233, regions_lb[], COLUMN(Y$1)-COLUMN($A$1), FALSE), VLOOKUP($A233,raw_lb[],COLUMN(Y$1)-COLUMN($A$1),FALSE))</f>
        <v>0.25168773595337857</v>
      </c>
      <c r="Y233" s="70">
        <f>IF(VLOOKUP($A233,raw_lb[],COLUMN(Z$1)-COLUMN($A$1),FALSE)=0, VLOOKUP($D233, regions_lb[], COLUMN(Z$1)-COLUMN($A$1), FALSE), VLOOKUP($A233,raw_lb[],COLUMN(Z$1)-COLUMN($A$1),FALSE))</f>
        <v>1.9710428239112296</v>
      </c>
      <c r="Z233" s="70">
        <f>IF(VLOOKUP($A233,raw_lb[],COLUMN(AA$1)-COLUMN($A$1),FALSE)=0, VLOOKUP($D233, regions_lb[], COLUMN(AA$1)-COLUMN($A$1), FALSE), VLOOKUP($A233,raw_lb[],COLUMN(AA$1)-COLUMN($A$1),FALSE))</f>
        <v>1.9689006801002984</v>
      </c>
      <c r="AA233" s="70">
        <f>IF(VLOOKUP($A233,raw_lb[],COLUMN(AB$1)-COLUMN($A$1),FALSE)=0, VLOOKUP($D233, regions_lb[], COLUMN(AB$1)-COLUMN($A$1), FALSE), VLOOKUP($A233,raw_lb[],COLUMN(AB$1)-COLUMN($A$1),FALSE))</f>
        <v>0.86681915411337451</v>
      </c>
      <c r="AB233" s="70">
        <f>IF(VLOOKUP($A233,raw_lb[],COLUMN(AC$1)-COLUMN($A$1),FALSE)=0, VLOOKUP($D233, regions_lb[], COLUMN(AC$1)-COLUMN($A$1), FALSE), VLOOKUP($A233,raw_lb[],COLUMN(AC$1)-COLUMN($A$1),FALSE))</f>
        <v>2.5861742420712255</v>
      </c>
      <c r="AC233" s="72">
        <f>IF(VLOOKUP($A233,raw_lb[],COLUMN(AD$1)-COLUMN($A$1),FALSE)=0, VLOOKUP($D233, regions_lb[], COLUMN(AD$1)-COLUMN($A$1), FALSE), VLOOKUP($A233,raw_lb[],COLUMN(AD$1)-COLUMN($A$1),FALSE))</f>
        <v>5.8266872499999955E-2</v>
      </c>
      <c r="AD233" s="72">
        <f>IF(VLOOKUP($A233,raw_lb[],COLUMN(AE$1)-COLUMN($A$1),FALSE)=0, VLOOKUP($D233, regions_lb[], COLUMN(AE$1)-COLUMN($A$1), FALSE), VLOOKUP($A233,raw_lb[],COLUMN(AE$1)-COLUMN($A$1),FALSE))</f>
        <v>3.4323076104403444E-3</v>
      </c>
      <c r="AE233" s="72">
        <f>IF(VLOOKUP($A233,raw_lb[],COLUMN(AF$1)-COLUMN($A$1),FALSE)=0, VLOOKUP($D233, regions_lb[], COLUMN(AF$1)-COLUMN($A$1), FALSE), VLOOKUP($A233,raw_lb[],COLUMN(AF$1)-COLUMN($A$1),FALSE))</f>
        <v>1.0088719933404821E-3</v>
      </c>
      <c r="AF233" s="72">
        <f>IF(VLOOKUP($A233,raw_lb[],COLUMN(AG$1)-COLUMN($A$1),FALSE)=0, VLOOKUP($D233, regions_lb[], COLUMN(AG$1)-COLUMN($A$1), FALSE), VLOOKUP($A233,raw_lb[],COLUMN(AG$1)-COLUMN($A$1),FALSE))</f>
        <v>6.4999906649596385E-4</v>
      </c>
      <c r="AG233" s="72">
        <f>IF(VLOOKUP($A233,raw_lb[],COLUMN(AH$1)-COLUMN($A$1),FALSE)=0, VLOOKUP($D233, regions_lb[], COLUMN(AH$1)-COLUMN($A$1), FALSE), VLOOKUP($A233,raw_lb[],COLUMN(AH$1)-COLUMN($A$1),FALSE))</f>
        <v>8.5628998969895689E-4</v>
      </c>
      <c r="AH233" s="72">
        <f>IF(VLOOKUP($A233,raw_lb[],COLUMN(AI$1)-COLUMN($A$1),FALSE)=0, VLOOKUP($D233, regions_lb[], COLUMN(AI$1)-COLUMN($A$1), FALSE), VLOOKUP($A233,raw_lb[],COLUMN(AI$1)-COLUMN($A$1),FALSE))</f>
        <v>1.1473223685621403E-3</v>
      </c>
      <c r="AI233" s="72">
        <f>IF(VLOOKUP($A233,raw_lb[],COLUMN(AJ$1)-COLUMN($A$1),FALSE)=0, VLOOKUP($D233, regions_lb[], COLUMN(AJ$1)-COLUMN($A$1), FALSE), VLOOKUP($A233,raw_lb[],COLUMN(AJ$1)-COLUMN($A$1),FALSE))</f>
        <v>1.2803164036631562E-3</v>
      </c>
      <c r="AJ233" s="72">
        <f>IF(VLOOKUP($A233,raw_lb[],COLUMN(AK$1)-COLUMN($A$1),FALSE)=0, VLOOKUP($D233, regions_lb[], COLUMN(AK$1)-COLUMN($A$1), FALSE), VLOOKUP($A233,raw_lb[],COLUMN(AK$1)-COLUMN($A$1),FALSE))</f>
        <v>1.6089883062195734E-3</v>
      </c>
      <c r="AK233" s="72">
        <f>IF(VLOOKUP($A233,raw_lb[],COLUMN(AL$1)-COLUMN($A$1),FALSE)=0, VLOOKUP($D233, regions_lb[], COLUMN(AL$1)-COLUMN($A$1), FALSE), VLOOKUP($A233,raw_lb[],COLUMN(AL$1)-COLUMN($A$1),FALSE))</f>
        <v>2.1461096922397063E-3</v>
      </c>
      <c r="AL233" s="72">
        <f>IF(VLOOKUP($A233,raw_lb[],COLUMN(AM$1)-COLUMN($A$1),FALSE)=0, VLOOKUP($D233, regions_lb[], COLUMN(AM$1)-COLUMN($A$1), FALSE), VLOOKUP($A233,raw_lb[],COLUMN(AM$1)-COLUMN($A$1),FALSE))</f>
        <v>3.0249491935646806E-3</v>
      </c>
      <c r="AM233" s="72">
        <f>IF(VLOOKUP($A233,raw_lb[],COLUMN(AN$1)-COLUMN($A$1),FALSE)=0, VLOOKUP($D233, regions_lb[], COLUMN(AN$1)-COLUMN($A$1), FALSE), VLOOKUP($A233,raw_lb[],COLUMN(AN$1)-COLUMN($A$1),FALSE))</f>
        <v>4.4601539023797019E-3</v>
      </c>
      <c r="AN233" s="72">
        <f>IF(VLOOKUP($A233,raw_lb[],COLUMN(AO$1)-COLUMN($A$1),FALSE)=0, VLOOKUP($D233, regions_lb[], COLUMN(AO$1)-COLUMN($A$1), FALSE), VLOOKUP($A233,raw_lb[],COLUMN(AO$1)-COLUMN($A$1),FALSE))</f>
        <v>6.7972543118157624E-3</v>
      </c>
      <c r="AO233" s="72">
        <f>IF(VLOOKUP($A233,raw_lb[],COLUMN(AP$1)-COLUMN($A$1),FALSE)=0, VLOOKUP($D233, regions_lb[], COLUMN(AP$1)-COLUMN($A$1), FALSE), VLOOKUP($A233,raw_lb[],COLUMN(AP$1)-COLUMN($A$1),FALSE))</f>
        <v>1.0528797442182205E-2</v>
      </c>
      <c r="AP233" s="72">
        <f>IF(VLOOKUP($A233,raw_lb[],COLUMN(AQ$1)-COLUMN($A$1),FALSE)=0, VLOOKUP($D233, regions_lb[], COLUMN(AQ$1)-COLUMN($A$1), FALSE), VLOOKUP($A233,raw_lb[],COLUMN(AQ$1)-COLUMN($A$1),FALSE))</f>
        <v>1.6854380775617295E-2</v>
      </c>
      <c r="AQ233" s="72">
        <f>IF(VLOOKUP($A233,raw_lb[],COLUMN(AR$1)-COLUMN($A$1),FALSE)=0, VLOOKUP($D233, regions_lb[], COLUMN(AR$1)-COLUMN($A$1), FALSE), VLOOKUP($A233,raw_lb[],COLUMN(AR$1)-COLUMN($A$1),FALSE))</f>
        <v>2.6257311158854057E-2</v>
      </c>
      <c r="AR233" s="72">
        <f>IF(VLOOKUP($A233,raw_lb[],COLUMN(AS$1)-COLUMN($A$1),FALSE)=0, VLOOKUP($D233, regions_lb[], COLUMN(AS$1)-COLUMN($A$1), FALSE), VLOOKUP($A233,raw_lb[],COLUMN(AS$1)-COLUMN($A$1),FALSE))</f>
        <v>4.006087254055244E-2</v>
      </c>
      <c r="AS233" s="82">
        <f>IF(VLOOKUP($A233,raw_lb[],COLUMN(AS$1),FALSE)=0, VLOOKUP($D233, regions_lb[], COLUMN(AS$1), FALSE), VLOOKUP($A233,raw_lb[],COLUMN(AS$1),FALSE))</f>
        <v>6.0671704320405917E-2</v>
      </c>
      <c r="AT233" s="82">
        <f>IF(VLOOKUP($A233,raw_lb[],COLUMN(AT$1),FALSE)=0, VLOOKUP($D233, regions_lb[], COLUMN(AT$1), FALSE), VLOOKUP($A233,raw_lb[],COLUMN(AT$1),FALSE))</f>
        <v>8.969681302552375E-2</v>
      </c>
      <c r="AU233" s="82">
        <f>IF(VLOOKUP($A233,raw_lb[],COLUMN(AU$1),FALSE)=0, VLOOKUP($D233, regions_lb[], COLUMN(AU$1), FALSE), VLOOKUP($A233,raw_lb[],COLUMN(AU$1),FALSE))</f>
        <v>0.12542884675011584</v>
      </c>
      <c r="AV233" s="82">
        <f>IF(VLOOKUP($A233,raw_lb[],COLUMN(AV$1),FALSE)=0, VLOOKUP($D233, regions_lb[], COLUMN(AV$1), FALSE), VLOOKUP($A233,raw_lb[],COLUMN(AV$1),FALSE))</f>
        <v>0.1554211436704761</v>
      </c>
      <c r="AW233" s="82">
        <f>IF(VLOOKUP($A233,raw_lb[],COLUMN(AW$1),FALSE)=0, VLOOKUP($D233, regions_lb[], COLUMN(AW$1), FALSE), VLOOKUP($A233,raw_lb[],COLUMN(AW$1),FALSE))</f>
        <v>0.17211953083261053</v>
      </c>
      <c r="AX233" s="82">
        <f>IF(VLOOKUP($A233,raw_lb[],COLUMN(AX$1),FALSE)=0, VLOOKUP($D233, regions_lb[], COLUMN(AX$1), FALSE), VLOOKUP($A233,raw_lb[],COLUMN(AX$1),FALSE))</f>
        <v>63.666149999999995</v>
      </c>
      <c r="AY233" t="str">
        <f t="shared" si="7"/>
        <v>Yes</v>
      </c>
    </row>
    <row r="234" spans="1:51" x14ac:dyDescent="0.25">
      <c r="A234" s="53" t="s">
        <v>412</v>
      </c>
      <c r="B234" s="54" t="s">
        <v>413</v>
      </c>
      <c r="C234" s="54">
        <v>275</v>
      </c>
      <c r="D234" s="54" t="s">
        <v>196</v>
      </c>
      <c r="E234" s="54" t="s">
        <v>197</v>
      </c>
      <c r="F234" s="54" t="s">
        <v>197</v>
      </c>
      <c r="G234" s="54" t="s">
        <v>212</v>
      </c>
      <c r="H234" s="73"/>
      <c r="I234" s="73"/>
      <c r="J234" s="67">
        <f>IF(VLOOKUP($A234,raw_lb[],COLUMN(J$1),FALSE)=0, VLOOKUP($D234, regions_lb[], COLUMN(J$1), FALSE), VLOOKUP($A234,raw_lb[],COLUMN(J$1),FALSE))</f>
        <v>0.94334999999999991</v>
      </c>
      <c r="K234" s="77">
        <f>VLOOKUP($A234, raw_lb[], 11, FALSE)</f>
        <v>0.9405</v>
      </c>
      <c r="L234" s="77">
        <f>VLOOKUP($A234, raw_lb[], 12, FALSE)</f>
        <v>0.9405</v>
      </c>
      <c r="M234" s="77">
        <f>IF(VLOOKUP($A234,raw_lb[],COLUMN(M$1),FALSE)=0, VLOOKUP($D234, regions_lb[], COLUMN(M$1), FALSE), VLOOKUP($A234,raw_lb[],COLUMN(M$1),FALSE))</f>
        <v>1.2018602180419433E-2</v>
      </c>
      <c r="N234" s="68">
        <f>IF(VLOOKUP($A234,raw_lb[],COLUMN(N$1),FALSE)=0, VLOOKUP($D234, regions_lb[], COLUMN(N$1), FALSE), VLOOKUP($A234,raw_lb[],COLUMN(N$1),FALSE))</f>
        <v>0.14981588877751942</v>
      </c>
      <c r="O234" s="67">
        <f>IF(VLOOKUP($A234,raw_lb[],COLUMN(O$1),FALSE)=0, VLOOKUP($D234, regions_lb[], COLUMN(O$1), FALSE), VLOOKUP($A234,raw_lb[],COLUMN(O$1),FALSE))</f>
        <v>0.7</v>
      </c>
      <c r="P234" s="68">
        <f>IF(VLOOKUP($A234,raw_lb[],COLUMN(P$1),FALSE)=0, VLOOKUP($D234, regions_lb[], COLUMN(P$1), FALSE), VLOOKUP($A234,raw_lb[],COLUMN(P$1),FALSE))</f>
        <v>0.05</v>
      </c>
      <c r="Q234" s="70">
        <f>IF(VLOOKUP($A234,raw_lb[],COLUMN(Q$1),FALSE)=0, VLOOKUP($D234, regions_lb[], COLUMN(Q$1), FALSE), VLOOKUP($A234,raw_lb[],COLUMN(Q$1),FALSE))</f>
        <v>1.3020815871657816</v>
      </c>
      <c r="R234" s="70">
        <f>IF(VLOOKUP($A234,raw_lb[],COLUMN(R$1),FALSE)=0, VLOOKUP($D234, regions_lb[], COLUMN(R$1), FALSE), VLOOKUP($A234,raw_lb[],COLUMN(R$1),FALSE))</f>
        <v>8.362981587165784</v>
      </c>
      <c r="S234" s="70">
        <f>IF(VLOOKUP($A234,raw_lb[],COLUMN(S$1),FALSE)=0, VLOOKUP($D234, regions_lb[], COLUMN(S$1), FALSE), VLOOKUP($A234,raw_lb[],COLUMN(S$1),FALSE))</f>
        <v>43.296947842982554</v>
      </c>
      <c r="T234" s="70">
        <f>IF(VLOOKUP($A234,raw_lb[],COLUMN(U$1)-COLUMN($A$1),FALSE)=0, VLOOKUP($D234, regions_lb[], COLUMN(U$1)-COLUMN($A$1), FALSE), VLOOKUP($A234,raw_lb[],COLUMN(U$1)-COLUMN($A$1),FALSE))</f>
        <v>46.258018491038726</v>
      </c>
      <c r="U234" s="70">
        <f>IF(VLOOKUP($A234,raw_lb[],COLUMN(V$1)-COLUMN($A$1),FALSE)=0, VLOOKUP($D234, regions_lb[], COLUMN(V$1)-COLUMN($A$1), FALSE), VLOOKUP($A234,raw_lb[],COLUMN(V$1)-COLUMN($A$1),FALSE))</f>
        <v>44.905306491715322</v>
      </c>
      <c r="V234" s="70">
        <f>IF(VLOOKUP($A234,raw_lb[],COLUMN(W$1)-COLUMN($A$1),FALSE)=0, VLOOKUP($D234, regions_lb[], COLUMN(W$1)-COLUMN($A$1), FALSE), VLOOKUP($A234,raw_lb[],COLUMN(W$1)-COLUMN($A$1),FALSE))</f>
        <v>1.3760681281021352</v>
      </c>
      <c r="W234" s="70">
        <f>IF(VLOOKUP($A234,raw_lb[],COLUMN(X$1)-COLUMN($A$1),FALSE)=0, VLOOKUP($D234, regions_lb[], COLUMN(X$1)-COLUMN($A$1), FALSE), VLOOKUP($A234,raw_lb[],COLUMN(X$1)-COLUMN($A$1),FALSE))</f>
        <v>1.8433888820847169</v>
      </c>
      <c r="X234" s="70">
        <f>IF(VLOOKUP($A234,raw_lb[],COLUMN(Y$1)-COLUMN($A$1),FALSE)=0, VLOOKUP($D234, regions_lb[], COLUMN(Y$1)-COLUMN($A$1), FALSE), VLOOKUP($A234,raw_lb[],COLUMN(Y$1)-COLUMN($A$1),FALSE))</f>
        <v>0.90176573897669143</v>
      </c>
      <c r="Y234" s="70">
        <f>IF(VLOOKUP($A234,raw_lb[],COLUMN(Z$1)-COLUMN($A$1),FALSE)=0, VLOOKUP($D234, regions_lb[], COLUMN(Z$1)-COLUMN($A$1), FALSE), VLOOKUP($A234,raw_lb[],COLUMN(Z$1)-COLUMN($A$1),FALSE))</f>
        <v>1.369086492959273</v>
      </c>
      <c r="Z234" s="70">
        <f>IF(VLOOKUP($A234,raw_lb[],COLUMN(AA$1)-COLUMN($A$1),FALSE)=0, VLOOKUP($D234, regions_lb[], COLUMN(AA$1)-COLUMN($A$1), FALSE), VLOOKUP($A234,raw_lb[],COLUMN(AA$1)-COLUMN($A$1),FALSE))</f>
        <v>1.3648455924767617</v>
      </c>
      <c r="AA234" s="70">
        <f>IF(VLOOKUP($A234,raw_lb[],COLUMN(AB$1)-COLUMN($A$1),FALSE)=0, VLOOKUP($D234, regions_lb[], COLUMN(AB$1)-COLUMN($A$1), FALSE), VLOOKUP($A234,raw_lb[],COLUMN(AB$1)-COLUMN($A$1),FALSE))</f>
        <v>1.5304508177209653</v>
      </c>
      <c r="AB234" s="70">
        <f>IF(VLOOKUP($A234,raw_lb[],COLUMN(AC$1)-COLUMN($A$1),FALSE)=0, VLOOKUP($D234, regions_lb[], COLUMN(AC$1)-COLUMN($A$1), FALSE), VLOOKUP($A234,raw_lb[],COLUMN(AC$1)-COLUMN($A$1),FALSE))</f>
        <v>1.9977715717035467</v>
      </c>
      <c r="AC234" s="72">
        <f>IF(VLOOKUP($A234,raw_lb[],COLUMN(AD$1)-COLUMN($A$1),FALSE)=0, VLOOKUP($D234, regions_lb[], COLUMN(AD$1)-COLUMN($A$1), FALSE), VLOOKUP($A234,raw_lb[],COLUMN(AD$1)-COLUMN($A$1),FALSE))</f>
        <v>1.6587446500000054E-2</v>
      </c>
      <c r="AD234" s="72">
        <f>IF(VLOOKUP($A234,raw_lb[],COLUMN(AE$1)-COLUMN($A$1),FALSE)=0, VLOOKUP($D234, regions_lb[], COLUMN(AE$1)-COLUMN($A$1), FALSE), VLOOKUP($A234,raw_lb[],COLUMN(AE$1)-COLUMN($A$1),FALSE))</f>
        <v>7.037017126425159E-4</v>
      </c>
      <c r="AE234" s="72">
        <f>IF(VLOOKUP($A234,raw_lb[],COLUMN(AF$1)-COLUMN($A$1),FALSE)=0, VLOOKUP($D234, regions_lb[], COLUMN(AF$1)-COLUMN($A$1), FALSE), VLOOKUP($A234,raw_lb[],COLUMN(AF$1)-COLUMN($A$1),FALSE))</f>
        <v>3.284659056045653E-4</v>
      </c>
      <c r="AF234" s="72">
        <f>IF(VLOOKUP($A234,raw_lb[],COLUMN(AG$1)-COLUMN($A$1),FALSE)=0, VLOOKUP($D234, regions_lb[], COLUMN(AG$1)-COLUMN($A$1), FALSE), VLOOKUP($A234,raw_lb[],COLUMN(AG$1)-COLUMN($A$1),FALSE))</f>
        <v>2.7539792122736835E-4</v>
      </c>
      <c r="AG234" s="72">
        <f>IF(VLOOKUP($A234,raw_lb[],COLUMN(AH$1)-COLUMN($A$1),FALSE)=0, VLOOKUP($D234, regions_lb[], COLUMN(AH$1)-COLUMN($A$1), FALSE), VLOOKUP($A234,raw_lb[],COLUMN(AH$1)-COLUMN($A$1),FALSE))</f>
        <v>5.0865787034511025E-4</v>
      </c>
      <c r="AH234" s="72">
        <f>IF(VLOOKUP($A234,raw_lb[],COLUMN(AI$1)-COLUMN($A$1),FALSE)=0, VLOOKUP($D234, regions_lb[], COLUMN(AI$1)-COLUMN($A$1), FALSE), VLOOKUP($A234,raw_lb[],COLUMN(AI$1)-COLUMN($A$1),FALSE))</f>
        <v>7.1103169412148001E-4</v>
      </c>
      <c r="AI234" s="72">
        <f>IF(VLOOKUP($A234,raw_lb[],COLUMN(AJ$1)-COLUMN($A$1),FALSE)=0, VLOOKUP($D234, regions_lb[], COLUMN(AJ$1)-COLUMN($A$1), FALSE), VLOOKUP($A234,raw_lb[],COLUMN(AJ$1)-COLUMN($A$1),FALSE))</f>
        <v>7.6648695611900106E-4</v>
      </c>
      <c r="AJ234" s="72">
        <f>IF(VLOOKUP($A234,raw_lb[],COLUMN(AK$1)-COLUMN($A$1),FALSE)=0, VLOOKUP($D234, regions_lb[], COLUMN(AK$1)-COLUMN($A$1), FALSE), VLOOKUP($A234,raw_lb[],COLUMN(AK$1)-COLUMN($A$1),FALSE))</f>
        <v>9.0415255027702184E-4</v>
      </c>
      <c r="AK234" s="72">
        <f>IF(VLOOKUP($A234,raw_lb[],COLUMN(AL$1)-COLUMN($A$1),FALSE)=0, VLOOKUP($D234, regions_lb[], COLUMN(AL$1)-COLUMN($A$1), FALSE), VLOOKUP($A234,raw_lb[],COLUMN(AL$1)-COLUMN($A$1),FALSE))</f>
        <v>1.2084903650569003E-3</v>
      </c>
      <c r="AL234" s="72">
        <f>IF(VLOOKUP($A234,raw_lb[],COLUMN(AM$1)-COLUMN($A$1),FALSE)=0, VLOOKUP($D234, regions_lb[], COLUMN(AM$1)-COLUMN($A$1), FALSE), VLOOKUP($A234,raw_lb[],COLUMN(AM$1)-COLUMN($A$1),FALSE))</f>
        <v>1.8284269934887866E-3</v>
      </c>
      <c r="AM234" s="72">
        <f>IF(VLOOKUP($A234,raw_lb[],COLUMN(AN$1)-COLUMN($A$1),FALSE)=0, VLOOKUP($D234, regions_lb[], COLUMN(AN$1)-COLUMN($A$1), FALSE), VLOOKUP($A234,raw_lb[],COLUMN(AN$1)-COLUMN($A$1),FALSE))</f>
        <v>3.052307083836297E-3</v>
      </c>
      <c r="AN234" s="72">
        <f>IF(VLOOKUP($A234,raw_lb[],COLUMN(AO$1)-COLUMN($A$1),FALSE)=0, VLOOKUP($D234, regions_lb[], COLUMN(AO$1)-COLUMN($A$1), FALSE), VLOOKUP($A234,raw_lb[],COLUMN(AO$1)-COLUMN($A$1),FALSE))</f>
        <v>4.9580530766036796E-3</v>
      </c>
      <c r="AO234" s="72">
        <f>IF(VLOOKUP($A234,raw_lb[],COLUMN(AP$1)-COLUMN($A$1),FALSE)=0, VLOOKUP($D234, regions_lb[], COLUMN(AP$1)-COLUMN($A$1), FALSE), VLOOKUP($A234,raw_lb[],COLUMN(AP$1)-COLUMN($A$1),FALSE))</f>
        <v>8.1694915889647373E-3</v>
      </c>
      <c r="AP234" s="72">
        <f>IF(VLOOKUP($A234,raw_lb[],COLUMN(AQ$1)-COLUMN($A$1),FALSE)=0, VLOOKUP($D234, regions_lb[], COLUMN(AQ$1)-COLUMN($A$1), FALSE), VLOOKUP($A234,raw_lb[],COLUMN(AQ$1)-COLUMN($A$1),FALSE))</f>
        <v>1.3050382256843272E-2</v>
      </c>
      <c r="AQ234" s="72">
        <f>IF(VLOOKUP($A234,raw_lb[],COLUMN(AR$1)-COLUMN($A$1),FALSE)=0, VLOOKUP($D234, regions_lb[], COLUMN(AR$1)-COLUMN($A$1), FALSE), VLOOKUP($A234,raw_lb[],COLUMN(AR$1)-COLUMN($A$1),FALSE))</f>
        <v>2.158403305455003E-2</v>
      </c>
      <c r="AR234" s="72">
        <f>IF(VLOOKUP($A234,raw_lb[],COLUMN(AS$1)-COLUMN($A$1),FALSE)=0, VLOOKUP($D234, regions_lb[], COLUMN(AS$1)-COLUMN($A$1), FALSE), VLOOKUP($A234,raw_lb[],COLUMN(AS$1)-COLUMN($A$1),FALSE))</f>
        <v>3.5282204541545667E-2</v>
      </c>
      <c r="AS234" s="82">
        <f>IF(VLOOKUP($A234,raw_lb[],COLUMN(AS$1),FALSE)=0, VLOOKUP($D234, regions_lb[], COLUMN(AS$1), FALSE), VLOOKUP($A234,raw_lb[],COLUMN(AS$1),FALSE))</f>
        <v>5.5575733509615727E-2</v>
      </c>
      <c r="AT234" s="82">
        <f>IF(VLOOKUP($A234,raw_lb[],COLUMN(AT$1),FALSE)=0, VLOOKUP($D234, regions_lb[], COLUMN(AT$1), FALSE), VLOOKUP($A234,raw_lb[],COLUMN(AT$1),FALSE))</f>
        <v>8.4928227488228827E-2</v>
      </c>
      <c r="AU234" s="82">
        <f>IF(VLOOKUP($A234,raw_lb[],COLUMN(AU$1),FALSE)=0, VLOOKUP($D234, regions_lb[], COLUMN(AU$1), FALSE), VLOOKUP($A234,raw_lb[],COLUMN(AU$1),FALSE))</f>
        <v>0.11839358477080038</v>
      </c>
      <c r="AV234" s="82">
        <f>IF(VLOOKUP($A234,raw_lb[],COLUMN(AV$1),FALSE)=0, VLOOKUP($D234, regions_lb[], COLUMN(AV$1), FALSE), VLOOKUP($A234,raw_lb[],COLUMN(AV$1),FALSE))</f>
        <v>0.14717919673425997</v>
      </c>
      <c r="AW234" s="82">
        <f>IF(VLOOKUP($A234,raw_lb[],COLUMN(AW$1),FALSE)=0, VLOOKUP($D234, regions_lb[], COLUMN(AW$1), FALSE), VLOOKUP($A234,raw_lb[],COLUMN(AW$1),FALSE))</f>
        <v>0.16723153367903548</v>
      </c>
      <c r="AX234" s="82">
        <f>IF(VLOOKUP($A234,raw_lb[],COLUMN(AX$1),FALSE)=0, VLOOKUP($D234, regions_lb[], COLUMN(AX$1), FALSE), VLOOKUP($A234,raw_lb[],COLUMN(AX$1),FALSE))</f>
        <v>70.125199999999992</v>
      </c>
      <c r="AY234" t="str">
        <f t="shared" si="7"/>
        <v>No</v>
      </c>
    </row>
    <row r="235" spans="1:51" x14ac:dyDescent="0.25">
      <c r="A235" s="55" t="s">
        <v>414</v>
      </c>
      <c r="B235" s="56" t="s">
        <v>415</v>
      </c>
      <c r="C235" s="56">
        <v>598</v>
      </c>
      <c r="D235" s="56" t="s">
        <v>260</v>
      </c>
      <c r="E235" s="56" t="s">
        <v>309</v>
      </c>
      <c r="F235" s="56" t="s">
        <v>262</v>
      </c>
      <c r="G235" s="56" t="s">
        <v>212</v>
      </c>
      <c r="H235" s="74"/>
      <c r="I235" s="74"/>
      <c r="J235" s="67">
        <f>IF(VLOOKUP($A235,raw_lb[],COLUMN(J$1),FALSE)=0, VLOOKUP($D235, regions_lb[], COLUMN(J$1), FALSE), VLOOKUP($A235,raw_lb[],COLUMN(J$1),FALSE))</f>
        <v>0.51965000000000006</v>
      </c>
      <c r="K235" s="77">
        <f>VLOOKUP($A235, raw_lb[], 11, FALSE)</f>
        <v>0.22799999999999998</v>
      </c>
      <c r="L235" s="77">
        <f>VLOOKUP($A235, raw_lb[], 12, FALSE)</f>
        <v>0.3705</v>
      </c>
      <c r="M235" s="77">
        <f>IF(VLOOKUP($A235,raw_lb[],COLUMN(M$1),FALSE)=0, VLOOKUP($D235, regions_lb[], COLUMN(M$1), FALSE), VLOOKUP($A235,raw_lb[],COLUMN(M$1),FALSE))</f>
        <v>5.2600000000000001E-2</v>
      </c>
      <c r="N235" s="68">
        <f>IF(VLOOKUP($A235,raw_lb[],COLUMN(N$1),FALSE)=0, VLOOKUP($D235, regions_lb[], COLUMN(N$1), FALSE), VLOOKUP($A235,raw_lb[],COLUMN(N$1),FALSE))</f>
        <v>0.1832</v>
      </c>
      <c r="O235" s="67">
        <f>IF(VLOOKUP($A235,raw_lb[],COLUMN(O$1),FALSE)=0, VLOOKUP($D235, regions_lb[], COLUMN(O$1), FALSE), VLOOKUP($A235,raw_lb[],COLUMN(O$1),FALSE))</f>
        <v>0.7</v>
      </c>
      <c r="P235" s="68">
        <f>IF(VLOOKUP($A235,raw_lb[],COLUMN(P$1),FALSE)=0, VLOOKUP($D235, regions_lb[], COLUMN(P$1), FALSE), VLOOKUP($A235,raw_lb[],COLUMN(P$1),FALSE))</f>
        <v>0.05</v>
      </c>
      <c r="Q235" s="70">
        <f>IF(VLOOKUP($A235,raw_lb[],COLUMN(Q$1),FALSE)=0, VLOOKUP($D235, regions_lb[], COLUMN(Q$1), FALSE), VLOOKUP($A235,raw_lb[],COLUMN(Q$1),FALSE))</f>
        <v>1.0451000000000001</v>
      </c>
      <c r="R235" s="70">
        <f>IF(VLOOKUP($A235,raw_lb[],COLUMN(R$1),FALSE)=0, VLOOKUP($D235, regions_lb[], COLUMN(R$1), FALSE), VLOOKUP($A235,raw_lb[],COLUMN(R$1),FALSE))</f>
        <v>8.1060000000000016</v>
      </c>
      <c r="S235" s="70">
        <f>IF(VLOOKUP($A235,raw_lb[],COLUMN(S$1),FALSE)=0, VLOOKUP($D235, regions_lb[], COLUMN(S$1), FALSE), VLOOKUP($A235,raw_lb[],COLUMN(S$1),FALSE))</f>
        <v>39.865643765903307</v>
      </c>
      <c r="T235" s="70">
        <f>IF(VLOOKUP($A235,raw_lb[],COLUMN(U$1)-COLUMN($A$1),FALSE)=0, VLOOKUP($D235, regions_lb[], COLUMN(U$1)-COLUMN($A$1), FALSE), VLOOKUP($A235,raw_lb[],COLUMN(U$1)-COLUMN($A$1),FALSE))</f>
        <v>41.187439582592198</v>
      </c>
      <c r="U235" s="70">
        <f>IF(VLOOKUP($A235,raw_lb[],COLUMN(V$1)-COLUMN($A$1),FALSE)=0, VLOOKUP($D235, regions_lb[], COLUMN(V$1)-COLUMN($A$1), FALSE), VLOOKUP($A235,raw_lb[],COLUMN(V$1)-COLUMN($A$1),FALSE))</f>
        <v>40.580498882772901</v>
      </c>
      <c r="V235" s="70">
        <f>IF(VLOOKUP($A235,raw_lb[],COLUMN(W$1)-COLUMN($A$1),FALSE)=0, VLOOKUP($D235, regions_lb[], COLUMN(W$1)-COLUMN($A$1), FALSE), VLOOKUP($A235,raw_lb[],COLUMN(W$1)-COLUMN($A$1),FALSE))</f>
        <v>0.84427867711295379</v>
      </c>
      <c r="W235" s="70">
        <f>IF(VLOOKUP($A235,raw_lb[],COLUMN(X$1)-COLUMN($A$1),FALSE)=0, VLOOKUP($D235, regions_lb[], COLUMN(X$1)-COLUMN($A$1), FALSE), VLOOKUP($A235,raw_lb[],COLUMN(X$1)-COLUMN($A$1),FALSE))</f>
        <v>1.4427786771129538</v>
      </c>
      <c r="X235" s="70">
        <f>IF(VLOOKUP($A235,raw_lb[],COLUMN(Y$1)-COLUMN($A$1),FALSE)=0, VLOOKUP($D235, regions_lb[], COLUMN(Y$1)-COLUMN($A$1), FALSE), VLOOKUP($A235,raw_lb[],COLUMN(Y$1)-COLUMN($A$1),FALSE))</f>
        <v>0.3699007250991232</v>
      </c>
      <c r="Y235" s="70">
        <f>IF(VLOOKUP($A235,raw_lb[],COLUMN(Z$1)-COLUMN($A$1),FALSE)=0, VLOOKUP($D235, regions_lb[], COLUMN(Z$1)-COLUMN($A$1), FALSE), VLOOKUP($A235,raw_lb[],COLUMN(Z$1)-COLUMN($A$1),FALSE))</f>
        <v>0.96840072509912312</v>
      </c>
      <c r="Z235" s="70">
        <f>IF(VLOOKUP($A235,raw_lb[],COLUMN(AA$1)-COLUMN($A$1),FALSE)=0, VLOOKUP($D235, regions_lb[], COLUMN(AA$1)-COLUMN($A$1), FALSE), VLOOKUP($A235,raw_lb[],COLUMN(AA$1)-COLUMN($A$1),FALSE))</f>
        <v>0.96431595838840167</v>
      </c>
      <c r="AA235" s="70">
        <f>IF(VLOOKUP($A235,raw_lb[],COLUMN(AB$1)-COLUMN($A$1),FALSE)=0, VLOOKUP($D235, regions_lb[], COLUMN(AB$1)-COLUMN($A$1), FALSE), VLOOKUP($A235,raw_lb[],COLUMN(AB$1)-COLUMN($A$1),FALSE))</f>
        <v>0.99889453221594882</v>
      </c>
      <c r="AB235" s="70">
        <f>IF(VLOOKUP($A235,raw_lb[],COLUMN(AC$1)-COLUMN($A$1),FALSE)=0, VLOOKUP($D235, regions_lb[], COLUMN(AC$1)-COLUMN($A$1), FALSE), VLOOKUP($A235,raw_lb[],COLUMN(AC$1)-COLUMN($A$1),FALSE))</f>
        <v>1.5973945322159486</v>
      </c>
      <c r="AC235" s="72">
        <f>IF(VLOOKUP($A235,raw_lb[],COLUMN(AD$1)-COLUMN($A$1),FALSE)=0, VLOOKUP($D235, regions_lb[], COLUMN(AD$1)-COLUMN($A$1), FALSE), VLOOKUP($A235,raw_lb[],COLUMN(AD$1)-COLUMN($A$1),FALSE))</f>
        <v>3.9862427499999985E-2</v>
      </c>
      <c r="AD235" s="72">
        <f>IF(VLOOKUP($A235,raw_lb[],COLUMN(AE$1)-COLUMN($A$1),FALSE)=0, VLOOKUP($D235, regions_lb[], COLUMN(AE$1)-COLUMN($A$1), FALSE), VLOOKUP($A235,raw_lb[],COLUMN(AE$1)-COLUMN($A$1),FALSE))</f>
        <v>2.7425085164803392E-3</v>
      </c>
      <c r="AE235" s="72">
        <f>IF(VLOOKUP($A235,raw_lb[],COLUMN(AF$1)-COLUMN($A$1),FALSE)=0, VLOOKUP($D235, regions_lb[], COLUMN(AF$1)-COLUMN($A$1), FALSE), VLOOKUP($A235,raw_lb[],COLUMN(AF$1)-COLUMN($A$1),FALSE))</f>
        <v>1.1126690046897427E-3</v>
      </c>
      <c r="AF235" s="72">
        <f>IF(VLOOKUP($A235,raw_lb[],COLUMN(AG$1)-COLUMN($A$1),FALSE)=0, VLOOKUP($D235, regions_lb[], COLUMN(AG$1)-COLUMN($A$1), FALSE), VLOOKUP($A235,raw_lb[],COLUMN(AG$1)-COLUMN($A$1),FALSE))</f>
        <v>8.7856461584272087E-4</v>
      </c>
      <c r="AG235" s="72">
        <f>IF(VLOOKUP($A235,raw_lb[],COLUMN(AH$1)-COLUMN($A$1),FALSE)=0, VLOOKUP($D235, regions_lb[], COLUMN(AH$1)-COLUMN($A$1), FALSE), VLOOKUP($A235,raw_lb[],COLUMN(AH$1)-COLUMN($A$1),FALSE))</f>
        <v>1.591970417313456E-3</v>
      </c>
      <c r="AH235" s="72">
        <f>IF(VLOOKUP($A235,raw_lb[],COLUMN(AI$1)-COLUMN($A$1),FALSE)=0, VLOOKUP($D235, regions_lb[], COLUMN(AI$1)-COLUMN($A$1), FALSE), VLOOKUP($A235,raw_lb[],COLUMN(AI$1)-COLUMN($A$1),FALSE))</f>
        <v>2.1475322920813857E-3</v>
      </c>
      <c r="AI235" s="72">
        <f>IF(VLOOKUP($A235,raw_lb[],COLUMN(AJ$1)-COLUMN($A$1),FALSE)=0, VLOOKUP($D235, regions_lb[], COLUMN(AJ$1)-COLUMN($A$1), FALSE), VLOOKUP($A235,raw_lb[],COLUMN(AJ$1)-COLUMN($A$1),FALSE))</f>
        <v>2.333815596729094E-3</v>
      </c>
      <c r="AJ235" s="72">
        <f>IF(VLOOKUP($A235,raw_lb[],COLUMN(AK$1)-COLUMN($A$1),FALSE)=0, VLOOKUP($D235, regions_lb[], COLUMN(AK$1)-COLUMN($A$1), FALSE), VLOOKUP($A235,raw_lb[],COLUMN(AK$1)-COLUMN($A$1),FALSE))</f>
        <v>2.713260347670964E-3</v>
      </c>
      <c r="AK235" s="72">
        <f>IF(VLOOKUP($A235,raw_lb[],COLUMN(AL$1)-COLUMN($A$1),FALSE)=0, VLOOKUP($D235, regions_lb[], COLUMN(AL$1)-COLUMN($A$1), FALSE), VLOOKUP($A235,raw_lb[],COLUMN(AL$1)-COLUMN($A$1),FALSE))</f>
        <v>3.4604096621546629E-3</v>
      </c>
      <c r="AL235" s="72">
        <f>IF(VLOOKUP($A235,raw_lb[],COLUMN(AM$1)-COLUMN($A$1),FALSE)=0, VLOOKUP($D235, regions_lb[], COLUMN(AM$1)-COLUMN($A$1), FALSE), VLOOKUP($A235,raw_lb[],COLUMN(AM$1)-COLUMN($A$1),FALSE))</f>
        <v>4.6173709669435287E-3</v>
      </c>
      <c r="AM235" s="72">
        <f>IF(VLOOKUP($A235,raw_lb[],COLUMN(AN$1)-COLUMN($A$1),FALSE)=0, VLOOKUP($D235, regions_lb[], COLUMN(AN$1)-COLUMN($A$1), FALSE), VLOOKUP($A235,raw_lb[],COLUMN(AN$1)-COLUMN($A$1),FALSE))</f>
        <v>6.5213093953485927E-3</v>
      </c>
      <c r="AN235" s="72">
        <f>IF(VLOOKUP($A235,raw_lb[],COLUMN(AO$1)-COLUMN($A$1),FALSE)=0, VLOOKUP($D235, regions_lb[], COLUMN(AO$1)-COLUMN($A$1), FALSE), VLOOKUP($A235,raw_lb[],COLUMN(AO$1)-COLUMN($A$1),FALSE))</f>
        <v>9.4907312099841556E-3</v>
      </c>
      <c r="AO235" s="72">
        <f>IF(VLOOKUP($A235,raw_lb[],COLUMN(AP$1)-COLUMN($A$1),FALSE)=0, VLOOKUP($D235, regions_lb[], COLUMN(AP$1)-COLUMN($A$1), FALSE), VLOOKUP($A235,raw_lb[],COLUMN(AP$1)-COLUMN($A$1),FALSE))</f>
        <v>1.3934149207456061E-2</v>
      </c>
      <c r="AP235" s="72">
        <f>IF(VLOOKUP($A235,raw_lb[],COLUMN(AQ$1)-COLUMN($A$1),FALSE)=0, VLOOKUP($D235, regions_lb[], COLUMN(AQ$1)-COLUMN($A$1), FALSE), VLOOKUP($A235,raw_lb[],COLUMN(AQ$1)-COLUMN($A$1),FALSE))</f>
        <v>2.306112727262892E-2</v>
      </c>
      <c r="AQ235" s="72">
        <f>IF(VLOOKUP($A235,raw_lb[],COLUMN(AR$1)-COLUMN($A$1),FALSE)=0, VLOOKUP($D235, regions_lb[], COLUMN(AR$1)-COLUMN($A$1), FALSE), VLOOKUP($A235,raw_lb[],COLUMN(AR$1)-COLUMN($A$1),FALSE))</f>
        <v>3.7892501083956427E-2</v>
      </c>
      <c r="AR235" s="72">
        <f>IF(VLOOKUP($A235,raw_lb[],COLUMN(AS$1)-COLUMN($A$1),FALSE)=0, VLOOKUP($D235, regions_lb[], COLUMN(AS$1)-COLUMN($A$1), FALSE), VLOOKUP($A235,raw_lb[],COLUMN(AS$1)-COLUMN($A$1),FALSE))</f>
        <v>5.887438387718133E-2</v>
      </c>
      <c r="AS235" s="82">
        <f>IF(VLOOKUP($A235,raw_lb[],COLUMN(AS$1),FALSE)=0, VLOOKUP($D235, regions_lb[], COLUMN(AS$1), FALSE), VLOOKUP($A235,raw_lb[],COLUMN(AS$1),FALSE))</f>
        <v>8.5143203825770536E-2</v>
      </c>
      <c r="AT235" s="82">
        <f>IF(VLOOKUP($A235,raw_lb[],COLUMN(AT$1),FALSE)=0, VLOOKUP($D235, regions_lb[], COLUMN(AT$1), FALSE), VLOOKUP($A235,raw_lb[],COLUMN(AT$1),FALSE))</f>
        <v>0.11566724374497482</v>
      </c>
      <c r="AU235" s="82">
        <f>IF(VLOOKUP($A235,raw_lb[],COLUMN(AU$1),FALSE)=0, VLOOKUP($D235, regions_lb[], COLUMN(AU$1), FALSE), VLOOKUP($A235,raw_lb[],COLUMN(AU$1),FALSE))</f>
        <v>0.14547164414357391</v>
      </c>
      <c r="AV235" s="82">
        <f>IF(VLOOKUP($A235,raw_lb[],COLUMN(AV$1),FALSE)=0, VLOOKUP($D235, regions_lb[], COLUMN(AV$1), FALSE), VLOOKUP($A235,raw_lb[],COLUMN(AV$1),FALSE))</f>
        <v>0.16619436888699293</v>
      </c>
      <c r="AW235" s="82">
        <f>IF(VLOOKUP($A235,raw_lb[],COLUMN(AW$1),FALSE)=0, VLOOKUP($D235, regions_lb[], COLUMN(AW$1), FALSE), VLOOKUP($A235,raw_lb[],COLUMN(AW$1),FALSE))</f>
        <v>0.17710006830361921</v>
      </c>
      <c r="AX235" s="82">
        <f>IF(VLOOKUP($A235,raw_lb[],COLUMN(AX$1),FALSE)=0, VLOOKUP($D235, regions_lb[], COLUMN(AX$1), FALSE), VLOOKUP($A235,raw_lb[],COLUMN(AX$1),FALSE))</f>
        <v>60.943449999999991</v>
      </c>
      <c r="AY235" t="str">
        <f t="shared" si="7"/>
        <v>No</v>
      </c>
    </row>
    <row r="236" spans="1:51" x14ac:dyDescent="0.25">
      <c r="A236" s="53" t="s">
        <v>416</v>
      </c>
      <c r="B236" s="54" t="s">
        <v>417</v>
      </c>
      <c r="C236" s="54">
        <v>600</v>
      </c>
      <c r="D236" s="54" t="s">
        <v>215</v>
      </c>
      <c r="E236" s="54" t="s">
        <v>248</v>
      </c>
      <c r="F236" s="54" t="s">
        <v>217</v>
      </c>
      <c r="G236" s="54" t="s">
        <v>204</v>
      </c>
      <c r="H236" s="73"/>
      <c r="I236" s="73"/>
      <c r="J236" s="67">
        <f>IF(VLOOKUP($A236,raw_lb[],COLUMN(J$1),FALSE)=0, VLOOKUP($D236, regions_lb[], COLUMN(J$1), FALSE), VLOOKUP($A236,raw_lb[],COLUMN(J$1),FALSE))</f>
        <v>0.88539999999999996</v>
      </c>
      <c r="K236" s="77">
        <f>VLOOKUP($A236, raw_lb[], 11, FALSE)</f>
        <v>0</v>
      </c>
      <c r="L236" s="77">
        <f>VLOOKUP($A236, raw_lb[], 12, FALSE)</f>
        <v>0.75049999999999994</v>
      </c>
      <c r="M236" s="77">
        <f>IF(VLOOKUP($A236,raw_lb[],COLUMN(M$1),FALSE)=0, VLOOKUP($D236, regions_lb[], COLUMN(M$1), FALSE), VLOOKUP($A236,raw_lb[],COLUMN(M$1),FALSE))</f>
        <v>4.4000000000000003E-3</v>
      </c>
      <c r="N236" s="68">
        <f>IF(VLOOKUP($A236,raw_lb[],COLUMN(N$1),FALSE)=0, VLOOKUP($D236, regions_lb[], COLUMN(N$1), FALSE), VLOOKUP($A236,raw_lb[],COLUMN(N$1),FALSE))</f>
        <v>0.17010000000000003</v>
      </c>
      <c r="O236" s="67">
        <f>IF(VLOOKUP($A236,raw_lb[],COLUMN(O$1),FALSE)=0, VLOOKUP($D236, regions_lb[], COLUMN(O$1), FALSE), VLOOKUP($A236,raw_lb[],COLUMN(O$1),FALSE))</f>
        <v>0.7</v>
      </c>
      <c r="P236" s="68">
        <f>IF(VLOOKUP($A236,raw_lb[],COLUMN(P$1),FALSE)=0, VLOOKUP($D236, regions_lb[], COLUMN(P$1), FALSE), VLOOKUP($A236,raw_lb[],COLUMN(P$1),FALSE))</f>
        <v>0.05</v>
      </c>
      <c r="Q236" s="70">
        <f>IF(VLOOKUP($A236,raw_lb[],COLUMN(Q$1),FALSE)=0, VLOOKUP($D236, regions_lb[], COLUMN(Q$1), FALSE), VLOOKUP($A236,raw_lb[],COLUMN(Q$1),FALSE))</f>
        <v>1.3610167309175021</v>
      </c>
      <c r="R236" s="70">
        <f>IF(VLOOKUP($A236,raw_lb[],COLUMN(R$1),FALSE)=0, VLOOKUP($D236, regions_lb[], COLUMN(R$1), FALSE), VLOOKUP($A236,raw_lb[],COLUMN(R$1),FALSE))</f>
        <v>8.421916730917502</v>
      </c>
      <c r="S236" s="70">
        <f>IF(VLOOKUP($A236,raw_lb[],COLUMN(S$1),FALSE)=0, VLOOKUP($D236, regions_lb[], COLUMN(S$1), FALSE), VLOOKUP($A236,raw_lb[],COLUMN(S$1),FALSE))</f>
        <v>42.213563882915636</v>
      </c>
      <c r="T236" s="70">
        <f>IF(VLOOKUP($A236,raw_lb[],COLUMN(U$1)-COLUMN($A$1),FALSE)=0, VLOOKUP($D236, regions_lb[], COLUMN(U$1)-COLUMN($A$1), FALSE), VLOOKUP($A236,raw_lb[],COLUMN(U$1)-COLUMN($A$1),FALSE))</f>
        <v>44.592946441216867</v>
      </c>
      <c r="U236" s="70">
        <f>IF(VLOOKUP($A236,raw_lb[],COLUMN(V$1)-COLUMN($A$1),FALSE)=0, VLOOKUP($D236, regions_lb[], COLUMN(V$1)-COLUMN($A$1), FALSE), VLOOKUP($A236,raw_lb[],COLUMN(V$1)-COLUMN($A$1),FALSE))</f>
        <v>43.500384264185044</v>
      </c>
      <c r="V236" s="70">
        <f>IF(VLOOKUP($A236,raw_lb[],COLUMN(W$1)-COLUMN($A$1),FALSE)=0, VLOOKUP($D236, regions_lb[], COLUMN(W$1)-COLUMN($A$1), FALSE), VLOOKUP($A236,raw_lb[],COLUMN(W$1)-COLUMN($A$1),FALSE))</f>
        <v>2.09158606061784</v>
      </c>
      <c r="W236" s="70">
        <f>IF(VLOOKUP($A236,raw_lb[],COLUMN(X$1)-COLUMN($A$1),FALSE)=0, VLOOKUP($D236, regions_lb[], COLUMN(X$1)-COLUMN($A$1), FALSE), VLOOKUP($A236,raw_lb[],COLUMN(X$1)-COLUMN($A$1),FALSE))</f>
        <v>2.1105860606178402</v>
      </c>
      <c r="X236" s="70">
        <f>IF(VLOOKUP($A236,raw_lb[],COLUMN(Y$1)-COLUMN($A$1),FALSE)=0, VLOOKUP($D236, regions_lb[], COLUMN(Y$1)-COLUMN($A$1), FALSE), VLOOKUP($A236,raw_lb[],COLUMN(Y$1)-COLUMN($A$1),FALSE))</f>
        <v>1.6170922448078797</v>
      </c>
      <c r="Y236" s="70">
        <f>IF(VLOOKUP($A236,raw_lb[],COLUMN(Z$1)-COLUMN($A$1),FALSE)=0, VLOOKUP($D236, regions_lb[], COLUMN(Z$1)-COLUMN($A$1), FALSE), VLOOKUP($A236,raw_lb[],COLUMN(Z$1)-COLUMN($A$1),FALSE))</f>
        <v>1.6360922448078796</v>
      </c>
      <c r="Z236" s="70">
        <f>IF(VLOOKUP($A236,raw_lb[],COLUMN(AA$1)-COLUMN($A$1),FALSE)=0, VLOOKUP($D236, regions_lb[], COLUMN(AA$1)-COLUMN($A$1), FALSE), VLOOKUP($A236,raw_lb[],COLUMN(AA$1)-COLUMN($A$1),FALSE))</f>
        <v>1.6317525081702065</v>
      </c>
      <c r="AA236" s="70">
        <f>IF(VLOOKUP($A236,raw_lb[],COLUMN(AB$1)-COLUMN($A$1),FALSE)=0, VLOOKUP($D236, regions_lb[], COLUMN(AB$1)-COLUMN($A$1), FALSE), VLOOKUP($A236,raw_lb[],COLUMN(AB$1)-COLUMN($A$1),FALSE))</f>
        <v>2.2465594382917491</v>
      </c>
      <c r="AB236" s="70">
        <f>IF(VLOOKUP($A236,raw_lb[],COLUMN(AC$1)-COLUMN($A$1),FALSE)=0, VLOOKUP($D236, regions_lb[], COLUMN(AC$1)-COLUMN($A$1), FALSE), VLOOKUP($A236,raw_lb[],COLUMN(AC$1)-COLUMN($A$1),FALSE))</f>
        <v>2.2655594382917492</v>
      </c>
      <c r="AC236" s="72">
        <f>IF(VLOOKUP($A236,raw_lb[],COLUMN(AD$1)-COLUMN($A$1),FALSE)=0, VLOOKUP($D236, regions_lb[], COLUMN(AD$1)-COLUMN($A$1), FALSE), VLOOKUP($A236,raw_lb[],COLUMN(AD$1)-COLUMN($A$1),FALSE))</f>
        <v>1.8073664499999947E-2</v>
      </c>
      <c r="AD236" s="72">
        <f>IF(VLOOKUP($A236,raw_lb[],COLUMN(AE$1)-COLUMN($A$1),FALSE)=0, VLOOKUP($D236, regions_lb[], COLUMN(AE$1)-COLUMN($A$1), FALSE), VLOOKUP($A236,raw_lb[],COLUMN(AE$1)-COLUMN($A$1),FALSE))</f>
        <v>5.9645487532207411E-4</v>
      </c>
      <c r="AE236" s="72">
        <f>IF(VLOOKUP($A236,raw_lb[],COLUMN(AF$1)-COLUMN($A$1),FALSE)=0, VLOOKUP($D236, regions_lb[], COLUMN(AF$1)-COLUMN($A$1), FALSE), VLOOKUP($A236,raw_lb[],COLUMN(AF$1)-COLUMN($A$1),FALSE))</f>
        <v>5.240093861750136E-4</v>
      </c>
      <c r="AF236" s="72">
        <f>IF(VLOOKUP($A236,raw_lb[],COLUMN(AG$1)-COLUMN($A$1),FALSE)=0, VLOOKUP($D236, regions_lb[], COLUMN(AG$1)-COLUMN($A$1), FALSE), VLOOKUP($A236,raw_lb[],COLUMN(AG$1)-COLUMN($A$1),FALSE))</f>
        <v>4.265597868771494E-4</v>
      </c>
      <c r="AG236" s="72">
        <f>IF(VLOOKUP($A236,raw_lb[],COLUMN(AH$1)-COLUMN($A$1),FALSE)=0, VLOOKUP($D236, regions_lb[], COLUMN(AH$1)-COLUMN($A$1), FALSE), VLOOKUP($A236,raw_lb[],COLUMN(AH$1)-COLUMN($A$1),FALSE))</f>
        <v>9.9922007723632789E-4</v>
      </c>
      <c r="AH236" s="72">
        <f>IF(VLOOKUP($A236,raw_lb[],COLUMN(AI$1)-COLUMN($A$1),FALSE)=0, VLOOKUP($D236, regions_lb[], COLUMN(AI$1)-COLUMN($A$1), FALSE), VLOOKUP($A236,raw_lb[],COLUMN(AI$1)-COLUMN($A$1),FALSE))</f>
        <v>1.5198128920204813E-3</v>
      </c>
      <c r="AI236" s="72">
        <f>IF(VLOOKUP($A236,raw_lb[],COLUMN(AJ$1)-COLUMN($A$1),FALSE)=0, VLOOKUP($D236, regions_lb[], COLUMN(AJ$1)-COLUMN($A$1), FALSE), VLOOKUP($A236,raw_lb[],COLUMN(AJ$1)-COLUMN($A$1),FALSE))</f>
        <v>1.8519387665525441E-3</v>
      </c>
      <c r="AJ236" s="72">
        <f>IF(VLOOKUP($A236,raw_lb[],COLUMN(AK$1)-COLUMN($A$1),FALSE)=0, VLOOKUP($D236, regions_lb[], COLUMN(AK$1)-COLUMN($A$1), FALSE), VLOOKUP($A236,raw_lb[],COLUMN(AK$1)-COLUMN($A$1),FALSE))</f>
        <v>1.8862738056124758E-3</v>
      </c>
      <c r="AK236" s="72">
        <f>IF(VLOOKUP($A236,raw_lb[],COLUMN(AL$1)-COLUMN($A$1),FALSE)=0, VLOOKUP($D236, regions_lb[], COLUMN(AL$1)-COLUMN($A$1), FALSE), VLOOKUP($A236,raw_lb[],COLUMN(AL$1)-COLUMN($A$1),FALSE))</f>
        <v>2.2335986358099067E-3</v>
      </c>
      <c r="AL236" s="72">
        <f>IF(VLOOKUP($A236,raw_lb[],COLUMN(AM$1)-COLUMN($A$1),FALSE)=0, VLOOKUP($D236, regions_lb[], COLUMN(AM$1)-COLUMN($A$1), FALSE), VLOOKUP($A236,raw_lb[],COLUMN(AM$1)-COLUMN($A$1),FALSE))</f>
        <v>2.7341748406630555E-3</v>
      </c>
      <c r="AM236" s="72">
        <f>IF(VLOOKUP($A236,raw_lb[],COLUMN(AN$1)-COLUMN($A$1),FALSE)=0, VLOOKUP($D236, regions_lb[], COLUMN(AN$1)-COLUMN($A$1), FALSE), VLOOKUP($A236,raw_lb[],COLUMN(AN$1)-COLUMN($A$1),FALSE))</f>
        <v>3.9916862789858426E-3</v>
      </c>
      <c r="AN236" s="72">
        <f>IF(VLOOKUP($A236,raw_lb[],COLUMN(AO$1)-COLUMN($A$1),FALSE)=0, VLOOKUP($D236, regions_lb[], COLUMN(AO$1)-COLUMN($A$1), FALSE), VLOOKUP($A236,raw_lb[],COLUMN(AO$1)-COLUMN($A$1),FALSE))</f>
        <v>5.7943425397515829E-3</v>
      </c>
      <c r="AO236" s="72">
        <f>IF(VLOOKUP($A236,raw_lb[],COLUMN(AP$1)-COLUMN($A$1),FALSE)=0, VLOOKUP($D236, regions_lb[], COLUMN(AP$1)-COLUMN($A$1), FALSE), VLOOKUP($A236,raw_lb[],COLUMN(AP$1)-COLUMN($A$1),FALSE))</f>
        <v>8.1074471103820683E-3</v>
      </c>
      <c r="AP236" s="72">
        <f>IF(VLOOKUP($A236,raw_lb[],COLUMN(AQ$1)-COLUMN($A$1),FALSE)=0, VLOOKUP($D236, regions_lb[], COLUMN(AQ$1)-COLUMN($A$1), FALSE), VLOOKUP($A236,raw_lb[],COLUMN(AQ$1)-COLUMN($A$1),FALSE))</f>
        <v>1.2558120587683472E-2</v>
      </c>
      <c r="AQ236" s="72">
        <f>IF(VLOOKUP($A236,raw_lb[],COLUMN(AR$1)-COLUMN($A$1),FALSE)=0, VLOOKUP($D236, regions_lb[], COLUMN(AR$1)-COLUMN($A$1), FALSE), VLOOKUP($A236,raw_lb[],COLUMN(AR$1)-COLUMN($A$1),FALSE))</f>
        <v>1.8304594943666798E-2</v>
      </c>
      <c r="AR236" s="72">
        <f>IF(VLOOKUP($A236,raw_lb[],COLUMN(AS$1)-COLUMN($A$1),FALSE)=0, VLOOKUP($D236, regions_lb[], COLUMN(AS$1)-COLUMN($A$1), FALSE), VLOOKUP($A236,raw_lb[],COLUMN(AS$1)-COLUMN($A$1),FALSE))</f>
        <v>2.6319132215071466E-2</v>
      </c>
      <c r="AS236" s="82">
        <f>IF(VLOOKUP($A236,raw_lb[],COLUMN(AS$1),FALSE)=0, VLOOKUP($D236, regions_lb[], COLUMN(AS$1), FALSE), VLOOKUP($A236,raw_lb[],COLUMN(AS$1),FALSE))</f>
        <v>3.7006259002706494E-2</v>
      </c>
      <c r="AT236" s="82">
        <f>IF(VLOOKUP($A236,raw_lb[],COLUMN(AT$1),FALSE)=0, VLOOKUP($D236, regions_lb[], COLUMN(AT$1), FALSE), VLOOKUP($A236,raw_lb[],COLUMN(AT$1),FALSE))</f>
        <v>6.6402473334044601E-2</v>
      </c>
      <c r="AU236" s="82">
        <f>IF(VLOOKUP($A236,raw_lb[],COLUMN(AU$1),FALSE)=0, VLOOKUP($D236, regions_lb[], COLUMN(AU$1), FALSE), VLOOKUP($A236,raw_lb[],COLUMN(AU$1),FALSE))</f>
        <v>9.4913464453572308E-2</v>
      </c>
      <c r="AV236" s="82">
        <f>IF(VLOOKUP($A236,raw_lb[],COLUMN(AV$1),FALSE)=0, VLOOKUP($D236, regions_lb[], COLUMN(AV$1), FALSE), VLOOKUP($A236,raw_lb[],COLUMN(AV$1),FALSE))</f>
        <v>0.12257774557800728</v>
      </c>
      <c r="AW236" s="82">
        <f>IF(VLOOKUP($A236,raw_lb[],COLUMN(AW$1),FALSE)=0, VLOOKUP($D236, regions_lb[], COLUMN(AW$1), FALSE), VLOOKUP($A236,raw_lb[],COLUMN(AW$1),FALSE))</f>
        <v>0.14544814336410306</v>
      </c>
      <c r="AX236" s="82">
        <f>IF(VLOOKUP($A236,raw_lb[],COLUMN(AX$1),FALSE)=0, VLOOKUP($D236, regions_lb[], COLUMN(AX$1), FALSE), VLOOKUP($A236,raw_lb[],COLUMN(AX$1),FALSE))</f>
        <v>70.377899999999997</v>
      </c>
      <c r="AY236" t="str">
        <f t="shared" ref="AY236:AY267" si="8">IF($K236=0,"Yes", "No")</f>
        <v>Yes</v>
      </c>
    </row>
    <row r="237" spans="1:51" x14ac:dyDescent="0.25">
      <c r="A237" s="55" t="s">
        <v>418</v>
      </c>
      <c r="B237" s="56" t="s">
        <v>419</v>
      </c>
      <c r="C237" s="56">
        <v>604</v>
      </c>
      <c r="D237" s="56" t="s">
        <v>215</v>
      </c>
      <c r="E237" s="56" t="s">
        <v>240</v>
      </c>
      <c r="F237" s="56" t="s">
        <v>217</v>
      </c>
      <c r="G237" s="56" t="s">
        <v>204</v>
      </c>
      <c r="H237" s="74"/>
      <c r="I237" s="74"/>
      <c r="J237" s="67">
        <f>IF(VLOOKUP($A237,raw_lb[],COLUMN(J$1),FALSE)=0, VLOOKUP($D237, regions_lb[], COLUMN(J$1), FALSE), VLOOKUP($A237,raw_lb[],COLUMN(J$1),FALSE))</f>
        <v>0.86449999999999994</v>
      </c>
      <c r="K237" s="77">
        <f>VLOOKUP($A237, raw_lb[], 11, FALSE)</f>
        <v>0.71249999999999991</v>
      </c>
      <c r="L237" s="77">
        <f>VLOOKUP($A237, raw_lb[], 12, FALSE)</f>
        <v>0.68399999999999994</v>
      </c>
      <c r="M237" s="77">
        <f>IF(VLOOKUP($A237,raw_lb[],COLUMN(M$1),FALSE)=0, VLOOKUP($D237, regions_lb[], COLUMN(M$1), FALSE), VLOOKUP($A237,raw_lb[],COLUMN(M$1),FALSE))</f>
        <v>0.01</v>
      </c>
      <c r="N237" s="68">
        <f>IF(VLOOKUP($A237,raw_lb[],COLUMN(N$1),FALSE)=0, VLOOKUP($D237, regions_lb[], COLUMN(N$1), FALSE), VLOOKUP($A237,raw_lb[],COLUMN(N$1),FALSE))</f>
        <v>0.16269999999999998</v>
      </c>
      <c r="O237" s="67">
        <f>IF(VLOOKUP($A237,raw_lb[],COLUMN(O$1),FALSE)=0, VLOOKUP($D237, regions_lb[], COLUMN(O$1), FALSE), VLOOKUP($A237,raw_lb[],COLUMN(O$1),FALSE))</f>
        <v>0.7</v>
      </c>
      <c r="P237" s="68">
        <f>IF(VLOOKUP($A237,raw_lb[],COLUMN(P$1),FALSE)=0, VLOOKUP($D237, regions_lb[], COLUMN(P$1), FALSE), VLOOKUP($A237,raw_lb[],COLUMN(P$1),FALSE))</f>
        <v>0.05</v>
      </c>
      <c r="Q237" s="70">
        <f>IF(VLOOKUP($A237,raw_lb[],COLUMN(Q$1),FALSE)=0, VLOOKUP($D237, regions_lb[], COLUMN(Q$1), FALSE), VLOOKUP($A237,raw_lb[],COLUMN(Q$1),FALSE))</f>
        <v>1.9677194877211501</v>
      </c>
      <c r="R237" s="70">
        <f>IF(VLOOKUP($A237,raw_lb[],COLUMN(R$1),FALSE)=0, VLOOKUP($D237, regions_lb[], COLUMN(R$1), FALSE), VLOOKUP($A237,raw_lb[],COLUMN(R$1),FALSE))</f>
        <v>9.0286194877211514</v>
      </c>
      <c r="S237" s="70">
        <f>IF(VLOOKUP($A237,raw_lb[],COLUMN(S$1),FALSE)=0, VLOOKUP($D237, regions_lb[], COLUMN(S$1), FALSE), VLOOKUP($A237,raw_lb[],COLUMN(S$1),FALSE))</f>
        <v>48.063445000766905</v>
      </c>
      <c r="T237" s="70">
        <f>IF(VLOOKUP($A237,raw_lb[],COLUMN(U$1)-COLUMN($A$1),FALSE)=0, VLOOKUP($D237, regions_lb[], COLUMN(U$1)-COLUMN($A$1), FALSE), VLOOKUP($A237,raw_lb[],COLUMN(U$1)-COLUMN($A$1),FALSE))</f>
        <v>53.171718640893317</v>
      </c>
      <c r="U237" s="70">
        <f>IF(VLOOKUP($A237,raw_lb[],COLUMN(V$1)-COLUMN($A$1),FALSE)=0, VLOOKUP($D237, regions_lb[], COLUMN(V$1)-COLUMN($A$1), FALSE), VLOOKUP($A237,raw_lb[],COLUMN(V$1)-COLUMN($A$1),FALSE))</f>
        <v>50.826107360496508</v>
      </c>
      <c r="V237" s="70">
        <f>IF(VLOOKUP($A237,raw_lb[],COLUMN(W$1)-COLUMN($A$1),FALSE)=0, VLOOKUP($D237, regions_lb[], COLUMN(W$1)-COLUMN($A$1), FALSE), VLOOKUP($A237,raw_lb[],COLUMN(W$1)-COLUMN($A$1),FALSE))</f>
        <v>1.3836476635287176</v>
      </c>
      <c r="W237" s="70">
        <f>IF(VLOOKUP($A237,raw_lb[],COLUMN(X$1)-COLUMN($A$1),FALSE)=0, VLOOKUP($D237, regions_lb[], COLUMN(X$1)-COLUMN($A$1), FALSE), VLOOKUP($A237,raw_lb[],COLUMN(X$1)-COLUMN($A$1),FALSE))</f>
        <v>1.4026476635287175</v>
      </c>
      <c r="X237" s="70">
        <f>IF(VLOOKUP($A237,raw_lb[],COLUMN(Y$1)-COLUMN($A$1),FALSE)=0, VLOOKUP($D237, regions_lb[], COLUMN(Y$1)-COLUMN($A$1), FALSE), VLOOKUP($A237,raw_lb[],COLUMN(Y$1)-COLUMN($A$1),FALSE))</f>
        <v>0.90784624652016077</v>
      </c>
      <c r="Y237" s="70">
        <f>IF(VLOOKUP($A237,raw_lb[],COLUMN(Z$1)-COLUMN($A$1),FALSE)=0, VLOOKUP($D237, regions_lb[], COLUMN(Z$1)-COLUMN($A$1), FALSE), VLOOKUP($A237,raw_lb[],COLUMN(Z$1)-COLUMN($A$1),FALSE))</f>
        <v>0.92684624652016079</v>
      </c>
      <c r="Z237" s="70">
        <f>IF(VLOOKUP($A237,raw_lb[],COLUMN(AA$1)-COLUMN($A$1),FALSE)=0, VLOOKUP($D237, regions_lb[], COLUMN(AA$1)-COLUMN($A$1), FALSE), VLOOKUP($A237,raw_lb[],COLUMN(AA$1)-COLUMN($A$1),FALSE))</f>
        <v>0.92176778464639286</v>
      </c>
      <c r="AA237" s="70">
        <f>IF(VLOOKUP($A237,raw_lb[],COLUMN(AB$1)-COLUMN($A$1),FALSE)=0, VLOOKUP($D237, regions_lb[], COLUMN(AB$1)-COLUMN($A$1), FALSE), VLOOKUP($A237,raw_lb[],COLUMN(AB$1)-COLUMN($A$1),FALSE))</f>
        <v>1.542655924901154</v>
      </c>
      <c r="AB237" s="70">
        <f>IF(VLOOKUP($A237,raw_lb[],COLUMN(AC$1)-COLUMN($A$1),FALSE)=0, VLOOKUP($D237, regions_lb[], COLUMN(AC$1)-COLUMN($A$1), FALSE), VLOOKUP($A237,raw_lb[],COLUMN(AC$1)-COLUMN($A$1),FALSE))</f>
        <v>1.5616559249011539</v>
      </c>
      <c r="AC237" s="72">
        <f>IF(VLOOKUP($A237,raw_lb[],COLUMN(AD$1)-COLUMN($A$1),FALSE)=0, VLOOKUP($D237, regions_lb[], COLUMN(AD$1)-COLUMN($A$1), FALSE), VLOOKUP($A237,raw_lb[],COLUMN(AD$1)-COLUMN($A$1),FALSE))</f>
        <v>1.2148020500000014E-2</v>
      </c>
      <c r="AD237" s="72">
        <f>IF(VLOOKUP($A237,raw_lb[],COLUMN(AE$1)-COLUMN($A$1),FALSE)=0, VLOOKUP($D237, regions_lb[], COLUMN(AE$1)-COLUMN($A$1), FALSE), VLOOKUP($A237,raw_lb[],COLUMN(AE$1)-COLUMN($A$1),FALSE))</f>
        <v>8.3146311816255478E-4</v>
      </c>
      <c r="AE237" s="72">
        <f>IF(VLOOKUP($A237,raw_lb[],COLUMN(AF$1)-COLUMN($A$1),FALSE)=0, VLOOKUP($D237, regions_lb[], COLUMN(AF$1)-COLUMN($A$1), FALSE), VLOOKUP($A237,raw_lb[],COLUMN(AF$1)-COLUMN($A$1),FALSE))</f>
        <v>4.702041708533504E-4</v>
      </c>
      <c r="AF237" s="72">
        <f>IF(VLOOKUP($A237,raw_lb[],COLUMN(AG$1)-COLUMN($A$1),FALSE)=0, VLOOKUP($D237, regions_lb[], COLUMN(AG$1)-COLUMN($A$1), FALSE), VLOOKUP($A237,raw_lb[],COLUMN(AG$1)-COLUMN($A$1),FALSE))</f>
        <v>3.1909528730386557E-4</v>
      </c>
      <c r="AG237" s="72">
        <f>IF(VLOOKUP($A237,raw_lb[],COLUMN(AH$1)-COLUMN($A$1),FALSE)=0, VLOOKUP($D237, regions_lb[], COLUMN(AH$1)-COLUMN($A$1), FALSE), VLOOKUP($A237,raw_lb[],COLUMN(AH$1)-COLUMN($A$1),FALSE))</f>
        <v>7.5478191803101215E-4</v>
      </c>
      <c r="AH237" s="72">
        <f>IF(VLOOKUP($A237,raw_lb[],COLUMN(AI$1)-COLUMN($A$1),FALSE)=0, VLOOKUP($D237, regions_lb[], COLUMN(AI$1)-COLUMN($A$1), FALSE), VLOOKUP($A237,raw_lb[],COLUMN(AI$1)-COLUMN($A$1),FALSE))</f>
        <v>1.1212737516538636E-3</v>
      </c>
      <c r="AI237" s="72">
        <f>IF(VLOOKUP($A237,raw_lb[],COLUMN(AJ$1)-COLUMN($A$1),FALSE)=0, VLOOKUP($D237, regions_lb[], COLUMN(AJ$1)-COLUMN($A$1), FALSE), VLOOKUP($A237,raw_lb[],COLUMN(AJ$1)-COLUMN($A$1),FALSE))</f>
        <v>1.4548397604334552E-3</v>
      </c>
      <c r="AJ237" s="72">
        <f>IF(VLOOKUP($A237,raw_lb[],COLUMN(AK$1)-COLUMN($A$1),FALSE)=0, VLOOKUP($D237, regions_lb[], COLUMN(AK$1)-COLUMN($A$1), FALSE), VLOOKUP($A237,raw_lb[],COLUMN(AK$1)-COLUMN($A$1),FALSE))</f>
        <v>1.5992634334729828E-3</v>
      </c>
      <c r="AK237" s="72">
        <f>IF(VLOOKUP($A237,raw_lb[],COLUMN(AL$1)-COLUMN($A$1),FALSE)=0, VLOOKUP($D237, regions_lb[], COLUMN(AL$1)-COLUMN($A$1), FALSE), VLOOKUP($A237,raw_lb[],COLUMN(AL$1)-COLUMN($A$1),FALSE))</f>
        <v>1.9124378268532644E-3</v>
      </c>
      <c r="AL237" s="72">
        <f>IF(VLOOKUP($A237,raw_lb[],COLUMN(AM$1)-COLUMN($A$1),FALSE)=0, VLOOKUP($D237, regions_lb[], COLUMN(AM$1)-COLUMN($A$1), FALSE), VLOOKUP($A237,raw_lb[],COLUMN(AM$1)-COLUMN($A$1),FALSE))</f>
        <v>2.4373439660064773E-3</v>
      </c>
      <c r="AM237" s="72">
        <f>IF(VLOOKUP($A237,raw_lb[],COLUMN(AN$1)-COLUMN($A$1),FALSE)=0, VLOOKUP($D237, regions_lb[], COLUMN(AN$1)-COLUMN($A$1), FALSE), VLOOKUP($A237,raw_lb[],COLUMN(AN$1)-COLUMN($A$1),FALSE))</f>
        <v>3.2513172957055357E-3</v>
      </c>
      <c r="AN237" s="72">
        <f>IF(VLOOKUP($A237,raw_lb[],COLUMN(AO$1)-COLUMN($A$1),FALSE)=0, VLOOKUP($D237, regions_lb[], COLUMN(AO$1)-COLUMN($A$1), FALSE), VLOOKUP($A237,raw_lb[],COLUMN(AO$1)-COLUMN($A$1),FALSE))</f>
        <v>4.5215476769519449E-3</v>
      </c>
      <c r="AO237" s="72">
        <f>IF(VLOOKUP($A237,raw_lb[],COLUMN(AP$1)-COLUMN($A$1),FALSE)=0, VLOOKUP($D237, regions_lb[], COLUMN(AP$1)-COLUMN($A$1), FALSE), VLOOKUP($A237,raw_lb[],COLUMN(AP$1)-COLUMN($A$1),FALSE))</f>
        <v>6.4528149515858972E-3</v>
      </c>
      <c r="AP237" s="72">
        <f>IF(VLOOKUP($A237,raw_lb[],COLUMN(AQ$1)-COLUMN($A$1),FALSE)=0, VLOOKUP($D237, regions_lb[], COLUMN(AQ$1)-COLUMN($A$1), FALSE), VLOOKUP($A237,raw_lb[],COLUMN(AQ$1)-COLUMN($A$1),FALSE))</f>
        <v>9.7305599372724573E-3</v>
      </c>
      <c r="AQ237" s="72">
        <f>IF(VLOOKUP($A237,raw_lb[],COLUMN(AR$1)-COLUMN($A$1),FALSE)=0, VLOOKUP($D237, regions_lb[], COLUMN(AR$1)-COLUMN($A$1), FALSE), VLOOKUP($A237,raw_lb[],COLUMN(AR$1)-COLUMN($A$1),FALSE))</f>
        <v>1.4510473339758545E-2</v>
      </c>
      <c r="AR237" s="72">
        <f>IF(VLOOKUP($A237,raw_lb[],COLUMN(AS$1)-COLUMN($A$1),FALSE)=0, VLOOKUP($D237, regions_lb[], COLUMN(AS$1)-COLUMN($A$1), FALSE), VLOOKUP($A237,raw_lb[],COLUMN(AS$1)-COLUMN($A$1),FALSE))</f>
        <v>2.4481011470699515E-2</v>
      </c>
      <c r="AS237" s="82">
        <f>IF(VLOOKUP($A237,raw_lb[],COLUMN(AS$1),FALSE)=0, VLOOKUP($D237, regions_lb[], COLUMN(AS$1), FALSE), VLOOKUP($A237,raw_lb[],COLUMN(AS$1),FALSE))</f>
        <v>3.7884473843180035E-2</v>
      </c>
      <c r="AT237" s="82">
        <f>IF(VLOOKUP($A237,raw_lb[],COLUMN(AT$1),FALSE)=0, VLOOKUP($D237, regions_lb[], COLUMN(AT$1), FALSE), VLOOKUP($A237,raw_lb[],COLUMN(AT$1),FALSE))</f>
        <v>5.9437506740438649E-2</v>
      </c>
      <c r="AU237" s="82">
        <f>IF(VLOOKUP($A237,raw_lb[],COLUMN(AU$1),FALSE)=0, VLOOKUP($D237, regions_lb[], COLUMN(AU$1), FALSE), VLOOKUP($A237,raw_lb[],COLUMN(AU$1),FALSE))</f>
        <v>8.8501208387771743E-2</v>
      </c>
      <c r="AV237" s="82">
        <f>IF(VLOOKUP($A237,raw_lb[],COLUMN(AV$1),FALSE)=0, VLOOKUP($D237, regions_lb[], COLUMN(AV$1), FALSE), VLOOKUP($A237,raw_lb[],COLUMN(AV$1),FALSE))</f>
        <v>0.11746947052396935</v>
      </c>
      <c r="AW237" s="82">
        <f>IF(VLOOKUP($A237,raw_lb[],COLUMN(AW$1),FALSE)=0, VLOOKUP($D237, regions_lb[], COLUMN(AW$1), FALSE), VLOOKUP($A237,raw_lb[],COLUMN(AW$1),FALSE))</f>
        <v>0.14243210044712673</v>
      </c>
      <c r="AX237" s="82">
        <f>IF(VLOOKUP($A237,raw_lb[],COLUMN(AX$1),FALSE)=0, VLOOKUP($D237, regions_lb[], COLUMN(AX$1), FALSE), VLOOKUP($A237,raw_lb[],COLUMN(AX$1),FALSE))</f>
        <v>72.588549999999998</v>
      </c>
      <c r="AY237" t="str">
        <f t="shared" si="8"/>
        <v>No</v>
      </c>
    </row>
    <row r="238" spans="1:51" x14ac:dyDescent="0.25">
      <c r="A238" s="53" t="s">
        <v>420</v>
      </c>
      <c r="B238" s="54" t="s">
        <v>421</v>
      </c>
      <c r="C238" s="54">
        <v>608</v>
      </c>
      <c r="D238" s="54" t="s">
        <v>260</v>
      </c>
      <c r="E238" s="54" t="s">
        <v>261</v>
      </c>
      <c r="F238" s="54" t="s">
        <v>262</v>
      </c>
      <c r="G238" s="54" t="s">
        <v>212</v>
      </c>
      <c r="H238" s="73"/>
      <c r="I238" s="73"/>
      <c r="J238" s="67">
        <f>IF(VLOOKUP($A238,raw_lb[],COLUMN(J$1),FALSE)=0, VLOOKUP($D238, regions_lb[], COLUMN(J$1), FALSE), VLOOKUP($A238,raw_lb[],COLUMN(J$1),FALSE))</f>
        <v>0.73814999999999997</v>
      </c>
      <c r="K238" s="77">
        <f>VLOOKUP($A238, raw_lb[], 11, FALSE)</f>
        <v>0.50349999999999995</v>
      </c>
      <c r="L238" s="77">
        <f>VLOOKUP($A238, raw_lb[], 12, FALSE)</f>
        <v>0.67449999999999999</v>
      </c>
      <c r="M238" s="77">
        <f>IF(VLOOKUP($A238,raw_lb[],COLUMN(M$1),FALSE)=0, VLOOKUP($D238, regions_lb[], COLUMN(M$1), FALSE), VLOOKUP($A238,raw_lb[],COLUMN(M$1),FALSE))</f>
        <v>3.1699999999999999E-2</v>
      </c>
      <c r="N238" s="68">
        <f>IF(VLOOKUP($A238,raw_lb[],COLUMN(N$1),FALSE)=0, VLOOKUP($D238, regions_lb[], COLUMN(N$1), FALSE), VLOOKUP($A238,raw_lb[],COLUMN(N$1),FALSE))</f>
        <v>0.18099999999999999</v>
      </c>
      <c r="O238" s="67">
        <f>IF(VLOOKUP($A238,raw_lb[],COLUMN(O$1),FALSE)=0, VLOOKUP($D238, regions_lb[], COLUMN(O$1), FALSE), VLOOKUP($A238,raw_lb[],COLUMN(O$1),FALSE))</f>
        <v>0.7</v>
      </c>
      <c r="P238" s="68">
        <f>IF(VLOOKUP($A238,raw_lb[],COLUMN(P$1),FALSE)=0, VLOOKUP($D238, regions_lb[], COLUMN(P$1), FALSE), VLOOKUP($A238,raw_lb[],COLUMN(P$1),FALSE))</f>
        <v>0.05</v>
      </c>
      <c r="Q238" s="70">
        <f>IF(VLOOKUP($A238,raw_lb[],COLUMN(Q$1),FALSE)=0, VLOOKUP($D238, regions_lb[], COLUMN(Q$1), FALSE), VLOOKUP($A238,raw_lb[],COLUMN(Q$1),FALSE))</f>
        <v>1.016721419676214</v>
      </c>
      <c r="R238" s="70">
        <f>IF(VLOOKUP($A238,raw_lb[],COLUMN(R$1),FALSE)=0, VLOOKUP($D238, regions_lb[], COLUMN(R$1), FALSE), VLOOKUP($A238,raw_lb[],COLUMN(R$1),FALSE))</f>
        <v>8.0776214196762144</v>
      </c>
      <c r="S238" s="70">
        <f>IF(VLOOKUP($A238,raw_lb[],COLUMN(S$1),FALSE)=0, VLOOKUP($D238, regions_lb[], COLUMN(S$1), FALSE), VLOOKUP($A238,raw_lb[],COLUMN(S$1),FALSE))</f>
        <v>39.958459642751897</v>
      </c>
      <c r="T238" s="70">
        <f>IF(VLOOKUP($A238,raw_lb[],COLUMN(U$1)-COLUMN($A$1),FALSE)=0, VLOOKUP($D238, regions_lb[], COLUMN(U$1)-COLUMN($A$1), FALSE), VLOOKUP($A238,raw_lb[],COLUMN(U$1)-COLUMN($A$1),FALSE))</f>
        <v>41.343332938513662</v>
      </c>
      <c r="U238" s="70">
        <f>IF(VLOOKUP($A238,raw_lb[],COLUMN(V$1)-COLUMN($A$1),FALSE)=0, VLOOKUP($D238, regions_lb[], COLUMN(V$1)-COLUMN($A$1), FALSE), VLOOKUP($A238,raw_lb[],COLUMN(V$1)-COLUMN($A$1),FALSE))</f>
        <v>40.707428393592153</v>
      </c>
      <c r="V238" s="70">
        <f>IF(VLOOKUP($A238,raw_lb[],COLUMN(W$1)-COLUMN($A$1),FALSE)=0, VLOOKUP($D238, regions_lb[], COLUMN(W$1)-COLUMN($A$1), FALSE), VLOOKUP($A238,raw_lb[],COLUMN(W$1)-COLUMN($A$1),FALSE))</f>
        <v>0.71327271465860342</v>
      </c>
      <c r="W238" s="70">
        <f>IF(VLOOKUP($A238,raw_lb[],COLUMN(X$1)-COLUMN($A$1),FALSE)=0, VLOOKUP($D238, regions_lb[], COLUMN(X$1)-COLUMN($A$1), FALSE), VLOOKUP($A238,raw_lb[],COLUMN(X$1)-COLUMN($A$1),FALSE))</f>
        <v>1.3117727146586033</v>
      </c>
      <c r="X238" s="70">
        <f>IF(VLOOKUP($A238,raw_lb[],COLUMN(Y$1)-COLUMN($A$1),FALSE)=0, VLOOKUP($D238, regions_lb[], COLUMN(Y$1)-COLUMN($A$1), FALSE), VLOOKUP($A238,raw_lb[],COLUMN(Y$1)-COLUMN($A$1),FALSE))</f>
        <v>0.23767098247891702</v>
      </c>
      <c r="Y238" s="70">
        <f>IF(VLOOKUP($A238,raw_lb[],COLUMN(Z$1)-COLUMN($A$1),FALSE)=0, VLOOKUP($D238, regions_lb[], COLUMN(Z$1)-COLUMN($A$1), FALSE), VLOOKUP($A238,raw_lb[],COLUMN(Z$1)-COLUMN($A$1),FALSE))</f>
        <v>0.83617098247891697</v>
      </c>
      <c r="Z238" s="70">
        <f>IF(VLOOKUP($A238,raw_lb[],COLUMN(AA$1)-COLUMN($A$1),FALSE)=0, VLOOKUP($D238, regions_lb[], COLUMN(AA$1)-COLUMN($A$1), FALSE), VLOOKUP($A238,raw_lb[],COLUMN(AA$1)-COLUMN($A$1),FALSE))</f>
        <v>0.83134094367721578</v>
      </c>
      <c r="AA238" s="70">
        <f>IF(VLOOKUP($A238,raw_lb[],COLUMN(AB$1)-COLUMN($A$1),FALSE)=0, VLOOKUP($D238, regions_lb[], COLUMN(AB$1)-COLUMN($A$1), FALSE), VLOOKUP($A238,raw_lb[],COLUMN(AB$1)-COLUMN($A$1),FALSE))</f>
        <v>0.87166480570195315</v>
      </c>
      <c r="AB238" s="70">
        <f>IF(VLOOKUP($A238,raw_lb[],COLUMN(AC$1)-COLUMN($A$1),FALSE)=0, VLOOKUP($D238, regions_lb[], COLUMN(AC$1)-COLUMN($A$1), FALSE), VLOOKUP($A238,raw_lb[],COLUMN(AC$1)-COLUMN($A$1),FALSE))</f>
        <v>1.4701648057019532</v>
      </c>
      <c r="AC238" s="72">
        <f>IF(VLOOKUP($A238,raw_lb[],COLUMN(AD$1)-COLUMN($A$1),FALSE)=0, VLOOKUP($D238, regions_lb[], COLUMN(AD$1)-COLUMN($A$1), FALSE), VLOOKUP($A238,raw_lb[],COLUMN(AD$1)-COLUMN($A$1),FALSE))</f>
        <v>1.8672781999999968E-2</v>
      </c>
      <c r="AD238" s="72">
        <f>IF(VLOOKUP($A238,raw_lb[],COLUMN(AE$1)-COLUMN($A$1),FALSE)=0, VLOOKUP($D238, regions_lb[], COLUMN(AE$1)-COLUMN($A$1), FALSE), VLOOKUP($A238,raw_lb[],COLUMN(AE$1)-COLUMN($A$1),FALSE))</f>
        <v>1.9421207203459956E-3</v>
      </c>
      <c r="AE238" s="72">
        <f>IF(VLOOKUP($A238,raw_lb[],COLUMN(AF$1)-COLUMN($A$1),FALSE)=0, VLOOKUP($D238, regions_lb[], COLUMN(AF$1)-COLUMN($A$1), FALSE), VLOOKUP($A238,raw_lb[],COLUMN(AF$1)-COLUMN($A$1),FALSE))</f>
        <v>5.8233734379831343E-4</v>
      </c>
      <c r="AF238" s="72">
        <f>IF(VLOOKUP($A238,raw_lb[],COLUMN(AG$1)-COLUMN($A$1),FALSE)=0, VLOOKUP($D238, regions_lb[], COLUMN(AG$1)-COLUMN($A$1), FALSE), VLOOKUP($A238,raw_lb[],COLUMN(AG$1)-COLUMN($A$1),FALSE))</f>
        <v>5.0546568584214802E-4</v>
      </c>
      <c r="AG238" s="72">
        <f>IF(VLOOKUP($A238,raw_lb[],COLUMN(AH$1)-COLUMN($A$1),FALSE)=0, VLOOKUP($D238, regions_lb[], COLUMN(AH$1)-COLUMN($A$1), FALSE), VLOOKUP($A238,raw_lb[],COLUMN(AH$1)-COLUMN($A$1),FALSE))</f>
        <v>1.0812385462544293E-3</v>
      </c>
      <c r="AH238" s="72">
        <f>IF(VLOOKUP($A238,raw_lb[],COLUMN(AI$1)-COLUMN($A$1),FALSE)=0, VLOOKUP($D238, regions_lb[], COLUMN(AI$1)-COLUMN($A$1), FALSE), VLOOKUP($A238,raw_lb[],COLUMN(AI$1)-COLUMN($A$1),FALSE))</f>
        <v>1.5124143203958972E-3</v>
      </c>
      <c r="AI238" s="72">
        <f>IF(VLOOKUP($A238,raw_lb[],COLUMN(AJ$1)-COLUMN($A$1),FALSE)=0, VLOOKUP($D238, regions_lb[], COLUMN(AJ$1)-COLUMN($A$1), FALSE), VLOOKUP($A238,raw_lb[],COLUMN(AJ$1)-COLUMN($A$1),FALSE))</f>
        <v>1.6528953933132166E-3</v>
      </c>
      <c r="AJ238" s="72">
        <f>IF(VLOOKUP($A238,raw_lb[],COLUMN(AK$1)-COLUMN($A$1),FALSE)=0, VLOOKUP($D238, regions_lb[], COLUMN(AK$1)-COLUMN($A$1), FALSE), VLOOKUP($A238,raw_lb[],COLUMN(AK$1)-COLUMN($A$1),FALSE))</f>
        <v>1.9725140785456503E-3</v>
      </c>
      <c r="AK238" s="72">
        <f>IF(VLOOKUP($A238,raw_lb[],COLUMN(AL$1)-COLUMN($A$1),FALSE)=0, VLOOKUP($D238, regions_lb[], COLUMN(AL$1)-COLUMN($A$1), FALSE), VLOOKUP($A238,raw_lb[],COLUMN(AL$1)-COLUMN($A$1),FALSE))</f>
        <v>2.6178735582355304E-3</v>
      </c>
      <c r="AL238" s="72">
        <f>IF(VLOOKUP($A238,raw_lb[],COLUMN(AM$1)-COLUMN($A$1),FALSE)=0, VLOOKUP($D238, regions_lb[], COLUMN(AM$1)-COLUMN($A$1), FALSE), VLOOKUP($A238,raw_lb[],COLUMN(AM$1)-COLUMN($A$1),FALSE))</f>
        <v>3.6751349247755838E-3</v>
      </c>
      <c r="AM238" s="72">
        <f>IF(VLOOKUP($A238,raw_lb[],COLUMN(AN$1)-COLUMN($A$1),FALSE)=0, VLOOKUP($D238, regions_lb[], COLUMN(AN$1)-COLUMN($A$1), FALSE), VLOOKUP($A238,raw_lb[],COLUMN(AN$1)-COLUMN($A$1),FALSE))</f>
        <v>5.445079321599061E-3</v>
      </c>
      <c r="AN238" s="72">
        <f>IF(VLOOKUP($A238,raw_lb[],COLUMN(AO$1)-COLUMN($A$1),FALSE)=0, VLOOKUP($D238, regions_lb[], COLUMN(AO$1)-COLUMN($A$1), FALSE), VLOOKUP($A238,raw_lb[],COLUMN(AO$1)-COLUMN($A$1),FALSE))</f>
        <v>8.1466394857097821E-3</v>
      </c>
      <c r="AO238" s="72">
        <f>IF(VLOOKUP($A238,raw_lb[],COLUMN(AP$1)-COLUMN($A$1),FALSE)=0, VLOOKUP($D238, regions_lb[], COLUMN(AP$1)-COLUMN($A$1), FALSE), VLOOKUP($A238,raw_lb[],COLUMN(AP$1)-COLUMN($A$1),FALSE))</f>
        <v>1.2154970688764689E-2</v>
      </c>
      <c r="AP238" s="72">
        <f>IF(VLOOKUP($A238,raw_lb[],COLUMN(AQ$1)-COLUMN($A$1),FALSE)=0, VLOOKUP($D238, regions_lb[], COLUMN(AQ$1)-COLUMN($A$1), FALSE), VLOOKUP($A238,raw_lb[],COLUMN(AQ$1)-COLUMN($A$1),FALSE))</f>
        <v>1.6566711347105391E-2</v>
      </c>
      <c r="AQ238" s="72">
        <f>IF(VLOOKUP($A238,raw_lb[],COLUMN(AR$1)-COLUMN($A$1),FALSE)=0, VLOOKUP($D238, regions_lb[], COLUMN(AR$1)-COLUMN($A$1), FALSE), VLOOKUP($A238,raw_lb[],COLUMN(AR$1)-COLUMN($A$1),FALSE))</f>
        <v>2.2355722171012921E-2</v>
      </c>
      <c r="AR238" s="72">
        <f>IF(VLOOKUP($A238,raw_lb[],COLUMN(AS$1)-COLUMN($A$1),FALSE)=0, VLOOKUP($D238, regions_lb[], COLUMN(AS$1)-COLUMN($A$1), FALSE), VLOOKUP($A238,raw_lb[],COLUMN(AS$1)-COLUMN($A$1),FALSE))</f>
        <v>3.2069031907145724E-2</v>
      </c>
      <c r="AS238" s="82">
        <f>IF(VLOOKUP($A238,raw_lb[],COLUMN(AS$1),FALSE)=0, VLOOKUP($D238, regions_lb[], COLUMN(AS$1), FALSE), VLOOKUP($A238,raw_lb[],COLUMN(AS$1),FALSE))</f>
        <v>4.9148212973042012E-2</v>
      </c>
      <c r="AT238" s="82">
        <f>IF(VLOOKUP($A238,raw_lb[],COLUMN(AT$1),FALSE)=0, VLOOKUP($D238, regions_lb[], COLUMN(AT$1), FALSE), VLOOKUP($A238,raw_lb[],COLUMN(AT$1),FALSE))</f>
        <v>7.2194901963303346E-2</v>
      </c>
      <c r="AU238" s="82">
        <f>IF(VLOOKUP($A238,raw_lb[],COLUMN(AU$1),FALSE)=0, VLOOKUP($D238, regions_lb[], COLUMN(AU$1), FALSE), VLOOKUP($A238,raw_lb[],COLUMN(AU$1),FALSE))</f>
        <v>9.9520621089581374E-2</v>
      </c>
      <c r="AV238" s="82">
        <f>IF(VLOOKUP($A238,raw_lb[],COLUMN(AV$1),FALSE)=0, VLOOKUP($D238, regions_lb[], COLUMN(AV$1), FALSE), VLOOKUP($A238,raw_lb[],COLUMN(AV$1),FALSE))</f>
        <v>0.12563182071428741</v>
      </c>
      <c r="AW238" s="82">
        <f>IF(VLOOKUP($A238,raw_lb[],COLUMN(AW$1),FALSE)=0, VLOOKUP($D238, regions_lb[], COLUMN(AW$1), FALSE), VLOOKUP($A238,raw_lb[],COLUMN(AW$1),FALSE))</f>
        <v>0.14895189608500492</v>
      </c>
      <c r="AX238" s="82">
        <f>IF(VLOOKUP($A238,raw_lb[],COLUMN(AX$1),FALSE)=0, VLOOKUP($D238, regions_lb[], COLUMN(AX$1), FALSE), VLOOKUP($A238,raw_lb[],COLUMN(AX$1),FALSE))</f>
        <v>67.483249999999998</v>
      </c>
      <c r="AY238" t="str">
        <f t="shared" si="8"/>
        <v>No</v>
      </c>
    </row>
    <row r="239" spans="1:51" x14ac:dyDescent="0.25">
      <c r="A239" s="55" t="s">
        <v>422</v>
      </c>
      <c r="B239" s="56" t="s">
        <v>423</v>
      </c>
      <c r="C239" s="56">
        <v>642</v>
      </c>
      <c r="D239" s="56" t="s">
        <v>201</v>
      </c>
      <c r="E239" s="56" t="s">
        <v>202</v>
      </c>
      <c r="F239" s="56" t="s">
        <v>203</v>
      </c>
      <c r="G239" s="56" t="s">
        <v>204</v>
      </c>
      <c r="H239" s="74"/>
      <c r="I239" s="74"/>
      <c r="J239" s="67">
        <f>IF(VLOOKUP($A239,raw_lb[],COLUMN(J$1),FALSE)=0, VLOOKUP($D239, regions_lb[], COLUMN(J$1), FALSE), VLOOKUP($A239,raw_lb[],COLUMN(J$1),FALSE))</f>
        <v>0.90155000000000007</v>
      </c>
      <c r="K239" s="77">
        <f>VLOOKUP($A239, raw_lb[], 11, FALSE)</f>
        <v>0.92149999999999999</v>
      </c>
      <c r="L239" s="77">
        <f>VLOOKUP($A239, raw_lb[], 12, FALSE)</f>
        <v>0.82650000000000001</v>
      </c>
      <c r="M239" s="77">
        <f>IF(VLOOKUP($A239,raw_lb[],COLUMN(M$1),FALSE)=0, VLOOKUP($D239, regions_lb[], COLUMN(M$1), FALSE), VLOOKUP($A239,raw_lb[],COLUMN(M$1),FALSE))</f>
        <v>3.7200000000000004E-2</v>
      </c>
      <c r="N239" s="68">
        <f>IF(VLOOKUP($A239,raw_lb[],COLUMN(N$1),FALSE)=0, VLOOKUP($D239, regions_lb[], COLUMN(N$1), FALSE), VLOOKUP($A239,raw_lb[],COLUMN(N$1),FALSE))</f>
        <v>0.16329999999999997</v>
      </c>
      <c r="O239" s="67">
        <f>IF(VLOOKUP($A239,raw_lb[],COLUMN(O$1),FALSE)=0, VLOOKUP($D239, regions_lb[], COLUMN(O$1), FALSE), VLOOKUP($A239,raw_lb[],COLUMN(O$1),FALSE))</f>
        <v>0.7</v>
      </c>
      <c r="P239" s="68">
        <f>IF(VLOOKUP($A239,raw_lb[],COLUMN(P$1),FALSE)=0, VLOOKUP($D239, regions_lb[], COLUMN(P$1), FALSE), VLOOKUP($A239,raw_lb[],COLUMN(P$1),FALSE))</f>
        <v>0.05</v>
      </c>
      <c r="Q239" s="70">
        <f>IF(VLOOKUP($A239,raw_lb[],COLUMN(Q$1),FALSE)=0, VLOOKUP($D239, regions_lb[], COLUMN(Q$1), FALSE), VLOOKUP($A239,raw_lb[],COLUMN(Q$1),FALSE))</f>
        <v>2.4032522633744899</v>
      </c>
      <c r="R239" s="70">
        <f>IF(VLOOKUP($A239,raw_lb[],COLUMN(R$1),FALSE)=0, VLOOKUP($D239, regions_lb[], COLUMN(R$1), FALSE), VLOOKUP($A239,raw_lb[],COLUMN(R$1),FALSE))</f>
        <v>9.4641522633744906</v>
      </c>
      <c r="S239" s="70">
        <f>IF(VLOOKUP($A239,raw_lb[],COLUMN(S$1),FALSE)=0, VLOOKUP($D239, regions_lb[], COLUMN(S$1), FALSE), VLOOKUP($A239,raw_lb[],COLUMN(S$1),FALSE))</f>
        <v>55.104826864631633</v>
      </c>
      <c r="T239" s="70">
        <f>IF(VLOOKUP($A239,raw_lb[],COLUMN(U$1)-COLUMN($A$1),FALSE)=0, VLOOKUP($D239, regions_lb[], COLUMN(U$1)-COLUMN($A$1), FALSE), VLOOKUP($A239,raw_lb[],COLUMN(U$1)-COLUMN($A$1),FALSE))</f>
        <v>63.651214073166443</v>
      </c>
      <c r="U239" s="70">
        <f>IF(VLOOKUP($A239,raw_lb[],COLUMN(V$1)-COLUMN($A$1),FALSE)=0, VLOOKUP($D239, regions_lb[], COLUMN(V$1)-COLUMN($A$1), FALSE), VLOOKUP($A239,raw_lb[],COLUMN(V$1)-COLUMN($A$1),FALSE))</f>
        <v>59.726893714619202</v>
      </c>
      <c r="V239" s="70">
        <f>IF(VLOOKUP($A239,raw_lb[],COLUMN(W$1)-COLUMN($A$1),FALSE)=0, VLOOKUP($D239, regions_lb[], COLUMN(W$1)-COLUMN($A$1), FALSE), VLOOKUP($A239,raw_lb[],COLUMN(W$1)-COLUMN($A$1),FALSE))</f>
        <v>1.6721694017776052</v>
      </c>
      <c r="W239" s="70">
        <f>IF(VLOOKUP($A239,raw_lb[],COLUMN(X$1)-COLUMN($A$1),FALSE)=0, VLOOKUP($D239, regions_lb[], COLUMN(X$1)-COLUMN($A$1), FALSE), VLOOKUP($A239,raw_lb[],COLUMN(X$1)-COLUMN($A$1),FALSE))</f>
        <v>5.5386694017776055</v>
      </c>
      <c r="X239" s="70">
        <f>IF(VLOOKUP($A239,raw_lb[],COLUMN(Y$1)-COLUMN($A$1),FALSE)=0, VLOOKUP($D239, regions_lb[], COLUMN(Y$1)-COLUMN($A$1), FALSE), VLOOKUP($A239,raw_lb[],COLUMN(Y$1)-COLUMN($A$1),FALSE))</f>
        <v>1.1878997396077415</v>
      </c>
      <c r="Y239" s="70">
        <f>IF(VLOOKUP($A239,raw_lb[],COLUMN(Z$1)-COLUMN($A$1),FALSE)=0, VLOOKUP($D239, regions_lb[], COLUMN(Z$1)-COLUMN($A$1), FALSE), VLOOKUP($A239,raw_lb[],COLUMN(Z$1)-COLUMN($A$1),FALSE))</f>
        <v>5.0543997396077422</v>
      </c>
      <c r="Z239" s="70">
        <f>IF(VLOOKUP($A239,raw_lb[],COLUMN(AA$1)-COLUMN($A$1),FALSE)=0, VLOOKUP($D239, regions_lb[], COLUMN(AA$1)-COLUMN($A$1), FALSE), VLOOKUP($A239,raw_lb[],COLUMN(AA$1)-COLUMN($A$1),FALSE))</f>
        <v>5.0440138913638197</v>
      </c>
      <c r="AA239" s="70">
        <f>IF(VLOOKUP($A239,raw_lb[],COLUMN(AB$1)-COLUMN($A$1),FALSE)=0, VLOOKUP($D239, regions_lb[], COLUMN(AB$1)-COLUMN($A$1), FALSE), VLOOKUP($A239,raw_lb[],COLUMN(AB$1)-COLUMN($A$1),FALSE))</f>
        <v>1.8573082482192163</v>
      </c>
      <c r="AB239" s="70">
        <f>IF(VLOOKUP($A239,raw_lb[],COLUMN(AC$1)-COLUMN($A$1),FALSE)=0, VLOOKUP($D239, regions_lb[], COLUMN(AC$1)-COLUMN($A$1), FALSE), VLOOKUP($A239,raw_lb[],COLUMN(AC$1)-COLUMN($A$1),FALSE))</f>
        <v>5.7238082482192167</v>
      </c>
      <c r="AC239" s="72">
        <f>IF(VLOOKUP($A239,raw_lb[],COLUMN(AD$1)-COLUMN($A$1),FALSE)=0, VLOOKUP($D239, regions_lb[], COLUMN(AD$1)-COLUMN($A$1), FALSE), VLOOKUP($A239,raw_lb[],COLUMN(AD$1)-COLUMN($A$1),FALSE))</f>
        <v>6.3500279999999911E-3</v>
      </c>
      <c r="AD239" s="72">
        <f>IF(VLOOKUP($A239,raw_lb[],COLUMN(AE$1)-COLUMN($A$1),FALSE)=0, VLOOKUP($D239, regions_lb[], COLUMN(AE$1)-COLUMN($A$1), FALSE), VLOOKUP($A239,raw_lb[],COLUMN(AE$1)-COLUMN($A$1),FALSE))</f>
        <v>2.8802485223833351E-4</v>
      </c>
      <c r="AE239" s="72">
        <f>IF(VLOOKUP($A239,raw_lb[],COLUMN(AF$1)-COLUMN($A$1),FALSE)=0, VLOOKUP($D239, regions_lb[], COLUMN(AF$1)-COLUMN($A$1), FALSE), VLOOKUP($A239,raw_lb[],COLUMN(AF$1)-COLUMN($A$1),FALSE))</f>
        <v>1.3537898723100145E-4</v>
      </c>
      <c r="AF239" s="72">
        <f>IF(VLOOKUP($A239,raw_lb[],COLUMN(AG$1)-COLUMN($A$1),FALSE)=0, VLOOKUP($D239, regions_lb[], COLUMN(AG$1)-COLUMN($A$1), FALSE), VLOOKUP($A239,raw_lb[],COLUMN(AG$1)-COLUMN($A$1),FALSE))</f>
        <v>1.8509876642345733E-4</v>
      </c>
      <c r="AG239" s="72">
        <f>IF(VLOOKUP($A239,raw_lb[],COLUMN(AH$1)-COLUMN($A$1),FALSE)=0, VLOOKUP($D239, regions_lb[], COLUMN(AH$1)-COLUMN($A$1), FALSE), VLOOKUP($A239,raw_lb[],COLUMN(AH$1)-COLUMN($A$1),FALSE))</f>
        <v>3.4309362399519622E-4</v>
      </c>
      <c r="AH239" s="72">
        <f>IF(VLOOKUP($A239,raw_lb[],COLUMN(AI$1)-COLUMN($A$1),FALSE)=0, VLOOKUP($D239, regions_lb[], COLUMN(AI$1)-COLUMN($A$1), FALSE), VLOOKUP($A239,raw_lb[],COLUMN(AI$1)-COLUMN($A$1),FALSE))</f>
        <v>4.4579137219563002E-4</v>
      </c>
      <c r="AI239" s="72">
        <f>IF(VLOOKUP($A239,raw_lb[],COLUMN(AJ$1)-COLUMN($A$1),FALSE)=0, VLOOKUP($D239, regions_lb[], COLUMN(AJ$1)-COLUMN($A$1), FALSE), VLOOKUP($A239,raw_lb[],COLUMN(AJ$1)-COLUMN($A$1),FALSE))</f>
        <v>6.1866670684252725E-4</v>
      </c>
      <c r="AJ239" s="72">
        <f>IF(VLOOKUP($A239,raw_lb[],COLUMN(AK$1)-COLUMN($A$1),FALSE)=0, VLOOKUP($D239, regions_lb[], COLUMN(AK$1)-COLUMN($A$1), FALSE), VLOOKUP($A239,raw_lb[],COLUMN(AK$1)-COLUMN($A$1),FALSE))</f>
        <v>7.080192274657621E-4</v>
      </c>
      <c r="AK239" s="72">
        <f>IF(VLOOKUP($A239,raw_lb[],COLUMN(AL$1)-COLUMN($A$1),FALSE)=0, VLOOKUP($D239, regions_lb[], COLUMN(AL$1)-COLUMN($A$1), FALSE), VLOOKUP($A239,raw_lb[],COLUMN(AL$1)-COLUMN($A$1),FALSE))</f>
        <v>1.1423606510693337E-3</v>
      </c>
      <c r="AL239" s="72">
        <f>IF(VLOOKUP($A239,raw_lb[],COLUMN(AM$1)-COLUMN($A$1),FALSE)=0, VLOOKUP($D239, regions_lb[], COLUMN(AM$1)-COLUMN($A$1), FALSE), VLOOKUP($A239,raw_lb[],COLUMN(AM$1)-COLUMN($A$1),FALSE))</f>
        <v>2.1321994703945349E-3</v>
      </c>
      <c r="AM239" s="72">
        <f>IF(VLOOKUP($A239,raw_lb[],COLUMN(AN$1)-COLUMN($A$1),FALSE)=0, VLOOKUP($D239, regions_lb[], COLUMN(AN$1)-COLUMN($A$1), FALSE), VLOOKUP($A239,raw_lb[],COLUMN(AN$1)-COLUMN($A$1),FALSE))</f>
        <v>3.3602561836229118E-3</v>
      </c>
      <c r="AN239" s="72">
        <f>IF(VLOOKUP($A239,raw_lb[],COLUMN(AO$1)-COLUMN($A$1),FALSE)=0, VLOOKUP($D239, regions_lb[], COLUMN(AO$1)-COLUMN($A$1), FALSE), VLOOKUP($A239,raw_lb[],COLUMN(AO$1)-COLUMN($A$1),FALSE))</f>
        <v>6.0233345476741283E-3</v>
      </c>
      <c r="AO239" s="72">
        <f>IF(VLOOKUP($A239,raw_lb[],COLUMN(AP$1)-COLUMN($A$1),FALSE)=0, VLOOKUP($D239, regions_lb[], COLUMN(AP$1)-COLUMN($A$1), FALSE), VLOOKUP($A239,raw_lb[],COLUMN(AP$1)-COLUMN($A$1),FALSE))</f>
        <v>1.0104645804220666E-2</v>
      </c>
      <c r="AP239" s="72">
        <f>IF(VLOOKUP($A239,raw_lb[],COLUMN(AQ$1)-COLUMN($A$1),FALSE)=0, VLOOKUP($D239, regions_lb[], COLUMN(AQ$1)-COLUMN($A$1), FALSE), VLOOKUP($A239,raw_lb[],COLUMN(AQ$1)-COLUMN($A$1),FALSE))</f>
        <v>1.4592311173596344E-2</v>
      </c>
      <c r="AQ239" s="72">
        <f>IF(VLOOKUP($A239,raw_lb[],COLUMN(AR$1)-COLUMN($A$1),FALSE)=0, VLOOKUP($D239, regions_lb[], COLUMN(AR$1)-COLUMN($A$1), FALSE), VLOOKUP($A239,raw_lb[],COLUMN(AR$1)-COLUMN($A$1),FALSE))</f>
        <v>1.8969550758949235E-2</v>
      </c>
      <c r="AR239" s="72">
        <f>IF(VLOOKUP($A239,raw_lb[],COLUMN(AS$1)-COLUMN($A$1),FALSE)=0, VLOOKUP($D239, regions_lb[], COLUMN(AS$1)-COLUMN($A$1), FALSE), VLOOKUP($A239,raw_lb[],COLUMN(AS$1)-COLUMN($A$1),FALSE))</f>
        <v>2.7476099765296011E-2</v>
      </c>
      <c r="AS239" s="82">
        <f>IF(VLOOKUP($A239,raw_lb[],COLUMN(AS$1),FALSE)=0, VLOOKUP($D239, regions_lb[], COLUMN(AS$1), FALSE), VLOOKUP($A239,raw_lb[],COLUMN(AS$1),FALSE))</f>
        <v>4.393508434877693E-2</v>
      </c>
      <c r="AT239" s="82">
        <f>IF(VLOOKUP($A239,raw_lb[],COLUMN(AT$1),FALSE)=0, VLOOKUP($D239, regions_lb[], COLUMN(AT$1), FALSE), VLOOKUP($A239,raw_lb[],COLUMN(AT$1),FALSE))</f>
        <v>6.9845727271232463E-2</v>
      </c>
      <c r="AU239" s="82">
        <f>IF(VLOOKUP($A239,raw_lb[],COLUMN(AU$1),FALSE)=0, VLOOKUP($D239, regions_lb[], COLUMN(AU$1), FALSE), VLOOKUP($A239,raw_lb[],COLUMN(AU$1),FALSE))</f>
        <v>0.10322178652396333</v>
      </c>
      <c r="AV239" s="82">
        <f>IF(VLOOKUP($A239,raw_lb[],COLUMN(AV$1),FALSE)=0, VLOOKUP($D239, regions_lb[], COLUMN(AV$1), FALSE), VLOOKUP($A239,raw_lb[],COLUMN(AV$1),FALSE))</f>
        <v>0.13568145651748781</v>
      </c>
      <c r="AW239" s="82">
        <f>IF(VLOOKUP($A239,raw_lb[],COLUMN(AW$1),FALSE)=0, VLOOKUP($D239, regions_lb[], COLUMN(AW$1), FALSE), VLOOKUP($A239,raw_lb[],COLUMN(AW$1),FALSE))</f>
        <v>0.15994952815893027</v>
      </c>
      <c r="AX239" s="82">
        <f>IF(VLOOKUP($A239,raw_lb[],COLUMN(AX$1),FALSE)=0, VLOOKUP($D239, regions_lb[], COLUMN(AX$1), FALSE), VLOOKUP($A239,raw_lb[],COLUMN(AX$1),FALSE))</f>
        <v>72.03564999999999</v>
      </c>
      <c r="AY239" t="str">
        <f t="shared" si="8"/>
        <v>No</v>
      </c>
    </row>
    <row r="240" spans="1:51" x14ac:dyDescent="0.25">
      <c r="A240" s="53" t="s">
        <v>424</v>
      </c>
      <c r="B240" s="54" t="s">
        <v>425</v>
      </c>
      <c r="C240" s="54">
        <v>643</v>
      </c>
      <c r="D240" s="54" t="s">
        <v>201</v>
      </c>
      <c r="E240" s="54" t="s">
        <v>229</v>
      </c>
      <c r="F240" s="54" t="s">
        <v>203</v>
      </c>
      <c r="G240" s="54" t="s">
        <v>204</v>
      </c>
      <c r="H240" s="73"/>
      <c r="I240" s="73"/>
      <c r="J240" s="67">
        <f>IF(VLOOKUP($A240,raw_lb[],COLUMN(J$1),FALSE)=0, VLOOKUP($D240, regions_lb[], COLUMN(J$1), FALSE), VLOOKUP($A240,raw_lb[],COLUMN(J$1),FALSE))</f>
        <v>0.93764999999999998</v>
      </c>
      <c r="K240" s="77">
        <f>VLOOKUP($A240, raw_lb[], 11, FALSE)</f>
        <v>0</v>
      </c>
      <c r="L240" s="77">
        <f>VLOOKUP($A240, raw_lb[], 12, FALSE)</f>
        <v>0.92149999999999999</v>
      </c>
      <c r="M240" s="77">
        <f>IF(VLOOKUP($A240,raw_lb[],COLUMN(M$1),FALSE)=0, VLOOKUP($D240, regions_lb[], COLUMN(M$1), FALSE), VLOOKUP($A240,raw_lb[],COLUMN(M$1),FALSE))</f>
        <v>2.9100000000000001E-2</v>
      </c>
      <c r="N240" s="68">
        <f>IF(VLOOKUP($A240,raw_lb[],COLUMN(N$1),FALSE)=0, VLOOKUP($D240, regions_lb[], COLUMN(N$1), FALSE), VLOOKUP($A240,raw_lb[],COLUMN(N$1),FALSE))</f>
        <v>0.16339999999999999</v>
      </c>
      <c r="O240" s="67">
        <f>IF(VLOOKUP($A240,raw_lb[],COLUMN(O$1),FALSE)=0, VLOOKUP($D240, regions_lb[], COLUMN(O$1), FALSE), VLOOKUP($A240,raw_lb[],COLUMN(O$1),FALSE))</f>
        <v>0.7</v>
      </c>
      <c r="P240" s="68">
        <f>IF(VLOOKUP($A240,raw_lb[],COLUMN(P$1),FALSE)=0, VLOOKUP($D240, regions_lb[], COLUMN(P$1), FALSE), VLOOKUP($A240,raw_lb[],COLUMN(P$1),FALSE))</f>
        <v>0.05</v>
      </c>
      <c r="Q240" s="70">
        <f>IF(VLOOKUP($A240,raw_lb[],COLUMN(Q$1),FALSE)=0, VLOOKUP($D240, regions_lb[], COLUMN(Q$1), FALSE), VLOOKUP($A240,raw_lb[],COLUMN(Q$1),FALSE))</f>
        <v>3.31488285793698</v>
      </c>
      <c r="R240" s="70">
        <f>IF(VLOOKUP($A240,raw_lb[],COLUMN(R$1),FALSE)=0, VLOOKUP($D240, regions_lb[], COLUMN(R$1), FALSE), VLOOKUP($A240,raw_lb[],COLUMN(R$1),FALSE))</f>
        <v>10.375782857936981</v>
      </c>
      <c r="S240" s="70">
        <f>IF(VLOOKUP($A240,raw_lb[],COLUMN(S$1),FALSE)=0, VLOOKUP($D240, regions_lb[], COLUMN(S$1), FALSE), VLOOKUP($A240,raw_lb[],COLUMN(S$1),FALSE))</f>
        <v>62.09419787684547</v>
      </c>
      <c r="T240" s="70">
        <f>IF(VLOOKUP($A240,raw_lb[],COLUMN(U$1)-COLUMN($A$1),FALSE)=0, VLOOKUP($D240, regions_lb[], COLUMN(U$1)-COLUMN($A$1), FALSE), VLOOKUP($A240,raw_lb[],COLUMN(U$1)-COLUMN($A$1),FALSE))</f>
        <v>73.803836548766185</v>
      </c>
      <c r="U240" s="70">
        <f>IF(VLOOKUP($A240,raw_lb[],COLUMN(V$1)-COLUMN($A$1),FALSE)=0, VLOOKUP($D240, regions_lb[], COLUMN(V$1)-COLUMN($A$1), FALSE), VLOOKUP($A240,raw_lb[],COLUMN(V$1)-COLUMN($A$1),FALSE))</f>
        <v>68.42701798085011</v>
      </c>
      <c r="V240" s="70">
        <f>IF(VLOOKUP($A240,raw_lb[],COLUMN(W$1)-COLUMN($A$1),FALSE)=0, VLOOKUP($D240, regions_lb[], COLUMN(W$1)-COLUMN($A$1), FALSE), VLOOKUP($A240,raw_lb[],COLUMN(W$1)-COLUMN($A$1),FALSE))</f>
        <v>1.4267338658307096</v>
      </c>
      <c r="W240" s="70">
        <f>IF(VLOOKUP($A240,raw_lb[],COLUMN(X$1)-COLUMN($A$1),FALSE)=0, VLOOKUP($D240, regions_lb[], COLUMN(X$1)-COLUMN($A$1), FALSE), VLOOKUP($A240,raw_lb[],COLUMN(X$1)-COLUMN($A$1),FALSE))</f>
        <v>5.2932338658307101</v>
      </c>
      <c r="X240" s="70">
        <f>IF(VLOOKUP($A240,raw_lb[],COLUMN(Y$1)-COLUMN($A$1),FALSE)=0, VLOOKUP($D240, regions_lb[], COLUMN(Y$1)-COLUMN($A$1), FALSE), VLOOKUP($A240,raw_lb[],COLUMN(Y$1)-COLUMN($A$1),FALSE))</f>
        <v>0.94592201258015596</v>
      </c>
      <c r="Y240" s="70">
        <f>IF(VLOOKUP($A240,raw_lb[],COLUMN(Z$1)-COLUMN($A$1),FALSE)=0, VLOOKUP($D240, regions_lb[], COLUMN(Z$1)-COLUMN($A$1), FALSE), VLOOKUP($A240,raw_lb[],COLUMN(Z$1)-COLUMN($A$1),FALSE))</f>
        <v>4.8124220125801562</v>
      </c>
      <c r="Z240" s="70">
        <f>IF(VLOOKUP($A240,raw_lb[],COLUMN(AA$1)-COLUMN($A$1),FALSE)=0, VLOOKUP($D240, regions_lb[], COLUMN(AA$1)-COLUMN($A$1), FALSE), VLOOKUP($A240,raw_lb[],COLUMN(AA$1)-COLUMN($A$1),FALSE))</f>
        <v>4.8041979771077079</v>
      </c>
      <c r="AA240" s="70">
        <f>IF(VLOOKUP($A240,raw_lb[],COLUMN(AB$1)-COLUMN($A$1),FALSE)=0, VLOOKUP($D240, regions_lb[], COLUMN(AB$1)-COLUMN($A$1), FALSE), VLOOKUP($A240,raw_lb[],COLUMN(AB$1)-COLUMN($A$1),FALSE))</f>
        <v>1.6012029018927352</v>
      </c>
      <c r="AB240" s="70">
        <f>IF(VLOOKUP($A240,raw_lb[],COLUMN(AC$1)-COLUMN($A$1),FALSE)=0, VLOOKUP($D240, regions_lb[], COLUMN(AC$1)-COLUMN($A$1), FALSE), VLOOKUP($A240,raw_lb[],COLUMN(AC$1)-COLUMN($A$1),FALSE))</f>
        <v>5.4677029018927357</v>
      </c>
      <c r="AC240" s="72">
        <f>IF(VLOOKUP($A240,raw_lb[],COLUMN(AD$1)-COLUMN($A$1),FALSE)=0, VLOOKUP($D240, regions_lb[], COLUMN(AD$1)-COLUMN($A$1), FALSE), VLOOKUP($A240,raw_lb[],COLUMN(AD$1)-COLUMN($A$1),FALSE))</f>
        <v>5.4706035000000267E-3</v>
      </c>
      <c r="AD240" s="72">
        <f>IF(VLOOKUP($A240,raw_lb[],COLUMN(AE$1)-COLUMN($A$1),FALSE)=0, VLOOKUP($D240, regions_lb[], COLUMN(AE$1)-COLUMN($A$1), FALSE), VLOOKUP($A240,raw_lb[],COLUMN(AE$1)-COLUMN($A$1),FALSE))</f>
        <v>3.2367401150546539E-4</v>
      </c>
      <c r="AE240" s="72">
        <f>IF(VLOOKUP($A240,raw_lb[],COLUMN(AF$1)-COLUMN($A$1),FALSE)=0, VLOOKUP($D240, regions_lb[], COLUMN(AF$1)-COLUMN($A$1), FALSE), VLOOKUP($A240,raw_lb[],COLUMN(AF$1)-COLUMN($A$1),FALSE))</f>
        <v>1.8729099826196951E-4</v>
      </c>
      <c r="AF240" s="72">
        <f>IF(VLOOKUP($A240,raw_lb[],COLUMN(AG$1)-COLUMN($A$1),FALSE)=0, VLOOKUP($D240, regions_lb[], COLUMN(AG$1)-COLUMN($A$1), FALSE), VLOOKUP($A240,raw_lb[],COLUMN(AG$1)-COLUMN($A$1),FALSE))</f>
        <v>2.4698274612734613E-4</v>
      </c>
      <c r="AG240" s="72">
        <f>IF(VLOOKUP($A240,raw_lb[],COLUMN(AH$1)-COLUMN($A$1),FALSE)=0, VLOOKUP($D240, regions_lb[], COLUMN(AH$1)-COLUMN($A$1), FALSE), VLOOKUP($A240,raw_lb[],COLUMN(AH$1)-COLUMN($A$1),FALSE))</f>
        <v>5.9500966648748908E-4</v>
      </c>
      <c r="AH240" s="72">
        <f>IF(VLOOKUP($A240,raw_lb[],COLUMN(AI$1)-COLUMN($A$1),FALSE)=0, VLOOKUP($D240, regions_lb[], COLUMN(AI$1)-COLUMN($A$1), FALSE), VLOOKUP($A240,raw_lb[],COLUMN(AI$1)-COLUMN($A$1),FALSE))</f>
        <v>1.0551206096273207E-3</v>
      </c>
      <c r="AI240" s="72">
        <f>IF(VLOOKUP($A240,raw_lb[],COLUMN(AJ$1)-COLUMN($A$1),FALSE)=0, VLOOKUP($D240, regions_lb[], COLUMN(AJ$1)-COLUMN($A$1), FALSE), VLOOKUP($A240,raw_lb[],COLUMN(AJ$1)-COLUMN($A$1),FALSE))</f>
        <v>1.6945007005218563E-3</v>
      </c>
      <c r="AJ240" s="72">
        <f>IF(VLOOKUP($A240,raw_lb[],COLUMN(AK$1)-COLUMN($A$1),FALSE)=0, VLOOKUP($D240, regions_lb[], COLUMN(AK$1)-COLUMN($A$1), FALSE), VLOOKUP($A240,raw_lb[],COLUMN(AK$1)-COLUMN($A$1),FALSE))</f>
        <v>2.8437315991563916E-3</v>
      </c>
      <c r="AK240" s="72">
        <f>IF(VLOOKUP($A240,raw_lb[],COLUMN(AL$1)-COLUMN($A$1),FALSE)=0, VLOOKUP($D240, regions_lb[], COLUMN(AL$1)-COLUMN($A$1), FALSE), VLOOKUP($A240,raw_lb[],COLUMN(AL$1)-COLUMN($A$1),FALSE))</f>
        <v>4.1703219458116125E-3</v>
      </c>
      <c r="AL240" s="72">
        <f>IF(VLOOKUP($A240,raw_lb[],COLUMN(AM$1)-COLUMN($A$1),FALSE)=0, VLOOKUP($D240, regions_lb[], COLUMN(AM$1)-COLUMN($A$1), FALSE), VLOOKUP($A240,raw_lb[],COLUMN(AM$1)-COLUMN($A$1),FALSE))</f>
        <v>5.0043817922165194E-3</v>
      </c>
      <c r="AM240" s="72">
        <f>IF(VLOOKUP($A240,raw_lb[],COLUMN(AN$1)-COLUMN($A$1),FALSE)=0, VLOOKUP($D240, regions_lb[], COLUMN(AN$1)-COLUMN($A$1), FALSE), VLOOKUP($A240,raw_lb[],COLUMN(AN$1)-COLUMN($A$1),FALSE))</f>
        <v>6.1493883564960649E-3</v>
      </c>
      <c r="AN240" s="72">
        <f>IF(VLOOKUP($A240,raw_lb[],COLUMN(AO$1)-COLUMN($A$1),FALSE)=0, VLOOKUP($D240, regions_lb[], COLUMN(AO$1)-COLUMN($A$1), FALSE), VLOOKUP($A240,raw_lb[],COLUMN(AO$1)-COLUMN($A$1),FALSE))</f>
        <v>8.3909551855863643E-3</v>
      </c>
      <c r="AO240" s="72">
        <f>IF(VLOOKUP($A240,raw_lb[],COLUMN(AP$1)-COLUMN($A$1),FALSE)=0, VLOOKUP($D240, regions_lb[], COLUMN(AP$1)-COLUMN($A$1), FALSE), VLOOKUP($A240,raw_lb[],COLUMN(AP$1)-COLUMN($A$1),FALSE))</f>
        <v>1.1714690330774383E-2</v>
      </c>
      <c r="AP240" s="72">
        <f>IF(VLOOKUP($A240,raw_lb[],COLUMN(AQ$1)-COLUMN($A$1),FALSE)=0, VLOOKUP($D240, regions_lb[], COLUMN(AQ$1)-COLUMN($A$1), FALSE), VLOOKUP($A240,raw_lb[],COLUMN(AQ$1)-COLUMN($A$1),FALSE))</f>
        <v>1.6849062634857387E-2</v>
      </c>
      <c r="AQ240" s="72">
        <f>IF(VLOOKUP($A240,raw_lb[],COLUMN(AR$1)-COLUMN($A$1),FALSE)=0, VLOOKUP($D240, regions_lb[], COLUMN(AR$1)-COLUMN($A$1), FALSE), VLOOKUP($A240,raw_lb[],COLUMN(AR$1)-COLUMN($A$1),FALSE))</f>
        <v>2.2780049402458816E-2</v>
      </c>
      <c r="AR240" s="72">
        <f>IF(VLOOKUP($A240,raw_lb[],COLUMN(AS$1)-COLUMN($A$1),FALSE)=0, VLOOKUP($D240, regions_lb[], COLUMN(AS$1)-COLUMN($A$1), FALSE), VLOOKUP($A240,raw_lb[],COLUMN(AS$1)-COLUMN($A$1),FALSE))</f>
        <v>3.1424495158527327E-2</v>
      </c>
      <c r="AS240" s="82">
        <f>IF(VLOOKUP($A240,raw_lb[],COLUMN(AS$1),FALSE)=0, VLOOKUP($D240, regions_lb[], COLUMN(AS$1), FALSE), VLOOKUP($A240,raw_lb[],COLUMN(AS$1),FALSE))</f>
        <v>4.7196941089161906E-2</v>
      </c>
      <c r="AT240" s="82">
        <f>IF(VLOOKUP($A240,raw_lb[],COLUMN(AT$1),FALSE)=0, VLOOKUP($D240, regions_lb[], COLUMN(AT$1), FALSE), VLOOKUP($A240,raw_lb[],COLUMN(AT$1),FALSE))</f>
        <v>7.0986452606725189E-2</v>
      </c>
      <c r="AU240" s="82">
        <f>IF(VLOOKUP($A240,raw_lb[],COLUMN(AU$1),FALSE)=0, VLOOKUP($D240, regions_lb[], COLUMN(AU$1), FALSE), VLOOKUP($A240,raw_lb[],COLUMN(AU$1),FALSE))</f>
        <v>9.5637247821059965E-2</v>
      </c>
      <c r="AV240" s="82">
        <f>IF(VLOOKUP($A240,raw_lb[],COLUMN(AV$1),FALSE)=0, VLOOKUP($D240, regions_lb[], COLUMN(AV$1), FALSE), VLOOKUP($A240,raw_lb[],COLUMN(AV$1),FALSE))</f>
        <v>0.12513115172212536</v>
      </c>
      <c r="AW240" s="82">
        <f>IF(VLOOKUP($A240,raw_lb[],COLUMN(AW$1),FALSE)=0, VLOOKUP($D240, regions_lb[], COLUMN(AW$1), FALSE), VLOOKUP($A240,raw_lb[],COLUMN(AW$1),FALSE))</f>
        <v>0.15058502233458926</v>
      </c>
      <c r="AX240" s="82">
        <f>IF(VLOOKUP($A240,raw_lb[],COLUMN(AX$1),FALSE)=0, VLOOKUP($D240, regions_lb[], COLUMN(AX$1), FALSE), VLOOKUP($A240,raw_lb[],COLUMN(AX$1),FALSE))</f>
        <v>68.674549999999996</v>
      </c>
      <c r="AY240" t="str">
        <f t="shared" si="8"/>
        <v>Yes</v>
      </c>
    </row>
    <row r="241" spans="1:51" x14ac:dyDescent="0.25">
      <c r="A241" s="55" t="s">
        <v>426</v>
      </c>
      <c r="B241" s="56" t="s">
        <v>427</v>
      </c>
      <c r="C241" s="56">
        <v>646</v>
      </c>
      <c r="D241" s="56" t="s">
        <v>207</v>
      </c>
      <c r="E241" s="56" t="s">
        <v>255</v>
      </c>
      <c r="F241" s="56" t="s">
        <v>211</v>
      </c>
      <c r="G241" s="56" t="s">
        <v>198</v>
      </c>
      <c r="H241" s="74"/>
      <c r="I241" s="74"/>
      <c r="J241" s="67">
        <f>IF(VLOOKUP($A241,raw_lb[],COLUMN(J$1),FALSE)=0, VLOOKUP($D241, regions_lb[], COLUMN(J$1), FALSE), VLOOKUP($A241,raw_lb[],COLUMN(J$1),FALSE))</f>
        <v>0.86165000000000003</v>
      </c>
      <c r="K241" s="77">
        <f>VLOOKUP($A241, raw_lb[], 11, FALSE)</f>
        <v>0</v>
      </c>
      <c r="L241" s="77">
        <f>VLOOKUP($A241, raw_lb[], 12, FALSE)</f>
        <v>0.86449999999999994</v>
      </c>
      <c r="M241" s="77">
        <f>IF(VLOOKUP($A241,raw_lb[],COLUMN(M$1),FALSE)=0, VLOOKUP($D241, regions_lb[], COLUMN(M$1), FALSE), VLOOKUP($A241,raw_lb[],COLUMN(M$1),FALSE))</f>
        <v>2.0199999999999999E-2</v>
      </c>
      <c r="N241" s="68">
        <f>IF(VLOOKUP($A241,raw_lb[],COLUMN(N$1),FALSE)=0, VLOOKUP($D241, regions_lb[], COLUMN(N$1), FALSE), VLOOKUP($A241,raw_lb[],COLUMN(N$1),FALSE))</f>
        <v>0.15560000000000002</v>
      </c>
      <c r="O241" s="67">
        <f>IF(VLOOKUP($A241,raw_lb[],COLUMN(O$1),FALSE)=0, VLOOKUP($D241, regions_lb[], COLUMN(O$1), FALSE), VLOOKUP($A241,raw_lb[],COLUMN(O$1),FALSE))</f>
        <v>7.0000000000000007E-2</v>
      </c>
      <c r="P241" s="68">
        <f>IF(VLOOKUP($A241,raw_lb[],COLUMN(P$1),FALSE)=0, VLOOKUP($D241, regions_lb[], COLUMN(P$1), FALSE), VLOOKUP($A241,raw_lb[],COLUMN(P$1),FALSE))</f>
        <v>1E-3</v>
      </c>
      <c r="Q241" s="70">
        <f>IF(VLOOKUP($A241,raw_lb[],COLUMN(Q$1),FALSE)=0, VLOOKUP($D241, regions_lb[], COLUMN(Q$1), FALSE), VLOOKUP($A241,raw_lb[],COLUMN(Q$1),FALSE))</f>
        <v>0.67319523809523807</v>
      </c>
      <c r="R241" s="70">
        <f>IF(VLOOKUP($A241,raw_lb[],COLUMN(R$1),FALSE)=0, VLOOKUP($D241, regions_lb[], COLUMN(R$1), FALSE), VLOOKUP($A241,raw_lb[],COLUMN(R$1),FALSE))</f>
        <v>7.7340952380952395</v>
      </c>
      <c r="S241" s="70">
        <f>IF(VLOOKUP($A241,raw_lb[],COLUMN(S$1),FALSE)=0, VLOOKUP($D241, regions_lb[], COLUMN(S$1), FALSE), VLOOKUP($A241,raw_lb[],COLUMN(S$1),FALSE))</f>
        <v>37.556642212749082</v>
      </c>
      <c r="T241" s="70">
        <f>IF(VLOOKUP($A241,raw_lb[],COLUMN(U$1)-COLUMN($A$1),FALSE)=0, VLOOKUP($D241, regions_lb[], COLUMN(U$1)-COLUMN($A$1), FALSE), VLOOKUP($A241,raw_lb[],COLUMN(U$1)-COLUMN($A$1),FALSE))</f>
        <v>37.870246853348242</v>
      </c>
      <c r="U241" s="70">
        <f>IF(VLOOKUP($A241,raw_lb[],COLUMN(V$1)-COLUMN($A$1),FALSE)=0, VLOOKUP($D241, regions_lb[], COLUMN(V$1)-COLUMN($A$1), FALSE), VLOOKUP($A241,raw_lb[],COLUMN(V$1)-COLUMN($A$1),FALSE))</f>
        <v>37.726246231142738</v>
      </c>
      <c r="V241" s="70">
        <f>IF(VLOOKUP($A241,raw_lb[],COLUMN(W$1)-COLUMN($A$1),FALSE)=0, VLOOKUP($D241, regions_lb[], COLUMN(W$1)-COLUMN($A$1), FALSE), VLOOKUP($A241,raw_lb[],COLUMN(W$1)-COLUMN($A$1),FALSE))</f>
        <v>1.5775312295677517</v>
      </c>
      <c r="W241" s="70">
        <f>IF(VLOOKUP($A241,raw_lb[],COLUMN(X$1)-COLUMN($A$1),FALSE)=0, VLOOKUP($D241, regions_lb[], COLUMN(X$1)-COLUMN($A$1), FALSE), VLOOKUP($A241,raw_lb[],COLUMN(X$1)-COLUMN($A$1),FALSE))</f>
        <v>6.1660312295677517</v>
      </c>
      <c r="X241" s="70">
        <f>IF(VLOOKUP($A241,raw_lb[],COLUMN(Y$1)-COLUMN($A$1),FALSE)=0, VLOOKUP($D241, regions_lb[], COLUMN(Y$1)-COLUMN($A$1), FALSE), VLOOKUP($A241,raw_lb[],COLUMN(Y$1)-COLUMN($A$1),FALSE))</f>
        <v>1.1067683441901808</v>
      </c>
      <c r="Y241" s="70">
        <f>IF(VLOOKUP($A241,raw_lb[],COLUMN(Z$1)-COLUMN($A$1),FALSE)=0, VLOOKUP($D241, regions_lb[], COLUMN(Z$1)-COLUMN($A$1), FALSE), VLOOKUP($A241,raw_lb[],COLUMN(Z$1)-COLUMN($A$1),FALSE))</f>
        <v>5.6952683441901808</v>
      </c>
      <c r="Z241" s="70">
        <f>IF(VLOOKUP($A241,raw_lb[],COLUMN(AA$1)-COLUMN($A$1),FALSE)=0, VLOOKUP($D241, regions_lb[], COLUMN(AA$1)-COLUMN($A$1), FALSE), VLOOKUP($A241,raw_lb[],COLUMN(AA$1)-COLUMN($A$1),FALSE))</f>
        <v>5.6935198282611772</v>
      </c>
      <c r="AA241" s="70">
        <f>IF(VLOOKUP($A241,raw_lb[],COLUMN(AB$1)-COLUMN($A$1),FALSE)=0, VLOOKUP($D241, regions_lb[], COLUMN(AB$1)-COLUMN($A$1), FALSE), VLOOKUP($A241,raw_lb[],COLUMN(AB$1)-COLUMN($A$1),FALSE))</f>
        <v>1.7209920219074306</v>
      </c>
      <c r="AB241" s="70">
        <f>IF(VLOOKUP($A241,raw_lb[],COLUMN(AC$1)-COLUMN($A$1),FALSE)=0, VLOOKUP($D241, regions_lb[], COLUMN(AC$1)-COLUMN($A$1), FALSE), VLOOKUP($A241,raw_lb[],COLUMN(AC$1)-COLUMN($A$1),FALSE))</f>
        <v>6.3094920219074302</v>
      </c>
      <c r="AC241" s="72">
        <f>IF(VLOOKUP($A241,raw_lb[],COLUMN(AD$1)-COLUMN($A$1),FALSE)=0, VLOOKUP($D241, regions_lb[], COLUMN(AD$1)-COLUMN($A$1), FALSE), VLOOKUP($A241,raw_lb[],COLUMN(AD$1)-COLUMN($A$1),FALSE))</f>
        <v>2.7734908000000068E-2</v>
      </c>
      <c r="AD241" s="72">
        <f>IF(VLOOKUP($A241,raw_lb[],COLUMN(AE$1)-COLUMN($A$1),FALSE)=0, VLOOKUP($D241, regions_lb[], COLUMN(AE$1)-COLUMN($A$1), FALSE), VLOOKUP($A241,raw_lb[],COLUMN(AE$1)-COLUMN($A$1),FALSE))</f>
        <v>2.2537152813000344E-3</v>
      </c>
      <c r="AE241" s="72">
        <f>IF(VLOOKUP($A241,raw_lb[],COLUMN(AF$1)-COLUMN($A$1),FALSE)=0, VLOOKUP($D241, regions_lb[], COLUMN(AF$1)-COLUMN($A$1), FALSE), VLOOKUP($A241,raw_lb[],COLUMN(AF$1)-COLUMN($A$1),FALSE))</f>
        <v>9.0098704642285895E-4</v>
      </c>
      <c r="AF241" s="72">
        <f>IF(VLOOKUP($A241,raw_lb[],COLUMN(AG$1)-COLUMN($A$1),FALSE)=0, VLOOKUP($D241, regions_lb[], COLUMN(AG$1)-COLUMN($A$1), FALSE), VLOOKUP($A241,raw_lb[],COLUMN(AG$1)-COLUMN($A$1),FALSE))</f>
        <v>6.9749025206191284E-4</v>
      </c>
      <c r="AG241" s="72">
        <f>IF(VLOOKUP($A241,raw_lb[],COLUMN(AH$1)-COLUMN($A$1),FALSE)=0, VLOOKUP($D241, regions_lb[], COLUMN(AH$1)-COLUMN($A$1), FALSE), VLOOKUP($A241,raw_lb[],COLUMN(AH$1)-COLUMN($A$1),FALSE))</f>
        <v>1.2188440033484927E-3</v>
      </c>
      <c r="AH241" s="72">
        <f>IF(VLOOKUP($A241,raw_lb[],COLUMN(AI$1)-COLUMN($A$1),FALSE)=0, VLOOKUP($D241, regions_lb[], COLUMN(AI$1)-COLUMN($A$1), FALSE), VLOOKUP($A241,raw_lb[],COLUMN(AI$1)-COLUMN($A$1),FALSE))</f>
        <v>1.8347775285385533E-3</v>
      </c>
      <c r="AI241" s="72">
        <f>IF(VLOOKUP($A241,raw_lb[],COLUMN(AJ$1)-COLUMN($A$1),FALSE)=0, VLOOKUP($D241, regions_lb[], COLUMN(AJ$1)-COLUMN($A$1), FALSE), VLOOKUP($A241,raw_lb[],COLUMN(AJ$1)-COLUMN($A$1),FALSE))</f>
        <v>2.2150426001786945E-3</v>
      </c>
      <c r="AJ241" s="72">
        <f>IF(VLOOKUP($A241,raw_lb[],COLUMN(AK$1)-COLUMN($A$1),FALSE)=0, VLOOKUP($D241, regions_lb[], COLUMN(AK$1)-COLUMN($A$1), FALSE), VLOOKUP($A241,raw_lb[],COLUMN(AK$1)-COLUMN($A$1),FALSE))</f>
        <v>2.6652116430645151E-3</v>
      </c>
      <c r="AK241" s="72">
        <f>IF(VLOOKUP($A241,raw_lb[],COLUMN(AL$1)-COLUMN($A$1),FALSE)=0, VLOOKUP($D241, regions_lb[], COLUMN(AL$1)-COLUMN($A$1), FALSE), VLOOKUP($A241,raw_lb[],COLUMN(AL$1)-COLUMN($A$1),FALSE))</f>
        <v>3.3421373673868703E-3</v>
      </c>
      <c r="AL241" s="72">
        <f>IF(VLOOKUP($A241,raw_lb[],COLUMN(AM$1)-COLUMN($A$1),FALSE)=0, VLOOKUP($D241, regions_lb[], COLUMN(AM$1)-COLUMN($A$1), FALSE), VLOOKUP($A241,raw_lb[],COLUMN(AM$1)-COLUMN($A$1),FALSE))</f>
        <v>4.2910002488462809E-3</v>
      </c>
      <c r="AM241" s="72">
        <f>IF(VLOOKUP($A241,raw_lb[],COLUMN(AN$1)-COLUMN($A$1),FALSE)=0, VLOOKUP($D241, regions_lb[], COLUMN(AN$1)-COLUMN($A$1), FALSE), VLOOKUP($A241,raw_lb[],COLUMN(AN$1)-COLUMN($A$1),FALSE))</f>
        <v>5.5316875625050187E-3</v>
      </c>
      <c r="AN241" s="72">
        <f>IF(VLOOKUP($A241,raw_lb[],COLUMN(AO$1)-COLUMN($A$1),FALSE)=0, VLOOKUP($D241, regions_lb[], COLUMN(AO$1)-COLUMN($A$1), FALSE), VLOOKUP($A241,raw_lb[],COLUMN(AO$1)-COLUMN($A$1),FALSE))</f>
        <v>7.9955715948974611E-3</v>
      </c>
      <c r="AO241" s="72">
        <f>IF(VLOOKUP($A241,raw_lb[],COLUMN(AP$1)-COLUMN($A$1),FALSE)=0, VLOOKUP($D241, regions_lb[], COLUMN(AP$1)-COLUMN($A$1), FALSE), VLOOKUP($A241,raw_lb[],COLUMN(AP$1)-COLUMN($A$1),FALSE))</f>
        <v>1.0771706429857966E-2</v>
      </c>
      <c r="AP241" s="72">
        <f>IF(VLOOKUP($A241,raw_lb[],COLUMN(AQ$1)-COLUMN($A$1),FALSE)=0, VLOOKUP($D241, regions_lb[], COLUMN(AQ$1)-COLUMN($A$1), FALSE), VLOOKUP($A241,raw_lb[],COLUMN(AQ$1)-COLUMN($A$1),FALSE))</f>
        <v>1.6102723458545482E-2</v>
      </c>
      <c r="AQ241" s="72">
        <f>IF(VLOOKUP($A241,raw_lb[],COLUMN(AR$1)-COLUMN($A$1),FALSE)=0, VLOOKUP($D241, regions_lb[], COLUMN(AR$1)-COLUMN($A$1), FALSE), VLOOKUP($A241,raw_lb[],COLUMN(AR$1)-COLUMN($A$1),FALSE))</f>
        <v>2.4774889946243221E-2</v>
      </c>
      <c r="AR241" s="72">
        <f>IF(VLOOKUP($A241,raw_lb[],COLUMN(AS$1)-COLUMN($A$1),FALSE)=0, VLOOKUP($D241, regions_lb[], COLUMN(AS$1)-COLUMN($A$1), FALSE), VLOOKUP($A241,raw_lb[],COLUMN(AS$1)-COLUMN($A$1),FALSE))</f>
        <v>3.8322315450047134E-2</v>
      </c>
      <c r="AS241" s="82">
        <f>IF(VLOOKUP($A241,raw_lb[],COLUMN(AS$1),FALSE)=0, VLOOKUP($D241, regions_lb[], COLUMN(AS$1), FALSE), VLOOKUP($A241,raw_lb[],COLUMN(AS$1),FALSE))</f>
        <v>5.9299069274399561E-2</v>
      </c>
      <c r="AT241" s="82">
        <f>IF(VLOOKUP($A241,raw_lb[],COLUMN(AT$1),FALSE)=0, VLOOKUP($D241, regions_lb[], COLUMN(AT$1), FALSE), VLOOKUP($A241,raw_lb[],COLUMN(AT$1),FALSE))</f>
        <v>9.0289633084927365E-2</v>
      </c>
      <c r="AU241" s="82">
        <f>IF(VLOOKUP($A241,raw_lb[],COLUMN(AU$1),FALSE)=0, VLOOKUP($D241, regions_lb[], COLUMN(AU$1), FALSE), VLOOKUP($A241,raw_lb[],COLUMN(AU$1),FALSE))</f>
        <v>0.12781025248167344</v>
      </c>
      <c r="AV241" s="82">
        <f>IF(VLOOKUP($A241,raw_lb[],COLUMN(AV$1),FALSE)=0, VLOOKUP($D241, regions_lb[], COLUMN(AV$1), FALSE), VLOOKUP($A241,raw_lb[],COLUMN(AV$1),FALSE))</f>
        <v>0.16315915976099893</v>
      </c>
      <c r="AW241" s="82">
        <f>IF(VLOOKUP($A241,raw_lb[],COLUMN(AW$1),FALSE)=0, VLOOKUP($D241, regions_lb[], COLUMN(AW$1), FALSE), VLOOKUP($A241,raw_lb[],COLUMN(AW$1),FALSE))</f>
        <v>0.17775006944941502</v>
      </c>
      <c r="AX241" s="82">
        <f>IF(VLOOKUP($A241,raw_lb[],COLUMN(AX$1),FALSE)=0, VLOOKUP($D241, regions_lb[], COLUMN(AX$1), FALSE), VLOOKUP($A241,raw_lb[],COLUMN(AX$1),FALSE))</f>
        <v>65.016099999999994</v>
      </c>
      <c r="AY241" t="str">
        <f t="shared" si="8"/>
        <v>Yes</v>
      </c>
    </row>
    <row r="242" spans="1:51" x14ac:dyDescent="0.25">
      <c r="A242" s="53" t="s">
        <v>428</v>
      </c>
      <c r="B242" s="54" t="s">
        <v>429</v>
      </c>
      <c r="C242" s="54">
        <v>662</v>
      </c>
      <c r="D242" s="54" t="s">
        <v>215</v>
      </c>
      <c r="E242" s="54" t="s">
        <v>232</v>
      </c>
      <c r="F242" s="54" t="s">
        <v>217</v>
      </c>
      <c r="G242" s="54" t="s">
        <v>204</v>
      </c>
      <c r="H242" s="73"/>
      <c r="I242" s="73"/>
      <c r="J242" s="67">
        <f>IF(VLOOKUP($A242,raw_lb[],COLUMN(J$1),FALSE)=0, VLOOKUP($D242, regions_lb[], COLUMN(J$1), FALSE), VLOOKUP($A242,raw_lb[],COLUMN(J$1),FALSE))</f>
        <v>0.94904999999999995</v>
      </c>
      <c r="K242" s="77">
        <f>VLOOKUP($A242, raw_lb[], 11, FALSE)</f>
        <v>0.81699999999999995</v>
      </c>
      <c r="L242" s="77">
        <f>VLOOKUP($A242, raw_lb[], 12, FALSE)</f>
        <v>0.81699999999999995</v>
      </c>
      <c r="M242" s="77">
        <f>IF(VLOOKUP($A242,raw_lb[],COLUMN(M$1),FALSE)=0, VLOOKUP($D242, regions_lb[], COLUMN(M$1), FALSE), VLOOKUP($A242,raw_lb[],COLUMN(M$1),FALSE))</f>
        <v>4.0000000000000001E-3</v>
      </c>
      <c r="N242" s="68">
        <f>IF(VLOOKUP($A242,raw_lb[],COLUMN(N$1),FALSE)=0, VLOOKUP($D242, regions_lb[], COLUMN(N$1), FALSE), VLOOKUP($A242,raw_lb[],COLUMN(N$1),FALSE))</f>
        <v>0.16309999999999999</v>
      </c>
      <c r="O242" s="67">
        <f>IF(VLOOKUP($A242,raw_lb[],COLUMN(O$1),FALSE)=0, VLOOKUP($D242, regions_lb[], COLUMN(O$1), FALSE), VLOOKUP($A242,raw_lb[],COLUMN(O$1),FALSE))</f>
        <v>0.7</v>
      </c>
      <c r="P242" s="68">
        <f>IF(VLOOKUP($A242,raw_lb[],COLUMN(P$1),FALSE)=0, VLOOKUP($D242, regions_lb[], COLUMN(P$1), FALSE), VLOOKUP($A242,raw_lb[],COLUMN(P$1),FALSE))</f>
        <v>0.05</v>
      </c>
      <c r="Q242" s="70">
        <f>IF(VLOOKUP($A242,raw_lb[],COLUMN(Q$1),FALSE)=0, VLOOKUP($D242, regions_lb[], COLUMN(Q$1), FALSE), VLOOKUP($A242,raw_lb[],COLUMN(Q$1),FALSE))</f>
        <v>2.7089722845895903</v>
      </c>
      <c r="R242" s="70">
        <f>IF(VLOOKUP($A242,raw_lb[],COLUMN(R$1),FALSE)=0, VLOOKUP($D242, regions_lb[], COLUMN(R$1), FALSE), VLOOKUP($A242,raw_lb[],COLUMN(R$1),FALSE))</f>
        <v>9.7698722845895904</v>
      </c>
      <c r="S242" s="70">
        <f>IF(VLOOKUP($A242,raw_lb[],COLUMN(S$1),FALSE)=0, VLOOKUP($D242, regions_lb[], COLUMN(S$1), FALSE), VLOOKUP($A242,raw_lb[],COLUMN(S$1),FALSE))</f>
        <v>53.365413412568572</v>
      </c>
      <c r="T242" s="70">
        <f>IF(VLOOKUP($A242,raw_lb[],COLUMN(U$1)-COLUMN($A$1),FALSE)=0, VLOOKUP($D242, regions_lb[], COLUMN(U$1)-COLUMN($A$1), FALSE), VLOOKUP($A242,raw_lb[],COLUMN(U$1)-COLUMN($A$1),FALSE))</f>
        <v>60.847380128023715</v>
      </c>
      <c r="U242" s="70">
        <f>IF(VLOOKUP($A242,raw_lb[],COLUMN(V$1)-COLUMN($A$1),FALSE)=0, VLOOKUP($D242, regions_lb[], COLUMN(V$1)-COLUMN($A$1), FALSE), VLOOKUP($A242,raw_lb[],COLUMN(V$1)-COLUMN($A$1),FALSE))</f>
        <v>57.411819160915698</v>
      </c>
      <c r="V242" s="70">
        <f>IF(VLOOKUP($A242,raw_lb[],COLUMN(W$1)-COLUMN($A$1),FALSE)=0, VLOOKUP($D242, regions_lb[], COLUMN(W$1)-COLUMN($A$1), FALSE), VLOOKUP($A242,raw_lb[],COLUMN(W$1)-COLUMN($A$1),FALSE))</f>
        <v>5.4927377781177471</v>
      </c>
      <c r="W242" s="70">
        <f>IF(VLOOKUP($A242,raw_lb[],COLUMN(X$1)-COLUMN($A$1),FALSE)=0, VLOOKUP($D242, regions_lb[], COLUMN(X$1)-COLUMN($A$1), FALSE), VLOOKUP($A242,raw_lb[],COLUMN(X$1)-COLUMN($A$1),FALSE))</f>
        <v>5.5117377781177472</v>
      </c>
      <c r="X242" s="70">
        <f>IF(VLOOKUP($A242,raw_lb[],COLUMN(Y$1)-COLUMN($A$1),FALSE)=0, VLOOKUP($D242, regions_lb[], COLUMN(Y$1)-COLUMN($A$1), FALSE), VLOOKUP($A242,raw_lb[],COLUMN(Y$1)-COLUMN($A$1),FALSE))</f>
        <v>5.013929608043119</v>
      </c>
      <c r="Y242" s="70">
        <f>IF(VLOOKUP($A242,raw_lb[],COLUMN(Z$1)-COLUMN($A$1),FALSE)=0, VLOOKUP($D242, regions_lb[], COLUMN(Z$1)-COLUMN($A$1), FALSE), VLOOKUP($A242,raw_lb[],COLUMN(Z$1)-COLUMN($A$1),FALSE))</f>
        <v>5.0329296080431192</v>
      </c>
      <c r="Z242" s="70">
        <f>IF(VLOOKUP($A242,raw_lb[],COLUMN(AA$1)-COLUMN($A$1),FALSE)=0, VLOOKUP($D242, regions_lb[], COLUMN(AA$1)-COLUMN($A$1), FALSE), VLOOKUP($A242,raw_lb[],COLUMN(AA$1)-COLUMN($A$1),FALSE))</f>
        <v>5.0262417356194504</v>
      </c>
      <c r="AA242" s="70">
        <f>IF(VLOOKUP($A242,raw_lb[],COLUMN(AB$1)-COLUMN($A$1),FALSE)=0, VLOOKUP($D242, regions_lb[], COLUMN(AB$1)-COLUMN($A$1), FALSE), VLOOKUP($A242,raw_lb[],COLUMN(AB$1)-COLUMN($A$1),FALSE))</f>
        <v>5.6610240203797746</v>
      </c>
      <c r="AB242" s="70">
        <f>IF(VLOOKUP($A242,raw_lb[],COLUMN(AC$1)-COLUMN($A$1),FALSE)=0, VLOOKUP($D242, regions_lb[], COLUMN(AC$1)-COLUMN($A$1), FALSE), VLOOKUP($A242,raw_lb[],COLUMN(AC$1)-COLUMN($A$1),FALSE))</f>
        <v>5.6800240203797747</v>
      </c>
      <c r="AC242" s="72">
        <f>IF(VLOOKUP($A242,raw_lb[],COLUMN(AD$1)-COLUMN($A$1),FALSE)=0, VLOOKUP($D242, regions_lb[], COLUMN(AD$1)-COLUMN($A$1), FALSE), VLOOKUP($A242,raw_lb[],COLUMN(AD$1)-COLUMN($A$1),FALSE))</f>
        <v>1.1865899000000011E-2</v>
      </c>
      <c r="AD242" s="72">
        <f>IF(VLOOKUP($A242,raw_lb[],COLUMN(AE$1)-COLUMN($A$1),FALSE)=0, VLOOKUP($D242, regions_lb[], COLUMN(AE$1)-COLUMN($A$1), FALSE), VLOOKUP($A242,raw_lb[],COLUMN(AE$1)-COLUMN($A$1),FALSE))</f>
        <v>8.7697136568537341E-4</v>
      </c>
      <c r="AE242" s="72">
        <f>IF(VLOOKUP($A242,raw_lb[],COLUMN(AF$1)-COLUMN($A$1),FALSE)=0, VLOOKUP($D242, regions_lb[], COLUMN(AF$1)-COLUMN($A$1), FALSE), VLOOKUP($A242,raw_lb[],COLUMN(AF$1)-COLUMN($A$1),FALSE))</f>
        <v>3.205517832210011E-4</v>
      </c>
      <c r="AF242" s="72">
        <f>IF(VLOOKUP($A242,raw_lb[],COLUMN(AG$1)-COLUMN($A$1),FALSE)=0, VLOOKUP($D242, regions_lb[], COLUMN(AG$1)-COLUMN($A$1), FALSE), VLOOKUP($A242,raw_lb[],COLUMN(AG$1)-COLUMN($A$1),FALSE))</f>
        <v>2.9779527313745867E-4</v>
      </c>
      <c r="AG242" s="72">
        <f>IF(VLOOKUP($A242,raw_lb[],COLUMN(AH$1)-COLUMN($A$1),FALSE)=0, VLOOKUP($D242, regions_lb[], COLUMN(AH$1)-COLUMN($A$1), FALSE), VLOOKUP($A242,raw_lb[],COLUMN(AH$1)-COLUMN($A$1),FALSE))</f>
        <v>7.0356452927267284E-4</v>
      </c>
      <c r="AH242" s="72">
        <f>IF(VLOOKUP($A242,raw_lb[],COLUMN(AI$1)-COLUMN($A$1),FALSE)=0, VLOOKUP($D242, regions_lb[], COLUMN(AI$1)-COLUMN($A$1), FALSE), VLOOKUP($A242,raw_lb[],COLUMN(AI$1)-COLUMN($A$1),FALSE))</f>
        <v>9.5995232420524059E-4</v>
      </c>
      <c r="AI242" s="72">
        <f>IF(VLOOKUP($A242,raw_lb[],COLUMN(AJ$1)-COLUMN($A$1),FALSE)=0, VLOOKUP($D242, regions_lb[], COLUMN(AJ$1)-COLUMN($A$1), FALSE), VLOOKUP($A242,raw_lb[],COLUMN(AJ$1)-COLUMN($A$1),FALSE))</f>
        <v>1.0191377778745259E-3</v>
      </c>
      <c r="AJ242" s="72">
        <f>IF(VLOOKUP($A242,raw_lb[],COLUMN(AK$1)-COLUMN($A$1),FALSE)=0, VLOOKUP($D242, regions_lb[], COLUMN(AK$1)-COLUMN($A$1), FALSE), VLOOKUP($A242,raw_lb[],COLUMN(AK$1)-COLUMN($A$1),FALSE))</f>
        <v>1.2238535681393747E-3</v>
      </c>
      <c r="AK242" s="72">
        <f>IF(VLOOKUP($A242,raw_lb[],COLUMN(AL$1)-COLUMN($A$1),FALSE)=0, VLOOKUP($D242, regions_lb[], COLUMN(AL$1)-COLUMN($A$1), FALSE), VLOOKUP($A242,raw_lb[],COLUMN(AL$1)-COLUMN($A$1),FALSE))</f>
        <v>1.6835060642859045E-3</v>
      </c>
      <c r="AL242" s="72">
        <f>IF(VLOOKUP($A242,raw_lb[],COLUMN(AM$1)-COLUMN($A$1),FALSE)=0, VLOOKUP($D242, regions_lb[], COLUMN(AM$1)-COLUMN($A$1), FALSE), VLOOKUP($A242,raw_lb[],COLUMN(AM$1)-COLUMN($A$1),FALSE))</f>
        <v>2.4874055811780721E-3</v>
      </c>
      <c r="AM242" s="72">
        <f>IF(VLOOKUP($A242,raw_lb[],COLUMN(AN$1)-COLUMN($A$1),FALSE)=0, VLOOKUP($D242, regions_lb[], COLUMN(AN$1)-COLUMN($A$1), FALSE), VLOOKUP($A242,raw_lb[],COLUMN(AN$1)-COLUMN($A$1),FALSE))</f>
        <v>3.8912438117560577E-3</v>
      </c>
      <c r="AN242" s="72">
        <f>IF(VLOOKUP($A242,raw_lb[],COLUMN(AO$1)-COLUMN($A$1),FALSE)=0, VLOOKUP($D242, regions_lb[], COLUMN(AO$1)-COLUMN($A$1), FALSE), VLOOKUP($A242,raw_lb[],COLUMN(AO$1)-COLUMN($A$1),FALSE))</f>
        <v>6.1107474172022707E-3</v>
      </c>
      <c r="AO242" s="72">
        <f>IF(VLOOKUP($A242,raw_lb[],COLUMN(AP$1)-COLUMN($A$1),FALSE)=0, VLOOKUP($D242, regions_lb[], COLUMN(AP$1)-COLUMN($A$1), FALSE), VLOOKUP($A242,raw_lb[],COLUMN(AP$1)-COLUMN($A$1),FALSE))</f>
        <v>9.4760679974909504E-3</v>
      </c>
      <c r="AP242" s="72">
        <f>IF(VLOOKUP($A242,raw_lb[],COLUMN(AQ$1)-COLUMN($A$1),FALSE)=0, VLOOKUP($D242, regions_lb[], COLUMN(AQ$1)-COLUMN($A$1), FALSE), VLOOKUP($A242,raw_lb[],COLUMN(AQ$1)-COLUMN($A$1),FALSE))</f>
        <v>1.1957434715743405E-2</v>
      </c>
      <c r="AQ242" s="72">
        <f>IF(VLOOKUP($A242,raw_lb[],COLUMN(AR$1)-COLUMN($A$1),FALSE)=0, VLOOKUP($D242, regions_lb[], COLUMN(AR$1)-COLUMN($A$1), FALSE), VLOOKUP($A242,raw_lb[],COLUMN(AR$1)-COLUMN($A$1),FALSE))</f>
        <v>1.526770389096857E-2</v>
      </c>
      <c r="AR242" s="72">
        <f>IF(VLOOKUP($A242,raw_lb[],COLUMN(AS$1)-COLUMN($A$1),FALSE)=0, VLOOKUP($D242, regions_lb[], COLUMN(AS$1)-COLUMN($A$1), FALSE), VLOOKUP($A242,raw_lb[],COLUMN(AS$1)-COLUMN($A$1),FALSE))</f>
        <v>2.2324082300017731E-2</v>
      </c>
      <c r="AS242" s="82">
        <f>IF(VLOOKUP($A242,raw_lb[],COLUMN(AS$1),FALSE)=0, VLOOKUP($D242, regions_lb[], COLUMN(AS$1), FALSE), VLOOKUP($A242,raw_lb[],COLUMN(AS$1),FALSE))</f>
        <v>3.7326059722944595E-2</v>
      </c>
      <c r="AT242" s="82">
        <f>IF(VLOOKUP($A242,raw_lb[],COLUMN(AT$1),FALSE)=0, VLOOKUP($D242, regions_lb[], COLUMN(AT$1), FALSE), VLOOKUP($A242,raw_lb[],COLUMN(AT$1),FALSE))</f>
        <v>5.9120439077888783E-2</v>
      </c>
      <c r="AU242" s="82">
        <f>IF(VLOOKUP($A242,raw_lb[],COLUMN(AU$1),FALSE)=0, VLOOKUP($D242, regions_lb[], COLUMN(AU$1), FALSE), VLOOKUP($A242,raw_lb[],COLUMN(AU$1),FALSE))</f>
        <v>8.7446892268160908E-2</v>
      </c>
      <c r="AV242" s="82">
        <f>IF(VLOOKUP($A242,raw_lb[],COLUMN(AV$1),FALSE)=0, VLOOKUP($D242, regions_lb[], COLUMN(AV$1), FALSE), VLOOKUP($A242,raw_lb[],COLUMN(AV$1),FALSE))</f>
        <v>0.11592100297827845</v>
      </c>
      <c r="AW242" s="82">
        <f>IF(VLOOKUP($A242,raw_lb[],COLUMN(AW$1),FALSE)=0, VLOOKUP($D242, regions_lb[], COLUMN(AW$1), FALSE), VLOOKUP($A242,raw_lb[],COLUMN(AW$1),FALSE))</f>
        <v>0.13927344199585084</v>
      </c>
      <c r="AX242" s="82">
        <f>IF(VLOOKUP($A242,raw_lb[],COLUMN(AX$1),FALSE)=0, VLOOKUP($D242, regions_lb[], COLUMN(AX$1), FALSE), VLOOKUP($A242,raw_lb[],COLUMN(AX$1),FALSE))</f>
        <v>72.192400000000006</v>
      </c>
      <c r="AY242" t="str">
        <f t="shared" si="8"/>
        <v>No</v>
      </c>
    </row>
    <row r="243" spans="1:51" x14ac:dyDescent="0.25">
      <c r="A243" s="55" t="s">
        <v>430</v>
      </c>
      <c r="B243" s="56" t="s">
        <v>431</v>
      </c>
      <c r="C243" s="56">
        <v>670</v>
      </c>
      <c r="D243" s="56" t="s">
        <v>215</v>
      </c>
      <c r="E243" s="56" t="s">
        <v>232</v>
      </c>
      <c r="F243" s="56" t="s">
        <v>217</v>
      </c>
      <c r="G243" s="56" t="s">
        <v>204</v>
      </c>
      <c r="H243" s="74"/>
      <c r="I243" s="74"/>
      <c r="J243" s="67">
        <f>IF(VLOOKUP($A243,raw_lb[],COLUMN(J$1),FALSE)=0, VLOOKUP($D243, regions_lb[], COLUMN(J$1), FALSE), VLOOKUP($A243,raw_lb[],COLUMN(J$1),FALSE))</f>
        <v>0.91035320956407795</v>
      </c>
      <c r="K243" s="77">
        <f>VLOOKUP($A243, raw_lb[], 11, FALSE)</f>
        <v>0.91199999999999992</v>
      </c>
      <c r="L243" s="77">
        <f>VLOOKUP($A243, raw_lb[], 12, FALSE)</f>
        <v>0.92149999999999999</v>
      </c>
      <c r="M243" s="77">
        <f>IF(VLOOKUP($A243,raw_lb[],COLUMN(M$1),FALSE)=0, VLOOKUP($D243, regions_lb[], COLUMN(M$1), FALSE), VLOOKUP($A243,raw_lb[],COLUMN(M$1),FALSE))</f>
        <v>4.5999999999999999E-3</v>
      </c>
      <c r="N243" s="68">
        <f>IF(VLOOKUP($A243,raw_lb[],COLUMN(N$1),FALSE)=0, VLOOKUP($D243, regions_lb[], COLUMN(N$1), FALSE), VLOOKUP($A243,raw_lb[],COLUMN(N$1),FALSE))</f>
        <v>0.16309999999999999</v>
      </c>
      <c r="O243" s="67">
        <f>IF(VLOOKUP($A243,raw_lb[],COLUMN(O$1),FALSE)=0, VLOOKUP($D243, regions_lb[], COLUMN(O$1), FALSE), VLOOKUP($A243,raw_lb[],COLUMN(O$1),FALSE))</f>
        <v>0.7</v>
      </c>
      <c r="P243" s="68">
        <f>IF(VLOOKUP($A243,raw_lb[],COLUMN(P$1),FALSE)=0, VLOOKUP($D243, regions_lb[], COLUMN(P$1), FALSE), VLOOKUP($A243,raw_lb[],COLUMN(P$1),FALSE))</f>
        <v>0.05</v>
      </c>
      <c r="Q243" s="70">
        <f>IF(VLOOKUP($A243,raw_lb[],COLUMN(Q$1),FALSE)=0, VLOOKUP($D243, regions_lb[], COLUMN(Q$1), FALSE), VLOOKUP($A243,raw_lb[],COLUMN(Q$1),FALSE))</f>
        <v>2.4323066296614799</v>
      </c>
      <c r="R243" s="70">
        <f>IF(VLOOKUP($A243,raw_lb[],COLUMN(R$1),FALSE)=0, VLOOKUP($D243, regions_lb[], COLUMN(R$1), FALSE), VLOOKUP($A243,raw_lb[],COLUMN(R$1),FALSE))</f>
        <v>9.493206629661481</v>
      </c>
      <c r="S243" s="70">
        <f>IF(VLOOKUP($A243,raw_lb[],COLUMN(S$1),FALSE)=0, VLOOKUP($D243, regions_lb[], COLUMN(S$1), FALSE), VLOOKUP($A243,raw_lb[],COLUMN(S$1),FALSE))</f>
        <v>52.24173833039157</v>
      </c>
      <c r="T243" s="70">
        <f>IF(VLOOKUP($A243,raw_lb[],COLUMN(U$1)-COLUMN($A$1),FALSE)=0, VLOOKUP($D243, regions_lb[], COLUMN(U$1)-COLUMN($A$1), FALSE), VLOOKUP($A243,raw_lb[],COLUMN(U$1)-COLUMN($A$1),FALSE))</f>
        <v>59.282866242915063</v>
      </c>
      <c r="U243" s="70">
        <f>IF(VLOOKUP($A243,raw_lb[],COLUMN(V$1)-COLUMN($A$1),FALSE)=0, VLOOKUP($D243, regions_lb[], COLUMN(V$1)-COLUMN($A$1), FALSE), VLOOKUP($A243,raw_lb[],COLUMN(V$1)-COLUMN($A$1),FALSE))</f>
        <v>56.04972913596805</v>
      </c>
      <c r="V243" s="70">
        <f>IF(VLOOKUP($A243,raw_lb[],COLUMN(W$1)-COLUMN($A$1),FALSE)=0, VLOOKUP($D243, regions_lb[], COLUMN(W$1)-COLUMN($A$1), FALSE), VLOOKUP($A243,raw_lb[],COLUMN(W$1)-COLUMN($A$1),FALSE))</f>
        <v>6.0133766827504269</v>
      </c>
      <c r="W243" s="70">
        <f>IF(VLOOKUP($A243,raw_lb[],COLUMN(X$1)-COLUMN($A$1),FALSE)=0, VLOOKUP($D243, regions_lb[], COLUMN(X$1)-COLUMN($A$1), FALSE), VLOOKUP($A243,raw_lb[],COLUMN(X$1)-COLUMN($A$1),FALSE))</f>
        <v>6.032376682750427</v>
      </c>
      <c r="X243" s="70">
        <f>IF(VLOOKUP($A243,raw_lb[],COLUMN(Y$1)-COLUMN($A$1),FALSE)=0, VLOOKUP($D243, regions_lb[], COLUMN(Y$1)-COLUMN($A$1), FALSE), VLOOKUP($A243,raw_lb[],COLUMN(Y$1)-COLUMN($A$1),FALSE))</f>
        <v>5.5366137872388137</v>
      </c>
      <c r="Y243" s="70">
        <f>IF(VLOOKUP($A243,raw_lb[],COLUMN(Z$1)-COLUMN($A$1),FALSE)=0, VLOOKUP($D243, regions_lb[], COLUMN(Z$1)-COLUMN($A$1), FALSE), VLOOKUP($A243,raw_lb[],COLUMN(Z$1)-COLUMN($A$1),FALSE))</f>
        <v>5.5556137872388138</v>
      </c>
      <c r="Z243" s="70">
        <f>IF(VLOOKUP($A243,raw_lb[],COLUMN(AA$1)-COLUMN($A$1),FALSE)=0, VLOOKUP($D243, regions_lb[], COLUMN(AA$1)-COLUMN($A$1), FALSE), VLOOKUP($A243,raw_lb[],COLUMN(AA$1)-COLUMN($A$1),FALSE))</f>
        <v>5.5503164793099993</v>
      </c>
      <c r="AA243" s="70">
        <f>IF(VLOOKUP($A243,raw_lb[],COLUMN(AB$1)-COLUMN($A$1),FALSE)=0, VLOOKUP($D243, regions_lb[], COLUMN(AB$1)-COLUMN($A$1), FALSE), VLOOKUP($A243,raw_lb[],COLUMN(AB$1)-COLUMN($A$1),FALSE))</f>
        <v>6.1753517920751522</v>
      </c>
      <c r="AB243" s="70">
        <f>IF(VLOOKUP($A243,raw_lb[],COLUMN(AC$1)-COLUMN($A$1),FALSE)=0, VLOOKUP($D243, regions_lb[], COLUMN(AC$1)-COLUMN($A$1), FALSE), VLOOKUP($A243,raw_lb[],COLUMN(AC$1)-COLUMN($A$1),FALSE))</f>
        <v>6.1943517920751523</v>
      </c>
      <c r="AC243" s="72">
        <f>IF(VLOOKUP($A243,raw_lb[],COLUMN(AD$1)-COLUMN($A$1),FALSE)=0, VLOOKUP($D243, regions_lb[], COLUMN(AD$1)-COLUMN($A$1), FALSE), VLOOKUP($A243,raw_lb[],COLUMN(AD$1)-COLUMN($A$1),FALSE))</f>
        <v>1.3930353500000027E-2</v>
      </c>
      <c r="AD243" s="72">
        <f>IF(VLOOKUP($A243,raw_lb[],COLUMN(AE$1)-COLUMN($A$1),FALSE)=0, VLOOKUP($D243, regions_lb[], COLUMN(AE$1)-COLUMN($A$1), FALSE), VLOOKUP($A243,raw_lb[],COLUMN(AE$1)-COLUMN($A$1),FALSE))</f>
        <v>3.2320063724017295E-4</v>
      </c>
      <c r="AE243" s="72">
        <f>IF(VLOOKUP($A243,raw_lb[],COLUMN(AF$1)-COLUMN($A$1),FALSE)=0, VLOOKUP($D243, regions_lb[], COLUMN(AF$1)-COLUMN($A$1), FALSE), VLOOKUP($A243,raw_lb[],COLUMN(AF$1)-COLUMN($A$1),FALSE))</f>
        <v>4.0506096582264197E-4</v>
      </c>
      <c r="AF243" s="72">
        <f>IF(VLOOKUP($A243,raw_lb[],COLUMN(AG$1)-COLUMN($A$1),FALSE)=0, VLOOKUP($D243, regions_lb[], COLUMN(AG$1)-COLUMN($A$1), FALSE), VLOOKUP($A243,raw_lb[],COLUMN(AG$1)-COLUMN($A$1),FALSE))</f>
        <v>3.9091634587630947E-4</v>
      </c>
      <c r="AG243" s="72">
        <f>IF(VLOOKUP($A243,raw_lb[],COLUMN(AH$1)-COLUMN($A$1),FALSE)=0, VLOOKUP($D243, regions_lb[], COLUMN(AH$1)-COLUMN($A$1), FALSE), VLOOKUP($A243,raw_lb[],COLUMN(AH$1)-COLUMN($A$1),FALSE))</f>
        <v>9.4851317091557445E-4</v>
      </c>
      <c r="AH243" s="72">
        <f>IF(VLOOKUP($A243,raw_lb[],COLUMN(AI$1)-COLUMN($A$1),FALSE)=0, VLOOKUP($D243, regions_lb[], COLUMN(AI$1)-COLUMN($A$1), FALSE), VLOOKUP($A243,raw_lb[],COLUMN(AI$1)-COLUMN($A$1),FALSE))</f>
        <v>1.3345929823577742E-3</v>
      </c>
      <c r="AI243" s="72">
        <f>IF(VLOOKUP($A243,raw_lb[],COLUMN(AJ$1)-COLUMN($A$1),FALSE)=0, VLOOKUP($D243, regions_lb[], COLUMN(AJ$1)-COLUMN($A$1), FALSE), VLOOKUP($A243,raw_lb[],COLUMN(AJ$1)-COLUMN($A$1),FALSE))</f>
        <v>1.4543750711417827E-3</v>
      </c>
      <c r="AJ243" s="72">
        <f>IF(VLOOKUP($A243,raw_lb[],COLUMN(AK$1)-COLUMN($A$1),FALSE)=0, VLOOKUP($D243, regions_lb[], COLUMN(AK$1)-COLUMN($A$1), FALSE), VLOOKUP($A243,raw_lb[],COLUMN(AK$1)-COLUMN($A$1),FALSE))</f>
        <v>1.7333285494545744E-3</v>
      </c>
      <c r="AK243" s="72">
        <f>IF(VLOOKUP($A243,raw_lb[],COLUMN(AL$1)-COLUMN($A$1),FALSE)=0, VLOOKUP($D243, regions_lb[], COLUMN(AL$1)-COLUMN($A$1), FALSE), VLOOKUP($A243,raw_lb[],COLUMN(AL$1)-COLUMN($A$1),FALSE))</f>
        <v>2.3088212148425734E-3</v>
      </c>
      <c r="AL243" s="72">
        <f>IF(VLOOKUP($A243,raw_lb[],COLUMN(AM$1)-COLUMN($A$1),FALSE)=0, VLOOKUP($D243, regions_lb[], COLUMN(AM$1)-COLUMN($A$1), FALSE), VLOOKUP($A243,raw_lb[],COLUMN(AM$1)-COLUMN($A$1),FALSE))</f>
        <v>3.2980031864082754E-3</v>
      </c>
      <c r="AM243" s="72">
        <f>IF(VLOOKUP($A243,raw_lb[],COLUMN(AN$1)-COLUMN($A$1),FALSE)=0, VLOOKUP($D243, regions_lb[], COLUMN(AN$1)-COLUMN($A$1), FALSE), VLOOKUP($A243,raw_lb[],COLUMN(AN$1)-COLUMN($A$1),FALSE))</f>
        <v>4.9489718841505496E-3</v>
      </c>
      <c r="AN243" s="72">
        <f>IF(VLOOKUP($A243,raw_lb[],COLUMN(AO$1)-COLUMN($A$1),FALSE)=0, VLOOKUP($D243, regions_lb[], COLUMN(AO$1)-COLUMN($A$1), FALSE), VLOOKUP($A243,raw_lb[],COLUMN(AO$1)-COLUMN($A$1),FALSE))</f>
        <v>7.4576946251243906E-3</v>
      </c>
      <c r="AO243" s="72">
        <f>IF(VLOOKUP($A243,raw_lb[],COLUMN(AP$1)-COLUMN($A$1),FALSE)=0, VLOOKUP($D243, regions_lb[], COLUMN(AP$1)-COLUMN($A$1), FALSE), VLOOKUP($A243,raw_lb[],COLUMN(AP$1)-COLUMN($A$1),FALSE))</f>
        <v>1.1215775860423953E-2</v>
      </c>
      <c r="AP243" s="72">
        <f>IF(VLOOKUP($A243,raw_lb[],COLUMN(AQ$1)-COLUMN($A$1),FALSE)=0, VLOOKUP($D243, regions_lb[], COLUMN(AQ$1)-COLUMN($A$1), FALSE), VLOOKUP($A243,raw_lb[],COLUMN(AQ$1)-COLUMN($A$1),FALSE))</f>
        <v>1.5765369551710609E-2</v>
      </c>
      <c r="AQ243" s="72">
        <f>IF(VLOOKUP($A243,raw_lb[],COLUMN(AR$1)-COLUMN($A$1),FALSE)=0, VLOOKUP($D243, regions_lb[], COLUMN(AR$1)-COLUMN($A$1), FALSE), VLOOKUP($A243,raw_lb[],COLUMN(AR$1)-COLUMN($A$1),FALSE))</f>
        <v>2.2041164280965329E-2</v>
      </c>
      <c r="AR243" s="72">
        <f>IF(VLOOKUP($A243,raw_lb[],COLUMN(AS$1)-COLUMN($A$1),FALSE)=0, VLOOKUP($D243, regions_lb[], COLUMN(AS$1)-COLUMN($A$1), FALSE), VLOOKUP($A243,raw_lb[],COLUMN(AS$1)-COLUMN($A$1),FALSE))</f>
        <v>3.2658324718337156E-2</v>
      </c>
      <c r="AS243" s="82">
        <f>IF(VLOOKUP($A243,raw_lb[],COLUMN(AS$1),FALSE)=0, VLOOKUP($D243, regions_lb[], COLUMN(AS$1), FALSE), VLOOKUP($A243,raw_lb[],COLUMN(AS$1),FALSE))</f>
        <v>5.054817324316533E-2</v>
      </c>
      <c r="AT243" s="82">
        <f>IF(VLOOKUP($A243,raw_lb[],COLUMN(AT$1),FALSE)=0, VLOOKUP($D243, regions_lb[], COLUMN(AT$1), FALSE), VLOOKUP($A243,raw_lb[],COLUMN(AT$1),FALSE))</f>
        <v>7.5586077259191059E-2</v>
      </c>
      <c r="AU243" s="82">
        <f>IF(VLOOKUP($A243,raw_lb[],COLUMN(AU$1),FALSE)=0, VLOOKUP($D243, regions_lb[], COLUMN(AU$1), FALSE), VLOOKUP($A243,raw_lb[],COLUMN(AU$1),FALSE))</f>
        <v>0.10646883986222942</v>
      </c>
      <c r="AV243" s="82">
        <f>IF(VLOOKUP($A243,raw_lb[],COLUMN(AV$1),FALSE)=0, VLOOKUP($D243, regions_lb[], COLUMN(AV$1), FALSE), VLOOKUP($A243,raw_lb[],COLUMN(AV$1),FALSE))</f>
        <v>0.13651212381069666</v>
      </c>
      <c r="AW243" s="82">
        <f>IF(VLOOKUP($A243,raw_lb[],COLUMN(AW$1),FALSE)=0, VLOOKUP($D243, regions_lb[], COLUMN(AW$1), FALSE), VLOOKUP($A243,raw_lb[],COLUMN(AW$1),FALSE))</f>
        <v>0.1603030613491834</v>
      </c>
      <c r="AX243" s="82">
        <f>IF(VLOOKUP($A243,raw_lb[],COLUMN(AX$1),FALSE)=0, VLOOKUP($D243, regions_lb[], COLUMN(AX$1), FALSE), VLOOKUP($A243,raw_lb[],COLUMN(AX$1),FALSE))</f>
        <v>68.74199999999999</v>
      </c>
      <c r="AY243" t="str">
        <f t="shared" si="8"/>
        <v>No</v>
      </c>
    </row>
    <row r="244" spans="1:51" x14ac:dyDescent="0.25">
      <c r="A244" s="53" t="s">
        <v>432</v>
      </c>
      <c r="B244" s="54" t="s">
        <v>433</v>
      </c>
      <c r="C244" s="54">
        <v>882</v>
      </c>
      <c r="D244" s="54" t="s">
        <v>260</v>
      </c>
      <c r="E244" s="54" t="s">
        <v>309</v>
      </c>
      <c r="F244" s="54" t="s">
        <v>262</v>
      </c>
      <c r="G244" s="54" t="s">
        <v>204</v>
      </c>
      <c r="H244" s="73"/>
      <c r="I244" s="73"/>
      <c r="J244" s="67">
        <f>IF(VLOOKUP($A244,raw_lb[],COLUMN(J$1),FALSE)=0, VLOOKUP($D244, regions_lb[], COLUMN(J$1), FALSE), VLOOKUP($A244,raw_lb[],COLUMN(J$1),FALSE))</f>
        <v>0.77805000000000002</v>
      </c>
      <c r="K244" s="77">
        <f>VLOOKUP($A244, raw_lb[], 11, FALSE)</f>
        <v>0.75049999999999994</v>
      </c>
      <c r="L244" s="77">
        <f>VLOOKUP($A244, raw_lb[], 12, FALSE)</f>
        <v>0.68399999999999994</v>
      </c>
      <c r="M244" s="77">
        <f>IF(VLOOKUP($A244,raw_lb[],COLUMN(M$1),FALSE)=0, VLOOKUP($D244, regions_lb[], COLUMN(M$1), FALSE), VLOOKUP($A244,raw_lb[],COLUMN(M$1),FALSE))</f>
        <v>1.8600000000000002E-2</v>
      </c>
      <c r="N244" s="68">
        <f>IF(VLOOKUP($A244,raw_lb[],COLUMN(N$1),FALSE)=0, VLOOKUP($D244, regions_lb[], COLUMN(N$1), FALSE), VLOOKUP($A244,raw_lb[],COLUMN(N$1),FALSE))</f>
        <v>0.1832</v>
      </c>
      <c r="O244" s="67">
        <f>IF(VLOOKUP($A244,raw_lb[],COLUMN(O$1),FALSE)=0, VLOOKUP($D244, regions_lb[], COLUMN(O$1), FALSE), VLOOKUP($A244,raw_lb[],COLUMN(O$1),FALSE))</f>
        <v>0.7</v>
      </c>
      <c r="P244" s="68">
        <f>IF(VLOOKUP($A244,raw_lb[],COLUMN(P$1),FALSE)=0, VLOOKUP($D244, regions_lb[], COLUMN(P$1), FALSE), VLOOKUP($A244,raw_lb[],COLUMN(P$1),FALSE))</f>
        <v>0.05</v>
      </c>
      <c r="Q244" s="70">
        <f>IF(VLOOKUP($A244,raw_lb[],COLUMN(Q$1),FALSE)=0, VLOOKUP($D244, regions_lb[], COLUMN(Q$1), FALSE), VLOOKUP($A244,raw_lb[],COLUMN(Q$1),FALSE))</f>
        <v>1.371261731207289</v>
      </c>
      <c r="R244" s="70">
        <f>IF(VLOOKUP($A244,raw_lb[],COLUMN(R$1),FALSE)=0, VLOOKUP($D244, regions_lb[], COLUMN(R$1), FALSE), VLOOKUP($A244,raw_lb[],COLUMN(R$1),FALSE))</f>
        <v>8.4321617312072892</v>
      </c>
      <c r="S244" s="70">
        <f>IF(VLOOKUP($A244,raw_lb[],COLUMN(S$1),FALSE)=0, VLOOKUP($D244, regions_lb[], COLUMN(S$1), FALSE), VLOOKUP($A244,raw_lb[],COLUMN(S$1),FALSE))</f>
        <v>42.356480051343731</v>
      </c>
      <c r="T244" s="70">
        <f>IF(VLOOKUP($A244,raw_lb[],COLUMN(U$1)-COLUMN($A$1),FALSE)=0, VLOOKUP($D244, regions_lb[], COLUMN(U$1)-COLUMN($A$1), FALSE), VLOOKUP($A244,raw_lb[],COLUMN(U$1)-COLUMN($A$1),FALSE))</f>
        <v>44.804913315651397</v>
      </c>
      <c r="U244" s="70">
        <f>IF(VLOOKUP($A244,raw_lb[],COLUMN(V$1)-COLUMN($A$1),FALSE)=0, VLOOKUP($D244, regions_lb[], COLUMN(V$1)-COLUMN($A$1), FALSE), VLOOKUP($A244,raw_lb[],COLUMN(V$1)-COLUMN($A$1),FALSE))</f>
        <v>43.680644513967401</v>
      </c>
      <c r="V244" s="70">
        <f>IF(VLOOKUP($A244,raw_lb[],COLUMN(W$1)-COLUMN($A$1),FALSE)=0, VLOOKUP($D244, regions_lb[], COLUMN(W$1)-COLUMN($A$1), FALSE), VLOOKUP($A244,raw_lb[],COLUMN(W$1)-COLUMN($A$1),FALSE))</f>
        <v>0.68675386362544877</v>
      </c>
      <c r="W244" s="70">
        <f>IF(VLOOKUP($A244,raw_lb[],COLUMN(X$1)-COLUMN($A$1),FALSE)=0, VLOOKUP($D244, regions_lb[], COLUMN(X$1)-COLUMN($A$1), FALSE), VLOOKUP($A244,raw_lb[],COLUMN(X$1)-COLUMN($A$1),FALSE))</f>
        <v>1.2852538636254487</v>
      </c>
      <c r="X244" s="70">
        <f>IF(VLOOKUP($A244,raw_lb[],COLUMN(Y$1)-COLUMN($A$1),FALSE)=0, VLOOKUP($D244, regions_lb[], COLUMN(Y$1)-COLUMN($A$1), FALSE), VLOOKUP($A244,raw_lb[],COLUMN(Y$1)-COLUMN($A$1),FALSE))</f>
        <v>0.20934071716529665</v>
      </c>
      <c r="Y244" s="70">
        <f>IF(VLOOKUP($A244,raw_lb[],COLUMN(Z$1)-COLUMN($A$1),FALSE)=0, VLOOKUP($D244, regions_lb[], COLUMN(Z$1)-COLUMN($A$1), FALSE), VLOOKUP($A244,raw_lb[],COLUMN(Z$1)-COLUMN($A$1),FALSE))</f>
        <v>0.8078407171652966</v>
      </c>
      <c r="Z244" s="70">
        <f>IF(VLOOKUP($A244,raw_lb[],COLUMN(AA$1)-COLUMN($A$1),FALSE)=0, VLOOKUP($D244, regions_lb[], COLUMN(AA$1)-COLUMN($A$1), FALSE), VLOOKUP($A244,raw_lb[],COLUMN(AA$1)-COLUMN($A$1),FALSE))</f>
        <v>0.80184704344210656</v>
      </c>
      <c r="AA244" s="70">
        <f>IF(VLOOKUP($A244,raw_lb[],COLUMN(AB$1)-COLUMN($A$1),FALSE)=0, VLOOKUP($D244, regions_lb[], COLUMN(AB$1)-COLUMN($A$1), FALSE), VLOOKUP($A244,raw_lb[],COLUMN(AB$1)-COLUMN($A$1),FALSE))</f>
        <v>0.85073546159137847</v>
      </c>
      <c r="AB244" s="70">
        <f>IF(VLOOKUP($A244,raw_lb[],COLUMN(AC$1)-COLUMN($A$1),FALSE)=0, VLOOKUP($D244, regions_lb[], COLUMN(AC$1)-COLUMN($A$1), FALSE), VLOOKUP($A244,raw_lb[],COLUMN(AC$1)-COLUMN($A$1),FALSE))</f>
        <v>1.4492354615913783</v>
      </c>
      <c r="AC244" s="72">
        <f>IF(VLOOKUP($A244,raw_lb[],COLUMN(AD$1)-COLUMN($A$1),FALSE)=0, VLOOKUP($D244, regions_lb[], COLUMN(AD$1)-COLUMN($A$1), FALSE), VLOOKUP($A244,raw_lb[],COLUMN(AD$1)-COLUMN($A$1),FALSE))</f>
        <v>1.2779323999999957E-2</v>
      </c>
      <c r="AD244" s="72">
        <f>IF(VLOOKUP($A244,raw_lb[],COLUMN(AE$1)-COLUMN($A$1),FALSE)=0, VLOOKUP($D244, regions_lb[], COLUMN(AE$1)-COLUMN($A$1), FALSE), VLOOKUP($A244,raw_lb[],COLUMN(AE$1)-COLUMN($A$1),FALSE))</f>
        <v>6.5789951159805524E-4</v>
      </c>
      <c r="AE244" s="72">
        <f>IF(VLOOKUP($A244,raw_lb[],COLUMN(AF$1)-COLUMN($A$1),FALSE)=0, VLOOKUP($D244, regions_lb[], COLUMN(AF$1)-COLUMN($A$1), FALSE), VLOOKUP($A244,raw_lb[],COLUMN(AF$1)-COLUMN($A$1),FALSE))</f>
        <v>2.5908584217501868E-4</v>
      </c>
      <c r="AF244" s="72">
        <f>IF(VLOOKUP($A244,raw_lb[],COLUMN(AG$1)-COLUMN($A$1),FALSE)=0, VLOOKUP($D244, regions_lb[], COLUMN(AG$1)-COLUMN($A$1), FALSE), VLOOKUP($A244,raw_lb[],COLUMN(AG$1)-COLUMN($A$1),FALSE))</f>
        <v>2.3623869015525274E-4</v>
      </c>
      <c r="AG244" s="72">
        <f>IF(VLOOKUP($A244,raw_lb[],COLUMN(AH$1)-COLUMN($A$1),FALSE)=0, VLOOKUP($D244, regions_lb[], COLUMN(AH$1)-COLUMN($A$1), FALSE), VLOOKUP($A244,raw_lb[],COLUMN(AH$1)-COLUMN($A$1),FALSE))</f>
        <v>5.475066841383675E-4</v>
      </c>
      <c r="AH244" s="72">
        <f>IF(VLOOKUP($A244,raw_lb[],COLUMN(AI$1)-COLUMN($A$1),FALSE)=0, VLOOKUP($D244, regions_lb[], COLUMN(AI$1)-COLUMN($A$1), FALSE), VLOOKUP($A244,raw_lb[],COLUMN(AI$1)-COLUMN($A$1),FALSE))</f>
        <v>7.1139272528874435E-4</v>
      </c>
      <c r="AI244" s="72">
        <f>IF(VLOOKUP($A244,raw_lb[],COLUMN(AJ$1)-COLUMN($A$1),FALSE)=0, VLOOKUP($D244, regions_lb[], COLUMN(AJ$1)-COLUMN($A$1), FALSE), VLOOKUP($A244,raw_lb[],COLUMN(AJ$1)-COLUMN($A$1),FALSE))</f>
        <v>7.2809467221792118E-4</v>
      </c>
      <c r="AJ244" s="72">
        <f>IF(VLOOKUP($A244,raw_lb[],COLUMN(AK$1)-COLUMN($A$1),FALSE)=0, VLOOKUP($D244, regions_lb[], COLUMN(AK$1)-COLUMN($A$1), FALSE), VLOOKUP($A244,raw_lb[],COLUMN(AK$1)-COLUMN($A$1),FALSE))</f>
        <v>8.7221771936664763E-4</v>
      </c>
      <c r="AK244" s="72">
        <f>IF(VLOOKUP($A244,raw_lb[],COLUMN(AL$1)-COLUMN($A$1),FALSE)=0, VLOOKUP($D244, regions_lb[], COLUMN(AL$1)-COLUMN($A$1), FALSE), VLOOKUP($A244,raw_lb[],COLUMN(AL$1)-COLUMN($A$1),FALSE))</f>
        <v>1.2214103716925583E-3</v>
      </c>
      <c r="AL244" s="72">
        <f>IF(VLOOKUP($A244,raw_lb[],COLUMN(AM$1)-COLUMN($A$1),FALSE)=0, VLOOKUP($D244, regions_lb[], COLUMN(AM$1)-COLUMN($A$1), FALSE), VLOOKUP($A244,raw_lb[],COLUMN(AM$1)-COLUMN($A$1),FALSE))</f>
        <v>1.8824619180777301E-3</v>
      </c>
      <c r="AM244" s="72">
        <f>IF(VLOOKUP($A244,raw_lb[],COLUMN(AN$1)-COLUMN($A$1),FALSE)=0, VLOOKUP($D244, regions_lb[], COLUMN(AN$1)-COLUMN($A$1), FALSE), VLOOKUP($A244,raw_lb[],COLUMN(AN$1)-COLUMN($A$1),FALSE))</f>
        <v>3.1017203404165735E-3</v>
      </c>
      <c r="AN244" s="72">
        <f>IF(VLOOKUP($A244,raw_lb[],COLUMN(AO$1)-COLUMN($A$1),FALSE)=0, VLOOKUP($D244, regions_lb[], COLUMN(AO$1)-COLUMN($A$1), FALSE), VLOOKUP($A244,raw_lb[],COLUMN(AO$1)-COLUMN($A$1),FALSE))</f>
        <v>5.0530080478240888E-3</v>
      </c>
      <c r="AO244" s="72">
        <f>IF(VLOOKUP($A244,raw_lb[],COLUMN(AP$1)-COLUMN($A$1),FALSE)=0, VLOOKUP($D244, regions_lb[], COLUMN(AP$1)-COLUMN($A$1), FALSE), VLOOKUP($A244,raw_lb[],COLUMN(AP$1)-COLUMN($A$1),FALSE))</f>
        <v>8.1733635450045063E-3</v>
      </c>
      <c r="AP244" s="72">
        <f>IF(VLOOKUP($A244,raw_lb[],COLUMN(AQ$1)-COLUMN($A$1),FALSE)=0, VLOOKUP($D244, regions_lb[], COLUMN(AQ$1)-COLUMN($A$1), FALSE), VLOOKUP($A244,raw_lb[],COLUMN(AQ$1)-COLUMN($A$1),FALSE))</f>
        <v>1.4454348073574555E-2</v>
      </c>
      <c r="AQ244" s="72">
        <f>IF(VLOOKUP($A244,raw_lb[],COLUMN(AR$1)-COLUMN($A$1),FALSE)=0, VLOOKUP($D244, regions_lb[], COLUMN(AR$1)-COLUMN($A$1), FALSE), VLOOKUP($A244,raw_lb[],COLUMN(AR$1)-COLUMN($A$1),FALSE))</f>
        <v>2.5142267939398732E-2</v>
      </c>
      <c r="AR244" s="72">
        <f>IF(VLOOKUP($A244,raw_lb[],COLUMN(AS$1)-COLUMN($A$1),FALSE)=0, VLOOKUP($D244, regions_lb[], COLUMN(AS$1)-COLUMN($A$1), FALSE), VLOOKUP($A244,raw_lb[],COLUMN(AS$1)-COLUMN($A$1),FALSE))</f>
        <v>4.1119770986842885E-2</v>
      </c>
      <c r="AS244" s="82">
        <f>IF(VLOOKUP($A244,raw_lb[],COLUMN(AS$1),FALSE)=0, VLOOKUP($D244, regions_lb[], COLUMN(AS$1), FALSE), VLOOKUP($A244,raw_lb[],COLUMN(AS$1),FALSE))</f>
        <v>6.4138636574876701E-2</v>
      </c>
      <c r="AT244" s="82">
        <f>IF(VLOOKUP($A244,raw_lb[],COLUMN(AT$1),FALSE)=0, VLOOKUP($D244, regions_lb[], COLUMN(AT$1), FALSE), VLOOKUP($A244,raw_lb[],COLUMN(AT$1),FALSE))</f>
        <v>9.468814126898327E-2</v>
      </c>
      <c r="AU244" s="82">
        <f>IF(VLOOKUP($A244,raw_lb[],COLUMN(AU$1),FALSE)=0, VLOOKUP($D244, regions_lb[], COLUMN(AU$1), FALSE), VLOOKUP($A244,raw_lb[],COLUMN(AU$1),FALSE))</f>
        <v>0.12910209731173222</v>
      </c>
      <c r="AV244" s="82">
        <f>IF(VLOOKUP($A244,raw_lb[],COLUMN(AV$1),FALSE)=0, VLOOKUP($D244, regions_lb[], COLUMN(AV$1), FALSE), VLOOKUP($A244,raw_lb[],COLUMN(AV$1),FALSE))</f>
        <v>0.15775080143590883</v>
      </c>
      <c r="AW244" s="82">
        <f>IF(VLOOKUP($A244,raw_lb[],COLUMN(AW$1),FALSE)=0, VLOOKUP($D244, regions_lb[], COLUMN(AW$1), FALSE), VLOOKUP($A244,raw_lb[],COLUMN(AW$1),FALSE))</f>
        <v>0.1748887648043303</v>
      </c>
      <c r="AX244" s="82">
        <f>IF(VLOOKUP($A244,raw_lb[],COLUMN(AX$1),FALSE)=0, VLOOKUP($D244, regions_lb[], COLUMN(AX$1), FALSE), VLOOKUP($A244,raw_lb[],COLUMN(AX$1),FALSE))</f>
        <v>69.455449999999999</v>
      </c>
      <c r="AY244" t="str">
        <f t="shared" si="8"/>
        <v>No</v>
      </c>
    </row>
    <row r="245" spans="1:51" x14ac:dyDescent="0.25">
      <c r="A245" s="55" t="s">
        <v>434</v>
      </c>
      <c r="B245" s="56" t="s">
        <v>435</v>
      </c>
      <c r="C245" s="56">
        <v>678</v>
      </c>
      <c r="D245" s="56" t="s">
        <v>207</v>
      </c>
      <c r="E245" s="56" t="s">
        <v>235</v>
      </c>
      <c r="F245" s="56" t="s">
        <v>211</v>
      </c>
      <c r="G245" s="56" t="s">
        <v>212</v>
      </c>
      <c r="H245" s="74"/>
      <c r="I245" s="74"/>
      <c r="J245" s="67">
        <f>IF(VLOOKUP($A245,raw_lb[],COLUMN(J$1),FALSE)=0, VLOOKUP($D245, regions_lb[], COLUMN(J$1), FALSE), VLOOKUP($A245,raw_lb[],COLUMN(J$1),FALSE))</f>
        <v>0.86449999999999994</v>
      </c>
      <c r="K245" s="77">
        <f>VLOOKUP($A245, raw_lb[], 11, FALSE)</f>
        <v>0.90249999999999997</v>
      </c>
      <c r="L245" s="77">
        <f>VLOOKUP($A245, raw_lb[], 12, FALSE)</f>
        <v>0.90249999999999997</v>
      </c>
      <c r="M245" s="77">
        <f>IF(VLOOKUP($A245,raw_lb[],COLUMN(M$1),FALSE)=0, VLOOKUP($D245, regions_lb[], COLUMN(M$1), FALSE), VLOOKUP($A245,raw_lb[],COLUMN(M$1),FALSE))</f>
        <v>1.3100000000000001E-2</v>
      </c>
      <c r="N245" s="68">
        <f>IF(VLOOKUP($A245,raw_lb[],COLUMN(N$1),FALSE)=0, VLOOKUP($D245, regions_lb[], COLUMN(N$1), FALSE), VLOOKUP($A245,raw_lb[],COLUMN(N$1),FALSE))</f>
        <v>0.1535499710690435</v>
      </c>
      <c r="O245" s="67">
        <f>IF(VLOOKUP($A245,raw_lb[],COLUMN(O$1),FALSE)=0, VLOOKUP($D245, regions_lb[], COLUMN(O$1), FALSE), VLOOKUP($A245,raw_lb[],COLUMN(O$1),FALSE))</f>
        <v>7.0000000000000007E-2</v>
      </c>
      <c r="P245" s="68">
        <f>IF(VLOOKUP($A245,raw_lb[],COLUMN(P$1),FALSE)=0, VLOOKUP($D245, regions_lb[], COLUMN(P$1), FALSE), VLOOKUP($A245,raw_lb[],COLUMN(P$1),FALSE))</f>
        <v>1E-3</v>
      </c>
      <c r="Q245" s="70">
        <f>IF(VLOOKUP($A245,raw_lb[],COLUMN(Q$1),FALSE)=0, VLOOKUP($D245, regions_lb[], COLUMN(Q$1), FALSE), VLOOKUP($A245,raw_lb[],COLUMN(Q$1),FALSE))</f>
        <v>0.749343542435424</v>
      </c>
      <c r="R245" s="70">
        <f>IF(VLOOKUP($A245,raw_lb[],COLUMN(R$1),FALSE)=0, VLOOKUP($D245, regions_lb[], COLUMN(R$1), FALSE), VLOOKUP($A245,raw_lb[],COLUMN(R$1),FALSE))</f>
        <v>7.8102435424354244</v>
      </c>
      <c r="S245" s="70">
        <f>IF(VLOOKUP($A245,raw_lb[],COLUMN(S$1),FALSE)=0, VLOOKUP($D245, regions_lb[], COLUMN(S$1), FALSE), VLOOKUP($A245,raw_lb[],COLUMN(S$1),FALSE))</f>
        <v>38.034328253664214</v>
      </c>
      <c r="T245" s="70">
        <f>IF(VLOOKUP($A245,raw_lb[],COLUMN(U$1)-COLUMN($A$1),FALSE)=0, VLOOKUP($D245, regions_lb[], COLUMN(U$1)-COLUMN($A$1), FALSE), VLOOKUP($A245,raw_lb[],COLUMN(U$1)-COLUMN($A$1),FALSE))</f>
        <v>38.556919251945985</v>
      </c>
      <c r="U245" s="70">
        <f>IF(VLOOKUP($A245,raw_lb[],COLUMN(V$1)-COLUMN($A$1),FALSE)=0, VLOOKUP($D245, regions_lb[], COLUMN(V$1)-COLUMN($A$1), FALSE), VLOOKUP($A245,raw_lb[],COLUMN(V$1)-COLUMN($A$1),FALSE))</f>
        <v>38.31695651170147</v>
      </c>
      <c r="V245" s="70">
        <f>IF(VLOOKUP($A245,raw_lb[],COLUMN(W$1)-COLUMN($A$1),FALSE)=0, VLOOKUP($D245, regions_lb[], COLUMN(W$1)-COLUMN($A$1), FALSE), VLOOKUP($A245,raw_lb[],COLUMN(W$1)-COLUMN($A$1),FALSE))</f>
        <v>3.7469028397061179</v>
      </c>
      <c r="W245" s="70">
        <f>IF(VLOOKUP($A245,raw_lb[],COLUMN(X$1)-COLUMN($A$1),FALSE)=0, VLOOKUP($D245, regions_lb[], COLUMN(X$1)-COLUMN($A$1), FALSE), VLOOKUP($A245,raw_lb[],COLUMN(X$1)-COLUMN($A$1),FALSE))</f>
        <v>8.3354028397061182</v>
      </c>
      <c r="X245" s="70">
        <f>IF(VLOOKUP($A245,raw_lb[],COLUMN(Y$1)-COLUMN($A$1),FALSE)=0, VLOOKUP($D245, regions_lb[], COLUMN(Y$1)-COLUMN($A$1), FALSE), VLOOKUP($A245,raw_lb[],COLUMN(Y$1)-COLUMN($A$1),FALSE))</f>
        <v>3.2740351736833371</v>
      </c>
      <c r="Y245" s="70">
        <f>IF(VLOOKUP($A245,raw_lb[],COLUMN(Z$1)-COLUMN($A$1),FALSE)=0, VLOOKUP($D245, regions_lb[], COLUMN(Z$1)-COLUMN($A$1), FALSE), VLOOKUP($A245,raw_lb[],COLUMN(Z$1)-COLUMN($A$1),FALSE))</f>
        <v>7.8625351736833373</v>
      </c>
      <c r="Z245" s="70">
        <f>IF(VLOOKUP($A245,raw_lb[],COLUMN(AA$1)-COLUMN($A$1),FALSE)=0, VLOOKUP($D245, regions_lb[], COLUMN(AA$1)-COLUMN($A$1), FALSE), VLOOKUP($A245,raw_lb[],COLUMN(AA$1)-COLUMN($A$1),FALSE))</f>
        <v>7.8594980008253632</v>
      </c>
      <c r="AA245" s="70">
        <f>IF(VLOOKUP($A245,raw_lb[],COLUMN(AB$1)-COLUMN($A$1),FALSE)=0, VLOOKUP($D245, regions_lb[], COLUMN(AB$1)-COLUMN($A$1), FALSE), VLOOKUP($A245,raw_lb[],COLUMN(AB$1)-COLUMN($A$1),FALSE))</f>
        <v>3.8968583837510153</v>
      </c>
      <c r="AB245" s="70">
        <f>IF(VLOOKUP($A245,raw_lb[],COLUMN(AC$1)-COLUMN($A$1),FALSE)=0, VLOOKUP($D245, regions_lb[], COLUMN(AC$1)-COLUMN($A$1), FALSE), VLOOKUP($A245,raw_lb[],COLUMN(AC$1)-COLUMN($A$1),FALSE))</f>
        <v>8.4853583837510147</v>
      </c>
      <c r="AC245" s="72">
        <f>IF(VLOOKUP($A245,raw_lb[],COLUMN(AD$1)-COLUMN($A$1),FALSE)=0, VLOOKUP($D245, regions_lb[], COLUMN(AD$1)-COLUMN($A$1), FALSE), VLOOKUP($A245,raw_lb[],COLUMN(AD$1)-COLUMN($A$1),FALSE))</f>
        <v>2.5110352500000065E-2</v>
      </c>
      <c r="AD245" s="72">
        <f>IF(VLOOKUP($A245,raw_lb[],COLUMN(AE$1)-COLUMN($A$1),FALSE)=0, VLOOKUP($D245, regions_lb[], COLUMN(AE$1)-COLUMN($A$1), FALSE), VLOOKUP($A245,raw_lb[],COLUMN(AE$1)-COLUMN($A$1),FALSE))</f>
        <v>1.4439234627717785E-3</v>
      </c>
      <c r="AE245" s="72">
        <f>IF(VLOOKUP($A245,raw_lb[],COLUMN(AF$1)-COLUMN($A$1),FALSE)=0, VLOOKUP($D245, regions_lb[], COLUMN(AF$1)-COLUMN($A$1), FALSE), VLOOKUP($A245,raw_lb[],COLUMN(AF$1)-COLUMN($A$1),FALSE))</f>
        <v>5.6234477650044662E-4</v>
      </c>
      <c r="AF245" s="72">
        <f>IF(VLOOKUP($A245,raw_lb[],COLUMN(AG$1)-COLUMN($A$1),FALSE)=0, VLOOKUP($D245, regions_lb[], COLUMN(AG$1)-COLUMN($A$1), FALSE), VLOOKUP($A245,raw_lb[],COLUMN(AG$1)-COLUMN($A$1),FALSE))</f>
        <v>4.692351647093728E-4</v>
      </c>
      <c r="AG245" s="72">
        <f>IF(VLOOKUP($A245,raw_lb[],COLUMN(AH$1)-COLUMN($A$1),FALSE)=0, VLOOKUP($D245, regions_lb[], COLUMN(AH$1)-COLUMN($A$1), FALSE), VLOOKUP($A245,raw_lb[],COLUMN(AH$1)-COLUMN($A$1),FALSE))</f>
        <v>9.2174051266413553E-4</v>
      </c>
      <c r="AH245" s="72">
        <f>IF(VLOOKUP($A245,raw_lb[],COLUMN(AI$1)-COLUMN($A$1),FALSE)=0, VLOOKUP($D245, regions_lb[], COLUMN(AI$1)-COLUMN($A$1), FALSE), VLOOKUP($A245,raw_lb[],COLUMN(AI$1)-COLUMN($A$1),FALSE))</f>
        <v>1.208865137908143E-3</v>
      </c>
      <c r="AI245" s="72">
        <f>IF(VLOOKUP($A245,raw_lb[],COLUMN(AJ$1)-COLUMN($A$1),FALSE)=0, VLOOKUP($D245, regions_lb[], COLUMN(AJ$1)-COLUMN($A$1), FALSE), VLOOKUP($A245,raw_lb[],COLUMN(AJ$1)-COLUMN($A$1),FALSE))</f>
        <v>1.2815416274737869E-3</v>
      </c>
      <c r="AJ245" s="72">
        <f>IF(VLOOKUP($A245,raw_lb[],COLUMN(AK$1)-COLUMN($A$1),FALSE)=0, VLOOKUP($D245, regions_lb[], COLUMN(AK$1)-COLUMN($A$1), FALSE), VLOOKUP($A245,raw_lb[],COLUMN(AK$1)-COLUMN($A$1),FALSE))</f>
        <v>1.5265951754681749E-3</v>
      </c>
      <c r="AK245" s="72">
        <f>IF(VLOOKUP($A245,raw_lb[],COLUMN(AL$1)-COLUMN($A$1),FALSE)=0, VLOOKUP($D245, regions_lb[], COLUMN(AL$1)-COLUMN($A$1), FALSE), VLOOKUP($A245,raw_lb[],COLUMN(AL$1)-COLUMN($A$1),FALSE))</f>
        <v>2.0542010606417545E-3</v>
      </c>
      <c r="AL245" s="72">
        <f>IF(VLOOKUP($A245,raw_lb[],COLUMN(AM$1)-COLUMN($A$1),FALSE)=0, VLOOKUP($D245, regions_lb[], COLUMN(AM$1)-COLUMN($A$1), FALSE), VLOOKUP($A245,raw_lb[],COLUMN(AM$1)-COLUMN($A$1),FALSE))</f>
        <v>2.9403546632293734E-3</v>
      </c>
      <c r="AM245" s="72">
        <f>IF(VLOOKUP($A245,raw_lb[],COLUMN(AN$1)-COLUMN($A$1),FALSE)=0, VLOOKUP($D245, regions_lb[], COLUMN(AN$1)-COLUMN($A$1), FALSE), VLOOKUP($A245,raw_lb[],COLUMN(AN$1)-COLUMN($A$1),FALSE))</f>
        <v>4.4998510243868172E-3</v>
      </c>
      <c r="AN245" s="72">
        <f>IF(VLOOKUP($A245,raw_lb[],COLUMN(AO$1)-COLUMN($A$1),FALSE)=0, VLOOKUP($D245, regions_lb[], COLUMN(AO$1)-COLUMN($A$1), FALSE), VLOOKUP($A245,raw_lb[],COLUMN(AO$1)-COLUMN($A$1),FALSE))</f>
        <v>6.9422953312551078E-3</v>
      </c>
      <c r="AO245" s="72">
        <f>IF(VLOOKUP($A245,raw_lb[],COLUMN(AP$1)-COLUMN($A$1),FALSE)=0, VLOOKUP($D245, regions_lb[], COLUMN(AP$1)-COLUMN($A$1), FALSE), VLOOKUP($A245,raw_lb[],COLUMN(AP$1)-COLUMN($A$1),FALSE))</f>
        <v>1.0734421385540595E-2</v>
      </c>
      <c r="AP245" s="72">
        <f>IF(VLOOKUP($A245,raw_lb[],COLUMN(AQ$1)-COLUMN($A$1),FALSE)=0, VLOOKUP($D245, regions_lb[], COLUMN(AQ$1)-COLUMN($A$1), FALSE), VLOOKUP($A245,raw_lb[],COLUMN(AQ$1)-COLUMN($A$1),FALSE))</f>
        <v>1.6844404448691081E-2</v>
      </c>
      <c r="AQ245" s="72">
        <f>IF(VLOOKUP($A245,raw_lb[],COLUMN(AR$1)-COLUMN($A$1),FALSE)=0, VLOOKUP($D245, regions_lb[], COLUMN(AR$1)-COLUMN($A$1), FALSE), VLOOKUP($A245,raw_lb[],COLUMN(AR$1)-COLUMN($A$1),FALSE))</f>
        <v>2.6471209697562035E-2</v>
      </c>
      <c r="AR245" s="72">
        <f>IF(VLOOKUP($A245,raw_lb[],COLUMN(AS$1)-COLUMN($A$1),FALSE)=0, VLOOKUP($D245, regions_lb[], COLUMN(AS$1)-COLUMN($A$1), FALSE), VLOOKUP($A245,raw_lb[],COLUMN(AS$1)-COLUMN($A$1),FALSE))</f>
        <v>4.1418219571134854E-2</v>
      </c>
      <c r="AS245" s="82">
        <f>IF(VLOOKUP($A245,raw_lb[],COLUMN(AS$1),FALSE)=0, VLOOKUP($D245, regions_lb[], COLUMN(AS$1), FALSE), VLOOKUP($A245,raw_lb[],COLUMN(AS$1),FALSE))</f>
        <v>6.3151735170444395E-2</v>
      </c>
      <c r="AT245" s="82">
        <f>IF(VLOOKUP($A245,raw_lb[],COLUMN(AT$1),FALSE)=0, VLOOKUP($D245, regions_lb[], COLUMN(AT$1), FALSE), VLOOKUP($A245,raw_lb[],COLUMN(AT$1),FALSE))</f>
        <v>9.0931169316726429E-2</v>
      </c>
      <c r="AU245" s="82">
        <f>IF(VLOOKUP($A245,raw_lb[],COLUMN(AU$1),FALSE)=0, VLOOKUP($D245, regions_lb[], COLUMN(AU$1), FALSE), VLOOKUP($A245,raw_lb[],COLUMN(AU$1),FALSE))</f>
        <v>0.11934259930255435</v>
      </c>
      <c r="AV245" s="82">
        <f>IF(VLOOKUP($A245,raw_lb[],COLUMN(AV$1),FALSE)=0, VLOOKUP($D245, regions_lb[], COLUMN(AV$1), FALSE), VLOOKUP($A245,raw_lb[],COLUMN(AV$1),FALSE))</f>
        <v>0.14596324174548639</v>
      </c>
      <c r="AW245" s="82">
        <f>IF(VLOOKUP($A245,raw_lb[],COLUMN(AW$1),FALSE)=0, VLOOKUP($D245, regions_lb[], COLUMN(AW$1), FALSE), VLOOKUP($A245,raw_lb[],COLUMN(AW$1),FALSE))</f>
        <v>0.16609461267921038</v>
      </c>
      <c r="AX245" s="82">
        <f>IF(VLOOKUP($A245,raw_lb[],COLUMN(AX$1),FALSE)=0, VLOOKUP($D245, regions_lb[], COLUMN(AX$1), FALSE), VLOOKUP($A245,raw_lb[],COLUMN(AX$1),FALSE))</f>
        <v>66.545599999999993</v>
      </c>
      <c r="AY245" t="str">
        <f t="shared" si="8"/>
        <v>No</v>
      </c>
    </row>
    <row r="246" spans="1:51" x14ac:dyDescent="0.25">
      <c r="A246" s="53" t="s">
        <v>436</v>
      </c>
      <c r="B246" s="54" t="s">
        <v>437</v>
      </c>
      <c r="C246" s="54">
        <v>686</v>
      </c>
      <c r="D246" s="54" t="s">
        <v>207</v>
      </c>
      <c r="E246" s="54" t="s">
        <v>235</v>
      </c>
      <c r="F246" s="54" t="s">
        <v>211</v>
      </c>
      <c r="G246" s="54" t="s">
        <v>212</v>
      </c>
      <c r="H246" s="73"/>
      <c r="I246" s="73"/>
      <c r="J246" s="67">
        <f>IF(VLOOKUP($A246,raw_lb[],COLUMN(J$1),FALSE)=0, VLOOKUP($D246, regions_lb[], COLUMN(J$1), FALSE), VLOOKUP($A246,raw_lb[],COLUMN(J$1),FALSE))</f>
        <v>0.77615000000000001</v>
      </c>
      <c r="K246" s="77">
        <f>VLOOKUP($A246, raw_lb[], 11, FALSE)</f>
        <v>0.81699999999999995</v>
      </c>
      <c r="L246" s="77">
        <f>VLOOKUP($A246, raw_lb[], 12, FALSE)</f>
        <v>0.874</v>
      </c>
      <c r="M246" s="77">
        <f>IF(VLOOKUP($A246,raw_lb[],COLUMN(M$1),FALSE)=0, VLOOKUP($D246, regions_lb[], COLUMN(M$1), FALSE), VLOOKUP($A246,raw_lb[],COLUMN(M$1),FALSE))</f>
        <v>6.7199999999999996E-2</v>
      </c>
      <c r="N246" s="68">
        <f>IF(VLOOKUP($A246,raw_lb[],COLUMN(N$1),FALSE)=0, VLOOKUP($D246, regions_lb[], COLUMN(N$1), FALSE), VLOOKUP($A246,raw_lb[],COLUMN(N$1),FALSE))</f>
        <v>0.155</v>
      </c>
      <c r="O246" s="67">
        <f>IF(VLOOKUP($A246,raw_lb[],COLUMN(O$1),FALSE)=0, VLOOKUP($D246, regions_lb[], COLUMN(O$1), FALSE), VLOOKUP($A246,raw_lb[],COLUMN(O$1),FALSE))</f>
        <v>7.0000000000000007E-2</v>
      </c>
      <c r="P246" s="68">
        <f>IF(VLOOKUP($A246,raw_lb[],COLUMN(P$1),FALSE)=0, VLOOKUP($D246, regions_lb[], COLUMN(P$1), FALSE), VLOOKUP($A246,raw_lb[],COLUMN(P$1),FALSE))</f>
        <v>1E-3</v>
      </c>
      <c r="Q246" s="70">
        <f>IF(VLOOKUP($A246,raw_lb[],COLUMN(Q$1),FALSE)=0, VLOOKUP($D246, regions_lb[], COLUMN(Q$1), FALSE), VLOOKUP($A246,raw_lb[],COLUMN(Q$1),FALSE))</f>
        <v>0.79304604537093804</v>
      </c>
      <c r="R246" s="70">
        <f>IF(VLOOKUP($A246,raw_lb[],COLUMN(R$1),FALSE)=0, VLOOKUP($D246, regions_lb[], COLUMN(R$1), FALSE), VLOOKUP($A246,raw_lb[],COLUMN(R$1),FALSE))</f>
        <v>7.8539460453709395</v>
      </c>
      <c r="S246" s="70">
        <f>IF(VLOOKUP($A246,raw_lb[],COLUMN(S$1),FALSE)=0, VLOOKUP($D246, regions_lb[], COLUMN(S$1), FALSE), VLOOKUP($A246,raw_lb[],COLUMN(S$1),FALSE))</f>
        <v>38.314113860912208</v>
      </c>
      <c r="T246" s="70">
        <f>IF(VLOOKUP($A246,raw_lb[],COLUMN(U$1)-COLUMN($A$1),FALSE)=0, VLOOKUP($D246, regions_lb[], COLUMN(U$1)-COLUMN($A$1), FALSE), VLOOKUP($A246,raw_lb[],COLUMN(U$1)-COLUMN($A$1),FALSE))</f>
        <v>38.959577863613234</v>
      </c>
      <c r="U246" s="70">
        <f>IF(VLOOKUP($A246,raw_lb[],COLUMN(V$1)-COLUMN($A$1),FALSE)=0, VLOOKUP($D246, regions_lb[], COLUMN(V$1)-COLUMN($A$1), FALSE), VLOOKUP($A246,raw_lb[],COLUMN(V$1)-COLUMN($A$1),FALSE))</f>
        <v>38.66319443694384</v>
      </c>
      <c r="V246" s="70">
        <f>IF(VLOOKUP($A246,raw_lb[],COLUMN(W$1)-COLUMN($A$1),FALSE)=0, VLOOKUP($D246, regions_lb[], COLUMN(W$1)-COLUMN($A$1), FALSE), VLOOKUP($A246,raw_lb[],COLUMN(W$1)-COLUMN($A$1),FALSE))</f>
        <v>1.1462569985498359</v>
      </c>
      <c r="W246" s="70">
        <f>IF(VLOOKUP($A246,raw_lb[],COLUMN(X$1)-COLUMN($A$1),FALSE)=0, VLOOKUP($D246, regions_lb[], COLUMN(X$1)-COLUMN($A$1), FALSE), VLOOKUP($A246,raw_lb[],COLUMN(X$1)-COLUMN($A$1),FALSE))</f>
        <v>5.7347569985498357</v>
      </c>
      <c r="X246" s="70">
        <f>IF(VLOOKUP($A246,raw_lb[],COLUMN(Y$1)-COLUMN($A$1),FALSE)=0, VLOOKUP($D246, regions_lb[], COLUMN(Y$1)-COLUMN($A$1), FALSE), VLOOKUP($A246,raw_lb[],COLUMN(Y$1)-COLUMN($A$1),FALSE))</f>
        <v>0.67484444359140672</v>
      </c>
      <c r="Y246" s="70">
        <f>IF(VLOOKUP($A246,raw_lb[],COLUMN(Z$1)-COLUMN($A$1),FALSE)=0, VLOOKUP($D246, regions_lb[], COLUMN(Z$1)-COLUMN($A$1), FALSE), VLOOKUP($A246,raw_lb[],COLUMN(Z$1)-COLUMN($A$1),FALSE))</f>
        <v>5.2633444435914063</v>
      </c>
      <c r="Z246" s="70">
        <f>IF(VLOOKUP($A246,raw_lb[],COLUMN(AA$1)-COLUMN($A$1),FALSE)=0, VLOOKUP($D246, regions_lb[], COLUMN(AA$1)-COLUMN($A$1), FALSE), VLOOKUP($A246,raw_lb[],COLUMN(AA$1)-COLUMN($A$1),FALSE))</f>
        <v>5.2611156128920502</v>
      </c>
      <c r="AA246" s="70">
        <f>IF(VLOOKUP($A246,raw_lb[],COLUMN(AB$1)-COLUMN($A$1),FALSE)=0, VLOOKUP($D246, regions_lb[], COLUMN(AB$1)-COLUMN($A$1), FALSE), VLOOKUP($A246,raw_lb[],COLUMN(AB$1)-COLUMN($A$1),FALSE))</f>
        <v>1.2917224855961631</v>
      </c>
      <c r="AB246" s="70">
        <f>IF(VLOOKUP($A246,raw_lb[],COLUMN(AC$1)-COLUMN($A$1),FALSE)=0, VLOOKUP($D246, regions_lb[], COLUMN(AC$1)-COLUMN($A$1), FALSE), VLOOKUP($A246,raw_lb[],COLUMN(AC$1)-COLUMN($A$1),FALSE))</f>
        <v>5.8802224855961631</v>
      </c>
      <c r="AC246" s="72">
        <f>IF(VLOOKUP($A246,raw_lb[],COLUMN(AD$1)-COLUMN($A$1),FALSE)=0, VLOOKUP($D246, regions_lb[], COLUMN(AD$1)-COLUMN($A$1), FALSE), VLOOKUP($A246,raw_lb[],COLUMN(AD$1)-COLUMN($A$1),FALSE))</f>
        <v>3.111687000000006E-2</v>
      </c>
      <c r="AD246" s="72">
        <f>IF(VLOOKUP($A246,raw_lb[],COLUMN(AE$1)-COLUMN($A$1),FALSE)=0, VLOOKUP($D246, regions_lb[], COLUMN(AE$1)-COLUMN($A$1), FALSE), VLOOKUP($A246,raw_lb[],COLUMN(AE$1)-COLUMN($A$1),FALSE))</f>
        <v>2.9159933197924655E-3</v>
      </c>
      <c r="AE246" s="72">
        <f>IF(VLOOKUP($A246,raw_lb[],COLUMN(AF$1)-COLUMN($A$1),FALSE)=0, VLOOKUP($D246, regions_lb[], COLUMN(AF$1)-COLUMN($A$1), FALSE), VLOOKUP($A246,raw_lb[],COLUMN(AF$1)-COLUMN($A$1),FALSE))</f>
        <v>1.1750940099428989E-3</v>
      </c>
      <c r="AF246" s="72">
        <f>IF(VLOOKUP($A246,raw_lb[],COLUMN(AG$1)-COLUMN($A$1),FALSE)=0, VLOOKUP($D246, regions_lb[], COLUMN(AG$1)-COLUMN($A$1), FALSE), VLOOKUP($A246,raw_lb[],COLUMN(AG$1)-COLUMN($A$1),FALSE))</f>
        <v>8.2199236385703111E-4</v>
      </c>
      <c r="AG246" s="72">
        <f>IF(VLOOKUP($A246,raw_lb[],COLUMN(AH$1)-COLUMN($A$1),FALSE)=0, VLOOKUP($D246, regions_lb[], COLUMN(AH$1)-COLUMN($A$1), FALSE), VLOOKUP($A246,raw_lb[],COLUMN(AH$1)-COLUMN($A$1),FALSE))</f>
        <v>1.2796047759410546E-3</v>
      </c>
      <c r="AH246" s="72">
        <f>IF(VLOOKUP($A246,raw_lb[],COLUMN(AI$1)-COLUMN($A$1),FALSE)=0, VLOOKUP($D246, regions_lb[], COLUMN(AI$1)-COLUMN($A$1), FALSE), VLOOKUP($A246,raw_lb[],COLUMN(AI$1)-COLUMN($A$1),FALSE))</f>
        <v>1.860632310374144E-3</v>
      </c>
      <c r="AI246" s="72">
        <f>IF(VLOOKUP($A246,raw_lb[],COLUMN(AJ$1)-COLUMN($A$1),FALSE)=0, VLOOKUP($D246, regions_lb[], COLUMN(AJ$1)-COLUMN($A$1), FALSE), VLOOKUP($A246,raw_lb[],COLUMN(AJ$1)-COLUMN($A$1),FALSE))</f>
        <v>2.0202370351180255E-3</v>
      </c>
      <c r="AJ246" s="72">
        <f>IF(VLOOKUP($A246,raw_lb[],COLUMN(AK$1)-COLUMN($A$1),FALSE)=0, VLOOKUP($D246, regions_lb[], COLUMN(AK$1)-COLUMN($A$1), FALSE), VLOOKUP($A246,raw_lb[],COLUMN(AK$1)-COLUMN($A$1),FALSE))</f>
        <v>2.3573792177220545E-3</v>
      </c>
      <c r="AK246" s="72">
        <f>IF(VLOOKUP($A246,raw_lb[],COLUMN(AL$1)-COLUMN($A$1),FALSE)=0, VLOOKUP($D246, regions_lb[], COLUMN(AL$1)-COLUMN($A$1), FALSE), VLOOKUP($A246,raw_lb[],COLUMN(AL$1)-COLUMN($A$1),FALSE))</f>
        <v>2.8242294124635543E-3</v>
      </c>
      <c r="AL246" s="72">
        <f>IF(VLOOKUP($A246,raw_lb[],COLUMN(AM$1)-COLUMN($A$1),FALSE)=0, VLOOKUP($D246, regions_lb[], COLUMN(AM$1)-COLUMN($A$1), FALSE), VLOOKUP($A246,raw_lb[],COLUMN(AM$1)-COLUMN($A$1),FALSE))</f>
        <v>3.7333530892915859E-3</v>
      </c>
      <c r="AM246" s="72">
        <f>IF(VLOOKUP($A246,raw_lb[],COLUMN(AN$1)-COLUMN($A$1),FALSE)=0, VLOOKUP($D246, regions_lb[], COLUMN(AN$1)-COLUMN($A$1), FALSE), VLOOKUP($A246,raw_lb[],COLUMN(AN$1)-COLUMN($A$1),FALSE))</f>
        <v>4.9818261665522381E-3</v>
      </c>
      <c r="AN246" s="72">
        <f>IF(VLOOKUP($A246,raw_lb[],COLUMN(AO$1)-COLUMN($A$1),FALSE)=0, VLOOKUP($D246, regions_lb[], COLUMN(AO$1)-COLUMN($A$1), FALSE), VLOOKUP($A246,raw_lb[],COLUMN(AO$1)-COLUMN($A$1),FALSE))</f>
        <v>7.3330938425061436E-3</v>
      </c>
      <c r="AO246" s="72">
        <f>IF(VLOOKUP($A246,raw_lb[],COLUMN(AP$1)-COLUMN($A$1),FALSE)=0, VLOOKUP($D246, regions_lb[], COLUMN(AP$1)-COLUMN($A$1), FALSE), VLOOKUP($A246,raw_lb[],COLUMN(AP$1)-COLUMN($A$1),FALSE))</f>
        <v>1.0725791472641456E-2</v>
      </c>
      <c r="AP246" s="72">
        <f>IF(VLOOKUP($A246,raw_lb[],COLUMN(AQ$1)-COLUMN($A$1),FALSE)=0, VLOOKUP($D246, regions_lb[], COLUMN(AQ$1)-COLUMN($A$1), FALSE), VLOOKUP($A246,raw_lb[],COLUMN(AQ$1)-COLUMN($A$1),FALSE))</f>
        <v>1.6828439169073915E-2</v>
      </c>
      <c r="AQ246" s="72">
        <f>IF(VLOOKUP($A246,raw_lb[],COLUMN(AR$1)-COLUMN($A$1),FALSE)=0, VLOOKUP($D246, regions_lb[], COLUMN(AR$1)-COLUMN($A$1), FALSE), VLOOKUP($A246,raw_lb[],COLUMN(AR$1)-COLUMN($A$1),FALSE))</f>
        <v>2.6590390680427133E-2</v>
      </c>
      <c r="AR246" s="72">
        <f>IF(VLOOKUP($A246,raw_lb[],COLUMN(AS$1)-COLUMN($A$1),FALSE)=0, VLOOKUP($D246, regions_lb[], COLUMN(AS$1)-COLUMN($A$1), FALSE), VLOOKUP($A246,raw_lb[],COLUMN(AS$1)-COLUMN($A$1),FALSE))</f>
        <v>4.4210584817222745E-2</v>
      </c>
      <c r="AS246" s="82">
        <f>IF(VLOOKUP($A246,raw_lb[],COLUMN(AS$1),FALSE)=0, VLOOKUP($D246, regions_lb[], COLUMN(AS$1), FALSE), VLOOKUP($A246,raw_lb[],COLUMN(AS$1),FALSE))</f>
        <v>7.101185657593953E-2</v>
      </c>
      <c r="AT246" s="82">
        <f>IF(VLOOKUP($A246,raw_lb[],COLUMN(AT$1),FALSE)=0, VLOOKUP($D246, regions_lb[], COLUMN(AT$1), FALSE), VLOOKUP($A246,raw_lb[],COLUMN(AT$1),FALSE))</f>
        <v>0.10593784157911811</v>
      </c>
      <c r="AU246" s="82">
        <f>IF(VLOOKUP($A246,raw_lb[],COLUMN(AU$1),FALSE)=0, VLOOKUP($D246, regions_lb[], COLUMN(AU$1), FALSE), VLOOKUP($A246,raw_lb[],COLUMN(AU$1),FALSE))</f>
        <v>0.14003339308619589</v>
      </c>
      <c r="AV246" s="82">
        <f>IF(VLOOKUP($A246,raw_lb[],COLUMN(AV$1),FALSE)=0, VLOOKUP($D246, regions_lb[], COLUMN(AV$1), FALSE), VLOOKUP($A246,raw_lb[],COLUMN(AV$1),FALSE))</f>
        <v>0.16485553669444136</v>
      </c>
      <c r="AW246" s="82">
        <f>IF(VLOOKUP($A246,raw_lb[],COLUMN(AW$1),FALSE)=0, VLOOKUP($D246, regions_lb[], COLUMN(AW$1), FALSE), VLOOKUP($A246,raw_lb[],COLUMN(AW$1),FALSE))</f>
        <v>0.17716117308895737</v>
      </c>
      <c r="AX246" s="82">
        <f>IF(VLOOKUP($A246,raw_lb[],COLUMN(AX$1),FALSE)=0, VLOOKUP($D246, regions_lb[], COLUMN(AX$1), FALSE), VLOOKUP($A246,raw_lb[],COLUMN(AX$1),FALSE))</f>
        <v>64.096499999999992</v>
      </c>
      <c r="AY246" t="str">
        <f t="shared" si="8"/>
        <v>No</v>
      </c>
    </row>
    <row r="247" spans="1:51" x14ac:dyDescent="0.25">
      <c r="A247" s="55" t="s">
        <v>438</v>
      </c>
      <c r="B247" s="56" t="s">
        <v>439</v>
      </c>
      <c r="C247" s="56">
        <v>688</v>
      </c>
      <c r="D247" s="56" t="s">
        <v>201</v>
      </c>
      <c r="E247" s="56" t="s">
        <v>202</v>
      </c>
      <c r="F247" s="56" t="s">
        <v>203</v>
      </c>
      <c r="G247" s="56" t="s">
        <v>204</v>
      </c>
      <c r="H247" s="74"/>
      <c r="I247" s="74"/>
      <c r="J247" s="67">
        <f>IF(VLOOKUP($A247,raw_lb[],COLUMN(J$1),FALSE)=0, VLOOKUP($D247, regions_lb[], COLUMN(J$1), FALSE), VLOOKUP($A247,raw_lb[],COLUMN(J$1),FALSE))</f>
        <v>0.93289999999999995</v>
      </c>
      <c r="K247" s="77">
        <f>VLOOKUP($A247, raw_lb[], 11, FALSE)</f>
        <v>0.9405</v>
      </c>
      <c r="L247" s="77">
        <f>VLOOKUP($A247, raw_lb[], 12, FALSE)</f>
        <v>0.82650000000000001</v>
      </c>
      <c r="M247" s="77">
        <f>IF(VLOOKUP($A247,raw_lb[],COLUMN(M$1),FALSE)=0, VLOOKUP($D247, regions_lb[], COLUMN(M$1), FALSE), VLOOKUP($A247,raw_lb[],COLUMN(M$1),FALSE))</f>
        <v>1.1399999999999999E-2</v>
      </c>
      <c r="N247" s="68">
        <f>IF(VLOOKUP($A247,raw_lb[],COLUMN(N$1),FALSE)=0, VLOOKUP($D247, regions_lb[], COLUMN(N$1), FALSE), VLOOKUP($A247,raw_lb[],COLUMN(N$1),FALSE))</f>
        <v>0.16329999999999997</v>
      </c>
      <c r="O247" s="67">
        <f>IF(VLOOKUP($A247,raw_lb[],COLUMN(O$1),FALSE)=0, VLOOKUP($D247, regions_lb[], COLUMN(O$1), FALSE), VLOOKUP($A247,raw_lb[],COLUMN(O$1),FALSE))</f>
        <v>0.7</v>
      </c>
      <c r="P247" s="68">
        <f>IF(VLOOKUP($A247,raw_lb[],COLUMN(P$1),FALSE)=0, VLOOKUP($D247, regions_lb[], COLUMN(P$1), FALSE), VLOOKUP($A247,raw_lb[],COLUMN(P$1),FALSE))</f>
        <v>0.05</v>
      </c>
      <c r="Q247" s="70">
        <f>IF(VLOOKUP($A247,raw_lb[],COLUMN(Q$1),FALSE)=0, VLOOKUP($D247, regions_lb[], COLUMN(Q$1), FALSE), VLOOKUP($A247,raw_lb[],COLUMN(Q$1),FALSE))</f>
        <v>1.84989765825101</v>
      </c>
      <c r="R247" s="70">
        <f>IF(VLOOKUP($A247,raw_lb[],COLUMN(R$1),FALSE)=0, VLOOKUP($D247, regions_lb[], COLUMN(R$1), FALSE), VLOOKUP($A247,raw_lb[],COLUMN(R$1),FALSE))</f>
        <v>8.9107976582510116</v>
      </c>
      <c r="S247" s="70">
        <f>IF(VLOOKUP($A247,raw_lb[],COLUMN(S$1),FALSE)=0, VLOOKUP($D247, regions_lb[], COLUMN(S$1), FALSE), VLOOKUP($A247,raw_lb[],COLUMN(S$1),FALSE))</f>
        <v>48.891043500049392</v>
      </c>
      <c r="T247" s="70">
        <f>IF(VLOOKUP($A247,raw_lb[],COLUMN(U$1)-COLUMN($A$1),FALSE)=0, VLOOKUP($D247, regions_lb[], COLUMN(U$1)-COLUMN($A$1), FALSE), VLOOKUP($A247,raw_lb[],COLUMN(U$1)-COLUMN($A$1),FALSE))</f>
        <v>54.491375377766218</v>
      </c>
      <c r="U247" s="70">
        <f>IF(VLOOKUP($A247,raw_lb[],COLUMN(V$1)-COLUMN($A$1),FALSE)=0, VLOOKUP($D247, regions_lb[], COLUMN(V$1)-COLUMN($A$1), FALSE), VLOOKUP($A247,raw_lb[],COLUMN(V$1)-COLUMN($A$1),FALSE))</f>
        <v>51.919821355454019</v>
      </c>
      <c r="V247" s="70">
        <f>IF(VLOOKUP($A247,raw_lb[],COLUMN(W$1)-COLUMN($A$1),FALSE)=0, VLOOKUP($D247, regions_lb[], COLUMN(W$1)-COLUMN($A$1), FALSE), VLOOKUP($A247,raw_lb[],COLUMN(W$1)-COLUMN($A$1),FALSE))</f>
        <v>2.6871158694920805</v>
      </c>
      <c r="W247" s="70">
        <f>IF(VLOOKUP($A247,raw_lb[],COLUMN(X$1)-COLUMN($A$1),FALSE)=0, VLOOKUP($D247, regions_lb[], COLUMN(X$1)-COLUMN($A$1), FALSE), VLOOKUP($A247,raw_lb[],COLUMN(X$1)-COLUMN($A$1),FALSE))</f>
        <v>6.5536158694920807</v>
      </c>
      <c r="X247" s="70">
        <f>IF(VLOOKUP($A247,raw_lb[],COLUMN(Y$1)-COLUMN($A$1),FALSE)=0, VLOOKUP($D247, regions_lb[], COLUMN(Y$1)-COLUMN($A$1), FALSE), VLOOKUP($A247,raw_lb[],COLUMN(Y$1)-COLUMN($A$1),FALSE))</f>
        <v>2.2092917794397859</v>
      </c>
      <c r="Y247" s="70">
        <f>IF(VLOOKUP($A247,raw_lb[],COLUMN(Z$1)-COLUMN($A$1),FALSE)=0, VLOOKUP($D247, regions_lb[], COLUMN(Z$1)-COLUMN($A$1), FALSE), VLOOKUP($A247,raw_lb[],COLUMN(Z$1)-COLUMN($A$1),FALSE))</f>
        <v>6.0757917794397862</v>
      </c>
      <c r="Z247" s="70">
        <f>IF(VLOOKUP($A247,raw_lb[],COLUMN(AA$1)-COLUMN($A$1),FALSE)=0, VLOOKUP($D247, regions_lb[], COLUMN(AA$1)-COLUMN($A$1), FALSE), VLOOKUP($A247,raw_lb[],COLUMN(AA$1)-COLUMN($A$1),FALSE))</f>
        <v>6.0694223393082858</v>
      </c>
      <c r="AA247" s="70">
        <f>IF(VLOOKUP($A247,raw_lb[],COLUMN(AB$1)-COLUMN($A$1),FALSE)=0, VLOOKUP($D247, regions_lb[], COLUMN(AB$1)-COLUMN($A$1), FALSE), VLOOKUP($A247,raw_lb[],COLUMN(AB$1)-COLUMN($A$1),FALSE))</f>
        <v>2.8523655219709063</v>
      </c>
      <c r="AB247" s="70">
        <f>IF(VLOOKUP($A247,raw_lb[],COLUMN(AC$1)-COLUMN($A$1),FALSE)=0, VLOOKUP($D247, regions_lb[], COLUMN(AC$1)-COLUMN($A$1), FALSE), VLOOKUP($A247,raw_lb[],COLUMN(AC$1)-COLUMN($A$1),FALSE))</f>
        <v>6.7188655219709066</v>
      </c>
      <c r="AC247" s="72">
        <f>IF(VLOOKUP($A247,raw_lb[],COLUMN(AD$1)-COLUMN($A$1),FALSE)=0, VLOOKUP($D247, regions_lb[], COLUMN(AD$1)-COLUMN($A$1), FALSE), VLOOKUP($A247,raw_lb[],COLUMN(AD$1)-COLUMN($A$1),FALSE))</f>
        <v>4.6545534999999439E-3</v>
      </c>
      <c r="AD247" s="72">
        <f>IF(VLOOKUP($A247,raw_lb[],COLUMN(AE$1)-COLUMN($A$1),FALSE)=0, VLOOKUP($D247, regions_lb[], COLUMN(AE$1)-COLUMN($A$1), FALSE), VLOOKUP($A247,raw_lb[],COLUMN(AE$1)-COLUMN($A$1),FALSE))</f>
        <v>1.6229755674822372E-4</v>
      </c>
      <c r="AE247" s="72">
        <f>IF(VLOOKUP($A247,raw_lb[],COLUMN(AF$1)-COLUMN($A$1),FALSE)=0, VLOOKUP($D247, regions_lb[], COLUMN(AF$1)-COLUMN($A$1), FALSE), VLOOKUP($A247,raw_lb[],COLUMN(AF$1)-COLUMN($A$1),FALSE))</f>
        <v>9.516236220641923E-5</v>
      </c>
      <c r="AF247" s="72">
        <f>IF(VLOOKUP($A247,raw_lb[],COLUMN(AG$1)-COLUMN($A$1),FALSE)=0, VLOOKUP($D247, regions_lb[], COLUMN(AG$1)-COLUMN($A$1), FALSE), VLOOKUP($A247,raw_lb[],COLUMN(AG$1)-COLUMN($A$1),FALSE))</f>
        <v>1.1113956180081989E-4</v>
      </c>
      <c r="AG247" s="72">
        <f>IF(VLOOKUP($A247,raw_lb[],COLUMN(AH$1)-COLUMN($A$1),FALSE)=0, VLOOKUP($D247, regions_lb[], COLUMN(AH$1)-COLUMN($A$1), FALSE), VLOOKUP($A247,raw_lb[],COLUMN(AH$1)-COLUMN($A$1),FALSE))</f>
        <v>2.8667909321492886E-4</v>
      </c>
      <c r="AH247" s="72">
        <f>IF(VLOOKUP($A247,raw_lb[],COLUMN(AI$1)-COLUMN($A$1),FALSE)=0, VLOOKUP($D247, regions_lb[], COLUMN(AI$1)-COLUMN($A$1), FALSE), VLOOKUP($A247,raw_lb[],COLUMN(AI$1)-COLUMN($A$1),FALSE))</f>
        <v>3.9452535101802965E-4</v>
      </c>
      <c r="AI247" s="72">
        <f>IF(VLOOKUP($A247,raw_lb[],COLUMN(AJ$1)-COLUMN($A$1),FALSE)=0, VLOOKUP($D247, regions_lb[], COLUMN(AJ$1)-COLUMN($A$1), FALSE), VLOOKUP($A247,raw_lb[],COLUMN(AJ$1)-COLUMN($A$1),FALSE))</f>
        <v>5.0708887408226549E-4</v>
      </c>
      <c r="AJ247" s="72">
        <f>IF(VLOOKUP($A247,raw_lb[],COLUMN(AK$1)-COLUMN($A$1),FALSE)=0, VLOOKUP($D247, regions_lb[], COLUMN(AK$1)-COLUMN($A$1), FALSE), VLOOKUP($A247,raw_lb[],COLUMN(AK$1)-COLUMN($A$1),FALSE))</f>
        <v>7.3295064639645362E-4</v>
      </c>
      <c r="AK247" s="72">
        <f>IF(VLOOKUP($A247,raw_lb[],COLUMN(AL$1)-COLUMN($A$1),FALSE)=0, VLOOKUP($D247, regions_lb[], COLUMN(AL$1)-COLUMN($A$1), FALSE), VLOOKUP($A247,raw_lb[],COLUMN(AL$1)-COLUMN($A$1),FALSE))</f>
        <v>1.0248119797782351E-3</v>
      </c>
      <c r="AL247" s="72">
        <f>IF(VLOOKUP($A247,raw_lb[],COLUMN(AM$1)-COLUMN($A$1),FALSE)=0, VLOOKUP($D247, regions_lb[], COLUMN(AM$1)-COLUMN($A$1), FALSE), VLOOKUP($A247,raw_lb[],COLUMN(AM$1)-COLUMN($A$1),FALSE))</f>
        <v>1.7265433207255608E-3</v>
      </c>
      <c r="AM247" s="72">
        <f>IF(VLOOKUP($A247,raw_lb[],COLUMN(AN$1)-COLUMN($A$1),FALSE)=0, VLOOKUP($D247, regions_lb[], COLUMN(AN$1)-COLUMN($A$1), FALSE), VLOOKUP($A247,raw_lb[],COLUMN(AN$1)-COLUMN($A$1),FALSE))</f>
        <v>3.0307545606923147E-3</v>
      </c>
      <c r="AN247" s="72">
        <f>IF(VLOOKUP($A247,raw_lb[],COLUMN(AO$1)-COLUMN($A$1),FALSE)=0, VLOOKUP($D247, regions_lb[], COLUMN(AO$1)-COLUMN($A$1), FALSE), VLOOKUP($A247,raw_lb[],COLUMN(AO$1)-COLUMN($A$1),FALSE))</f>
        <v>5.3338871583575205E-3</v>
      </c>
      <c r="AO247" s="72">
        <f>IF(VLOOKUP($A247,raw_lb[],COLUMN(AP$1)-COLUMN($A$1),FALSE)=0, VLOOKUP($D247, regions_lb[], COLUMN(AP$1)-COLUMN($A$1), FALSE), VLOOKUP($A247,raw_lb[],COLUMN(AP$1)-COLUMN($A$1),FALSE))</f>
        <v>8.7044697097083505E-3</v>
      </c>
      <c r="AP247" s="72">
        <f>IF(VLOOKUP($A247,raw_lb[],COLUMN(AQ$1)-COLUMN($A$1),FALSE)=0, VLOOKUP($D247, regions_lb[], COLUMN(AQ$1)-COLUMN($A$1), FALSE), VLOOKUP($A247,raw_lb[],COLUMN(AQ$1)-COLUMN($A$1),FALSE))</f>
        <v>1.3481806801085088E-2</v>
      </c>
      <c r="AQ247" s="72">
        <f>IF(VLOOKUP($A247,raw_lb[],COLUMN(AR$1)-COLUMN($A$1),FALSE)=0, VLOOKUP($D247, regions_lb[], COLUMN(AR$1)-COLUMN($A$1), FALSE), VLOOKUP($A247,raw_lb[],COLUMN(AR$1)-COLUMN($A$1),FALSE))</f>
        <v>1.9837759073135116E-2</v>
      </c>
      <c r="AR247" s="72">
        <f>IF(VLOOKUP($A247,raw_lb[],COLUMN(AS$1)-COLUMN($A$1),FALSE)=0, VLOOKUP($D247, regions_lb[], COLUMN(AS$1)-COLUMN($A$1), FALSE), VLOOKUP($A247,raw_lb[],COLUMN(AS$1)-COLUMN($A$1),FALSE))</f>
        <v>3.0225607410525018E-2</v>
      </c>
      <c r="AS247" s="82">
        <f>IF(VLOOKUP($A247,raw_lb[],COLUMN(AS$1),FALSE)=0, VLOOKUP($D247, regions_lb[], COLUMN(AS$1), FALSE), VLOOKUP($A247,raw_lb[],COLUMN(AS$1),FALSE))</f>
        <v>5.0822687404702929E-2</v>
      </c>
      <c r="AT247" s="82">
        <f>IF(VLOOKUP($A247,raw_lb[],COLUMN(AT$1),FALSE)=0, VLOOKUP($D247, regions_lb[], COLUMN(AT$1), FALSE), VLOOKUP($A247,raw_lb[],COLUMN(AT$1),FALSE))</f>
        <v>8.1507867884061447E-2</v>
      </c>
      <c r="AU247" s="82">
        <f>IF(VLOOKUP($A247,raw_lb[],COLUMN(AU$1),FALSE)=0, VLOOKUP($D247, regions_lb[], COLUMN(AU$1), FALSE), VLOOKUP($A247,raw_lb[],COLUMN(AU$1),FALSE))</f>
        <v>0.11622493860949565</v>
      </c>
      <c r="AV247" s="82">
        <f>IF(VLOOKUP($A247,raw_lb[],COLUMN(AV$1),FALSE)=0, VLOOKUP($D247, regions_lb[], COLUMN(AV$1), FALSE), VLOOKUP($A247,raw_lb[],COLUMN(AV$1),FALSE))</f>
        <v>0.15229472501231289</v>
      </c>
      <c r="AW247" s="82">
        <f>IF(VLOOKUP($A247,raw_lb[],COLUMN(AW$1),FALSE)=0, VLOOKUP($D247, regions_lb[], COLUMN(AW$1), FALSE), VLOOKUP($A247,raw_lb[],COLUMN(AW$1),FALSE))</f>
        <v>0.17340252987728902</v>
      </c>
      <c r="AX247" s="82">
        <f>IF(VLOOKUP($A247,raw_lb[],COLUMN(AX$1),FALSE)=0, VLOOKUP($D247, regions_lb[], COLUMN(AX$1), FALSE), VLOOKUP($A247,raw_lb[],COLUMN(AX$1),FALSE))</f>
        <v>71.983400000000003</v>
      </c>
      <c r="AY247" t="str">
        <f t="shared" si="8"/>
        <v>No</v>
      </c>
    </row>
    <row r="248" spans="1:51" x14ac:dyDescent="0.25">
      <c r="A248" s="53" t="s">
        <v>440</v>
      </c>
      <c r="B248" s="54" t="s">
        <v>441</v>
      </c>
      <c r="C248" s="54">
        <v>694</v>
      </c>
      <c r="D248" s="54" t="s">
        <v>207</v>
      </c>
      <c r="E248" s="54" t="s">
        <v>235</v>
      </c>
      <c r="F248" s="54" t="s">
        <v>211</v>
      </c>
      <c r="G248" s="54" t="s">
        <v>198</v>
      </c>
      <c r="H248" s="73"/>
      <c r="I248" s="73"/>
      <c r="J248" s="67">
        <f>IF(VLOOKUP($A248,raw_lb[],COLUMN(J$1),FALSE)=0, VLOOKUP($D248, regions_lb[], COLUMN(J$1), FALSE), VLOOKUP($A248,raw_lb[],COLUMN(J$1),FALSE))</f>
        <v>0.7923</v>
      </c>
      <c r="K248" s="77">
        <f>VLOOKUP($A248, raw_lb[], 11, FALSE)</f>
        <v>0</v>
      </c>
      <c r="L248" s="77">
        <f>VLOOKUP($A248, raw_lb[], 12, FALSE)</f>
        <v>0.86449999999999994</v>
      </c>
      <c r="M248" s="77">
        <f>IF(VLOOKUP($A248,raw_lb[],COLUMN(M$1),FALSE)=0, VLOOKUP($D248, regions_lb[], COLUMN(M$1), FALSE), VLOOKUP($A248,raw_lb[],COLUMN(M$1),FALSE))</f>
        <v>6.9500000000000006E-2</v>
      </c>
      <c r="N248" s="68">
        <f>IF(VLOOKUP($A248,raw_lb[],COLUMN(N$1),FALSE)=0, VLOOKUP($D248, regions_lb[], COLUMN(N$1), FALSE), VLOOKUP($A248,raw_lb[],COLUMN(N$1),FALSE))</f>
        <v>0.155</v>
      </c>
      <c r="O248" s="67">
        <f>IF(VLOOKUP($A248,raw_lb[],COLUMN(O$1),FALSE)=0, VLOOKUP($D248, regions_lb[], COLUMN(O$1), FALSE), VLOOKUP($A248,raw_lb[],COLUMN(O$1),FALSE))</f>
        <v>7.0000000000000007E-2</v>
      </c>
      <c r="P248" s="68">
        <f>IF(VLOOKUP($A248,raw_lb[],COLUMN(P$1),FALSE)=0, VLOOKUP($D248, regions_lb[], COLUMN(P$1), FALSE), VLOOKUP($A248,raw_lb[],COLUMN(P$1),FALSE))</f>
        <v>1E-3</v>
      </c>
      <c r="Q248" s="70">
        <f>IF(VLOOKUP($A248,raw_lb[],COLUMN(Q$1),FALSE)=0, VLOOKUP($D248, regions_lb[], COLUMN(Q$1), FALSE), VLOOKUP($A248,raw_lb[],COLUMN(Q$1),FALSE))</f>
        <v>0.620700907029478</v>
      </c>
      <c r="R248" s="70">
        <f>IF(VLOOKUP($A248,raw_lb[],COLUMN(R$1),FALSE)=0, VLOOKUP($D248, regions_lb[], COLUMN(R$1), FALSE), VLOOKUP($A248,raw_lb[],COLUMN(R$1),FALSE))</f>
        <v>7.6816009070294786</v>
      </c>
      <c r="S248" s="70">
        <f>IF(VLOOKUP($A248,raw_lb[],COLUMN(S$1),FALSE)=0, VLOOKUP($D248, regions_lb[], COLUMN(S$1), FALSE), VLOOKUP($A248,raw_lb[],COLUMN(S$1),FALSE))</f>
        <v>37.36093462904477</v>
      </c>
      <c r="T248" s="70">
        <f>IF(VLOOKUP($A248,raw_lb[],COLUMN(U$1)-COLUMN($A$1),FALSE)=0, VLOOKUP($D248, regions_lb[], COLUMN(U$1)-COLUMN($A$1), FALSE), VLOOKUP($A248,raw_lb[],COLUMN(U$1)-COLUMN($A$1),FALSE))</f>
        <v>37.600001777113079</v>
      </c>
      <c r="U248" s="70">
        <f>IF(VLOOKUP($A248,raw_lb[],COLUMN(V$1)-COLUMN($A$1),FALSE)=0, VLOOKUP($D248, regions_lb[], COLUMN(V$1)-COLUMN($A$1), FALSE), VLOOKUP($A248,raw_lb[],COLUMN(V$1)-COLUMN($A$1),FALSE))</f>
        <v>37.49022719595586</v>
      </c>
      <c r="V248" s="70">
        <f>IF(VLOOKUP($A248,raw_lb[],COLUMN(W$1)-COLUMN($A$1),FALSE)=0, VLOOKUP($D248, regions_lb[], COLUMN(W$1)-COLUMN($A$1), FALSE), VLOOKUP($A248,raw_lb[],COLUMN(W$1)-COLUMN($A$1),FALSE))</f>
        <v>1.3071006109922567</v>
      </c>
      <c r="W248" s="70">
        <f>IF(VLOOKUP($A248,raw_lb[],COLUMN(X$1)-COLUMN($A$1),FALSE)=0, VLOOKUP($D248, regions_lb[], COLUMN(X$1)-COLUMN($A$1), FALSE), VLOOKUP($A248,raw_lb[],COLUMN(X$1)-COLUMN($A$1),FALSE))</f>
        <v>5.8956006109922567</v>
      </c>
      <c r="X248" s="70">
        <f>IF(VLOOKUP($A248,raw_lb[],COLUMN(Y$1)-COLUMN($A$1),FALSE)=0, VLOOKUP($D248, regions_lb[], COLUMN(Y$1)-COLUMN($A$1), FALSE), VLOOKUP($A248,raw_lb[],COLUMN(Y$1)-COLUMN($A$1),FALSE))</f>
        <v>0.83735668620459547</v>
      </c>
      <c r="Y248" s="70">
        <f>IF(VLOOKUP($A248,raw_lb[],COLUMN(Z$1)-COLUMN($A$1),FALSE)=0, VLOOKUP($D248, regions_lb[], COLUMN(Z$1)-COLUMN($A$1), FALSE), VLOOKUP($A248,raw_lb[],COLUMN(Z$1)-COLUMN($A$1),FALSE))</f>
        <v>5.4258566862045949</v>
      </c>
      <c r="Z248" s="70">
        <f>IF(VLOOKUP($A248,raw_lb[],COLUMN(AA$1)-COLUMN($A$1),FALSE)=0, VLOOKUP($D248, regions_lb[], COLUMN(AA$1)-COLUMN($A$1), FALSE), VLOOKUP($A248,raw_lb[],COLUMN(AA$1)-COLUMN($A$1),FALSE))</f>
        <v>5.4247402387328343</v>
      </c>
      <c r="AA248" s="70">
        <f>IF(VLOOKUP($A248,raw_lb[],COLUMN(AB$1)-COLUMN($A$1),FALSE)=0, VLOOKUP($D248, regions_lb[], COLUMN(AB$1)-COLUMN($A$1), FALSE), VLOOKUP($A248,raw_lb[],COLUMN(AB$1)-COLUMN($A$1),FALSE))</f>
        <v>1.4474171820830717</v>
      </c>
      <c r="AB248" s="70">
        <f>IF(VLOOKUP($A248,raw_lb[],COLUMN(AC$1)-COLUMN($A$1),FALSE)=0, VLOOKUP($D248, regions_lb[], COLUMN(AC$1)-COLUMN($A$1), FALSE), VLOOKUP($A248,raw_lb[],COLUMN(AC$1)-COLUMN($A$1),FALSE))</f>
        <v>6.0359171820830717</v>
      </c>
      <c r="AC248" s="72">
        <f>IF(VLOOKUP($A248,raw_lb[],COLUMN(AD$1)-COLUMN($A$1),FALSE)=0, VLOOKUP($D248, regions_lb[], COLUMN(AD$1)-COLUMN($A$1), FALSE), VLOOKUP($A248,raw_lb[],COLUMN(AD$1)-COLUMN($A$1),FALSE))</f>
        <v>7.6752390499999934E-2</v>
      </c>
      <c r="AD248" s="72">
        <f>IF(VLOOKUP($A248,raw_lb[],COLUMN(AE$1)-COLUMN($A$1),FALSE)=0, VLOOKUP($D248, regions_lb[], COLUMN(AE$1)-COLUMN($A$1), FALSE), VLOOKUP($A248,raw_lb[],COLUMN(AE$1)-COLUMN($A$1),FALSE))</f>
        <v>7.6467460830764618E-3</v>
      </c>
      <c r="AE248" s="72">
        <f>IF(VLOOKUP($A248,raw_lb[],COLUMN(AF$1)-COLUMN($A$1),FALSE)=0, VLOOKUP($D248, regions_lb[], COLUMN(AF$1)-COLUMN($A$1), FALSE), VLOOKUP($A248,raw_lb[],COLUMN(AF$1)-COLUMN($A$1),FALSE))</f>
        <v>3.3827600632783616E-3</v>
      </c>
      <c r="AF248" s="72">
        <f>IF(VLOOKUP($A248,raw_lb[],COLUMN(AG$1)-COLUMN($A$1),FALSE)=0, VLOOKUP($D248, regions_lb[], COLUMN(AG$1)-COLUMN($A$1), FALSE), VLOOKUP($A248,raw_lb[],COLUMN(AG$1)-COLUMN($A$1),FALSE))</f>
        <v>2.4853976790811519E-3</v>
      </c>
      <c r="AG248" s="72">
        <f>IF(VLOOKUP($A248,raw_lb[],COLUMN(AH$1)-COLUMN($A$1),FALSE)=0, VLOOKUP($D248, regions_lb[], COLUMN(AH$1)-COLUMN($A$1), FALSE), VLOOKUP($A248,raw_lb[],COLUMN(AH$1)-COLUMN($A$1),FALSE))</f>
        <v>4.0899764003664782E-3</v>
      </c>
      <c r="AH248" s="72">
        <f>IF(VLOOKUP($A248,raw_lb[],COLUMN(AI$1)-COLUMN($A$1),FALSE)=0, VLOOKUP($D248, regions_lb[], COLUMN(AI$1)-COLUMN($A$1), FALSE), VLOOKUP($A248,raw_lb[],COLUMN(AI$1)-COLUMN($A$1),FALSE))</f>
        <v>5.6924300919248081E-3</v>
      </c>
      <c r="AI248" s="72">
        <f>IF(VLOOKUP($A248,raw_lb[],COLUMN(AJ$1)-COLUMN($A$1),FALSE)=0, VLOOKUP($D248, regions_lb[], COLUMN(AJ$1)-COLUMN($A$1), FALSE), VLOOKUP($A248,raw_lb[],COLUMN(AJ$1)-COLUMN($A$1),FALSE))</f>
        <v>6.2497589038089437E-3</v>
      </c>
      <c r="AJ248" s="72">
        <f>IF(VLOOKUP($A248,raw_lb[],COLUMN(AK$1)-COLUMN($A$1),FALSE)=0, VLOOKUP($D248, regions_lb[], COLUMN(AK$1)-COLUMN($A$1), FALSE), VLOOKUP($A248,raw_lb[],COLUMN(AK$1)-COLUMN($A$1),FALSE))</f>
        <v>6.8730133742891941E-3</v>
      </c>
      <c r="AK248" s="72">
        <f>IF(VLOOKUP($A248,raw_lb[],COLUMN(AL$1)-COLUMN($A$1),FALSE)=0, VLOOKUP($D248, regions_lb[], COLUMN(AL$1)-COLUMN($A$1), FALSE), VLOOKUP($A248,raw_lb[],COLUMN(AL$1)-COLUMN($A$1),FALSE))</f>
        <v>7.9329412404796525E-3</v>
      </c>
      <c r="AL248" s="72">
        <f>IF(VLOOKUP($A248,raw_lb[],COLUMN(AM$1)-COLUMN($A$1),FALSE)=0, VLOOKUP($D248, regions_lb[], COLUMN(AM$1)-COLUMN($A$1), FALSE), VLOOKUP($A248,raw_lb[],COLUMN(AM$1)-COLUMN($A$1),FALSE))</f>
        <v>9.3906272148045634E-3</v>
      </c>
      <c r="AM248" s="72">
        <f>IF(VLOOKUP($A248,raw_lb[],COLUMN(AN$1)-COLUMN($A$1),FALSE)=0, VLOOKUP($D248, regions_lb[], COLUMN(AN$1)-COLUMN($A$1), FALSE), VLOOKUP($A248,raw_lb[],COLUMN(AN$1)-COLUMN($A$1),FALSE))</f>
        <v>1.1518053437633182E-2</v>
      </c>
      <c r="AN248" s="72">
        <f>IF(VLOOKUP($A248,raw_lb[],COLUMN(AO$1)-COLUMN($A$1),FALSE)=0, VLOOKUP($D248, regions_lb[], COLUMN(AO$1)-COLUMN($A$1), FALSE), VLOOKUP($A248,raw_lb[],COLUMN(AO$1)-COLUMN($A$1),FALSE))</f>
        <v>1.5076110394917299E-2</v>
      </c>
      <c r="AO248" s="72">
        <f>IF(VLOOKUP($A248,raw_lb[],COLUMN(AP$1)-COLUMN($A$1),FALSE)=0, VLOOKUP($D248, regions_lb[], COLUMN(AP$1)-COLUMN($A$1), FALSE), VLOOKUP($A248,raw_lb[],COLUMN(AP$1)-COLUMN($A$1),FALSE))</f>
        <v>2.0050994661359373E-2</v>
      </c>
      <c r="AP248" s="72">
        <f>IF(VLOOKUP($A248,raw_lb[],COLUMN(AQ$1)-COLUMN($A$1),FALSE)=0, VLOOKUP($D248, regions_lb[], COLUMN(AQ$1)-COLUMN($A$1), FALSE), VLOOKUP($A248,raw_lb[],COLUMN(AQ$1)-COLUMN($A$1),FALSE))</f>
        <v>2.8237585265538979E-2</v>
      </c>
      <c r="AQ248" s="72">
        <f>IF(VLOOKUP($A248,raw_lb[],COLUMN(AR$1)-COLUMN($A$1),FALSE)=0, VLOOKUP($D248, regions_lb[], COLUMN(AR$1)-COLUMN($A$1), FALSE), VLOOKUP($A248,raw_lb[],COLUMN(AR$1)-COLUMN($A$1),FALSE))</f>
        <v>3.9947861400672274E-2</v>
      </c>
      <c r="AR248" s="72">
        <f>IF(VLOOKUP($A248,raw_lb[],COLUMN(AS$1)-COLUMN($A$1),FALSE)=0, VLOOKUP($D248, regions_lb[], COLUMN(AS$1)-COLUMN($A$1), FALSE), VLOOKUP($A248,raw_lb[],COLUMN(AS$1)-COLUMN($A$1),FALSE))</f>
        <v>5.7525340094491173E-2</v>
      </c>
      <c r="AS248" s="82">
        <f>IF(VLOOKUP($A248,raw_lb[],COLUMN(AS$1),FALSE)=0, VLOOKUP($D248, regions_lb[], COLUMN(AS$1), FALSE), VLOOKUP($A248,raw_lb[],COLUMN(AS$1),FALSE))</f>
        <v>8.0334510025091593E-2</v>
      </c>
      <c r="AT248" s="82">
        <f>IF(VLOOKUP($A248,raw_lb[],COLUMN(AT$1),FALSE)=0, VLOOKUP($D248, regions_lb[], COLUMN(AT$1), FALSE), VLOOKUP($A248,raw_lb[],COLUMN(AT$1),FALSE))</f>
        <v>0.10712307071286463</v>
      </c>
      <c r="AU248" s="82">
        <f>IF(VLOOKUP($A248,raw_lb[],COLUMN(AU$1),FALSE)=0, VLOOKUP($D248, regions_lb[], COLUMN(AU$1), FALSE), VLOOKUP($A248,raw_lb[],COLUMN(AU$1),FALSE))</f>
        <v>0.13161578041580091</v>
      </c>
      <c r="AV248" s="82">
        <f>IF(VLOOKUP($A248,raw_lb[],COLUMN(AV$1),FALSE)=0, VLOOKUP($D248, regions_lb[], COLUMN(AV$1), FALSE), VLOOKUP($A248,raw_lb[],COLUMN(AV$1),FALSE))</f>
        <v>0.15301720214699877</v>
      </c>
      <c r="AW248" s="82">
        <f>IF(VLOOKUP($A248,raw_lb[],COLUMN(AW$1),FALSE)=0, VLOOKUP($D248, regions_lb[], COLUMN(AW$1), FALSE), VLOOKUP($A248,raw_lb[],COLUMN(AW$1),FALSE))</f>
        <v>0.16959316837589275</v>
      </c>
      <c r="AX248" s="82">
        <f>IF(VLOOKUP($A248,raw_lb[],COLUMN(AX$1),FALSE)=0, VLOOKUP($D248, regions_lb[], COLUMN(AX$1), FALSE), VLOOKUP($A248,raw_lb[],COLUMN(AX$1),FALSE))</f>
        <v>51.362699999999997</v>
      </c>
      <c r="AY248" t="str">
        <f t="shared" si="8"/>
        <v>Yes</v>
      </c>
    </row>
    <row r="249" spans="1:51" x14ac:dyDescent="0.25">
      <c r="A249" s="55" t="s">
        <v>442</v>
      </c>
      <c r="B249" s="56" t="s">
        <v>443</v>
      </c>
      <c r="C249" s="56">
        <v>90</v>
      </c>
      <c r="D249" s="56" t="s">
        <v>260</v>
      </c>
      <c r="E249" s="56" t="s">
        <v>309</v>
      </c>
      <c r="F249" s="56" t="s">
        <v>262</v>
      </c>
      <c r="G249" s="56" t="s">
        <v>212</v>
      </c>
      <c r="H249" s="74"/>
      <c r="I249" s="74"/>
      <c r="J249" s="67">
        <f>IF(VLOOKUP($A249,raw_lb[],COLUMN(J$1),FALSE)=0, VLOOKUP($D249, regions_lb[], COLUMN(J$1), FALSE), VLOOKUP($A249,raw_lb[],COLUMN(J$1),FALSE))</f>
        <v>0.80274999999999996</v>
      </c>
      <c r="K249" s="77">
        <f>VLOOKUP($A249, raw_lb[], 11, FALSE)</f>
        <v>0.66499999999999992</v>
      </c>
      <c r="L249" s="77">
        <f>VLOOKUP($A249, raw_lb[], 12, FALSE)</f>
        <v>0.8929999999999999</v>
      </c>
      <c r="M249" s="77">
        <f>IF(VLOOKUP($A249,raw_lb[],COLUMN(M$1),FALSE)=0, VLOOKUP($D249, regions_lb[], COLUMN(M$1), FALSE), VLOOKUP($A249,raw_lb[],COLUMN(M$1),FALSE))</f>
        <v>7.8299999999999995E-2</v>
      </c>
      <c r="N249" s="68">
        <f>IF(VLOOKUP($A249,raw_lb[],COLUMN(N$1),FALSE)=0, VLOOKUP($D249, regions_lb[], COLUMN(N$1), FALSE), VLOOKUP($A249,raw_lb[],COLUMN(N$1),FALSE))</f>
        <v>0.1832</v>
      </c>
      <c r="O249" s="67">
        <f>IF(VLOOKUP($A249,raw_lb[],COLUMN(O$1),FALSE)=0, VLOOKUP($D249, regions_lb[], COLUMN(O$1), FALSE), VLOOKUP($A249,raw_lb[],COLUMN(O$1),FALSE))</f>
        <v>0.7</v>
      </c>
      <c r="P249" s="68">
        <f>IF(VLOOKUP($A249,raw_lb[],COLUMN(P$1),FALSE)=0, VLOOKUP($D249, regions_lb[], COLUMN(P$1), FALSE), VLOOKUP($A249,raw_lb[],COLUMN(P$1),FALSE))</f>
        <v>0.05</v>
      </c>
      <c r="Q249" s="70">
        <f>IF(VLOOKUP($A249,raw_lb[],COLUMN(Q$1),FALSE)=0, VLOOKUP($D249, regions_lb[], COLUMN(Q$1), FALSE), VLOOKUP($A249,raw_lb[],COLUMN(Q$1),FALSE))</f>
        <v>1.246301831362076</v>
      </c>
      <c r="R249" s="70">
        <f>IF(VLOOKUP($A249,raw_lb[],COLUMN(R$1),FALSE)=0, VLOOKUP($D249, regions_lb[], COLUMN(R$1), FALSE), VLOOKUP($A249,raw_lb[],COLUMN(R$1),FALSE))</f>
        <v>8.307201831362077</v>
      </c>
      <c r="S249" s="70">
        <f>IF(VLOOKUP($A249,raw_lb[],COLUMN(S$1),FALSE)=0, VLOOKUP($D249, regions_lb[], COLUMN(S$1), FALSE), VLOOKUP($A249,raw_lb[],COLUMN(S$1),FALSE))</f>
        <v>40.512073288903139</v>
      </c>
      <c r="T249" s="70">
        <f>IF(VLOOKUP($A249,raw_lb[],COLUMN(U$1)-COLUMN($A$1),FALSE)=0, VLOOKUP($D249, regions_lb[], COLUMN(U$1)-COLUMN($A$1), FALSE), VLOOKUP($A249,raw_lb[],COLUMN(U$1)-COLUMN($A$1),FALSE))</f>
        <v>42.065594557870774</v>
      </c>
      <c r="U249" s="70">
        <f>IF(VLOOKUP($A249,raw_lb[],COLUMN(V$1)-COLUMN($A$1),FALSE)=0, VLOOKUP($D249, regions_lb[], COLUMN(V$1)-COLUMN($A$1), FALSE), VLOOKUP($A249,raw_lb[],COLUMN(V$1)-COLUMN($A$1),FALSE))</f>
        <v>41.35225042841715</v>
      </c>
      <c r="V249" s="70">
        <f>IF(VLOOKUP($A249,raw_lb[],COLUMN(W$1)-COLUMN($A$1),FALSE)=0, VLOOKUP($D249, regions_lb[], COLUMN(W$1)-COLUMN($A$1), FALSE), VLOOKUP($A249,raw_lb[],COLUMN(W$1)-COLUMN($A$1),FALSE))</f>
        <v>2.2428881860910699</v>
      </c>
      <c r="W249" s="70">
        <f>IF(VLOOKUP($A249,raw_lb[],COLUMN(X$1)-COLUMN($A$1),FALSE)=0, VLOOKUP($D249, regions_lb[], COLUMN(X$1)-COLUMN($A$1), FALSE), VLOOKUP($A249,raw_lb[],COLUMN(X$1)-COLUMN($A$1),FALSE))</f>
        <v>2.8413881860910699</v>
      </c>
      <c r="X249" s="70">
        <f>IF(VLOOKUP($A249,raw_lb[],COLUMN(Y$1)-COLUMN($A$1),FALSE)=0, VLOOKUP($D249, regions_lb[], COLUMN(Y$1)-COLUMN($A$1), FALSE), VLOOKUP($A249,raw_lb[],COLUMN(Y$1)-COLUMN($A$1),FALSE))</f>
        <v>1.7697482009686032</v>
      </c>
      <c r="Y249" s="70">
        <f>IF(VLOOKUP($A249,raw_lb[],COLUMN(Z$1)-COLUMN($A$1),FALSE)=0, VLOOKUP($D249, regions_lb[], COLUMN(Z$1)-COLUMN($A$1), FALSE), VLOOKUP($A249,raw_lb[],COLUMN(Z$1)-COLUMN($A$1),FALSE))</f>
        <v>2.368248200968603</v>
      </c>
      <c r="Z249" s="70">
        <f>IF(VLOOKUP($A249,raw_lb[],COLUMN(AA$1)-COLUMN($A$1),FALSE)=0, VLOOKUP($D249, regions_lb[], COLUMN(AA$1)-COLUMN($A$1), FALSE), VLOOKUP($A249,raw_lb[],COLUMN(AA$1)-COLUMN($A$1),FALSE))</f>
        <v>2.3649937799330751</v>
      </c>
      <c r="AA249" s="70">
        <f>IF(VLOOKUP($A249,raw_lb[],COLUMN(AB$1)-COLUMN($A$1),FALSE)=0, VLOOKUP($D249, regions_lb[], COLUMN(AB$1)-COLUMN($A$1), FALSE), VLOOKUP($A249,raw_lb[],COLUMN(AB$1)-COLUMN($A$1),FALSE))</f>
        <v>2.3936840290721419</v>
      </c>
      <c r="AB249" s="70">
        <f>IF(VLOOKUP($A249,raw_lb[],COLUMN(AC$1)-COLUMN($A$1),FALSE)=0, VLOOKUP($D249, regions_lb[], COLUMN(AC$1)-COLUMN($A$1), FALSE), VLOOKUP($A249,raw_lb[],COLUMN(AC$1)-COLUMN($A$1),FALSE))</f>
        <v>2.992184029072142</v>
      </c>
      <c r="AC249" s="72">
        <f>IF(VLOOKUP($A249,raw_lb[],COLUMN(AD$1)-COLUMN($A$1),FALSE)=0, VLOOKUP($D249, regions_lb[], COLUMN(AD$1)-COLUMN($A$1), FALSE), VLOOKUP($A249,raw_lb[],COLUMN(AD$1)-COLUMN($A$1),FALSE))</f>
        <v>1.4683589500000031E-2</v>
      </c>
      <c r="AD249" s="72">
        <f>IF(VLOOKUP($A249,raw_lb[],COLUMN(AE$1)-COLUMN($A$1),FALSE)=0, VLOOKUP($D249, regions_lb[], COLUMN(AE$1)-COLUMN($A$1), FALSE), VLOOKUP($A249,raw_lb[],COLUMN(AE$1)-COLUMN($A$1),FALSE))</f>
        <v>1.1258062987338127E-3</v>
      </c>
      <c r="AE249" s="72">
        <f>IF(VLOOKUP($A249,raw_lb[],COLUMN(AF$1)-COLUMN($A$1),FALSE)=0, VLOOKUP($D249, regions_lb[], COLUMN(AF$1)-COLUMN($A$1), FALSE), VLOOKUP($A249,raw_lb[],COLUMN(AF$1)-COLUMN($A$1),FALSE))</f>
        <v>4.12840547210927E-4</v>
      </c>
      <c r="AF249" s="72">
        <f>IF(VLOOKUP($A249,raw_lb[],COLUMN(AG$1)-COLUMN($A$1),FALSE)=0, VLOOKUP($D249, regions_lb[], COLUMN(AG$1)-COLUMN($A$1), FALSE), VLOOKUP($A249,raw_lb[],COLUMN(AG$1)-COLUMN($A$1),FALSE))</f>
        <v>3.8020695527219968E-4</v>
      </c>
      <c r="AG249" s="72">
        <f>IF(VLOOKUP($A249,raw_lb[],COLUMN(AH$1)-COLUMN($A$1),FALSE)=0, VLOOKUP($D249, regions_lb[], COLUMN(AH$1)-COLUMN($A$1), FALSE), VLOOKUP($A249,raw_lb[],COLUMN(AH$1)-COLUMN($A$1),FALSE))</f>
        <v>8.3445199849877655E-4</v>
      </c>
      <c r="AH249" s="72">
        <f>IF(VLOOKUP($A249,raw_lb[],COLUMN(AI$1)-COLUMN($A$1),FALSE)=0, VLOOKUP($D249, regions_lb[], COLUMN(AI$1)-COLUMN($A$1), FALSE), VLOOKUP($A249,raw_lb[],COLUMN(AI$1)-COLUMN($A$1),FALSE))</f>
        <v>1.0937191795977778E-3</v>
      </c>
      <c r="AI249" s="72">
        <f>IF(VLOOKUP($A249,raw_lb[],COLUMN(AJ$1)-COLUMN($A$1),FALSE)=0, VLOOKUP($D249, regions_lb[], COLUMN(AJ$1)-COLUMN($A$1), FALSE), VLOOKUP($A249,raw_lb[],COLUMN(AJ$1)-COLUMN($A$1),FALSE))</f>
        <v>1.1538798804057791E-3</v>
      </c>
      <c r="AJ249" s="72">
        <f>IF(VLOOKUP($A249,raw_lb[],COLUMN(AK$1)-COLUMN($A$1),FALSE)=0, VLOOKUP($D249, regions_lb[], COLUMN(AK$1)-COLUMN($A$1), FALSE), VLOOKUP($A249,raw_lb[],COLUMN(AK$1)-COLUMN($A$1),FALSE))</f>
        <v>1.3713489312783555E-3</v>
      </c>
      <c r="AK249" s="72">
        <f>IF(VLOOKUP($A249,raw_lb[],COLUMN(AL$1)-COLUMN($A$1),FALSE)=0, VLOOKUP($D249, regions_lb[], COLUMN(AL$1)-COLUMN($A$1), FALSE), VLOOKUP($A249,raw_lb[],COLUMN(AL$1)-COLUMN($A$1),FALSE))</f>
        <v>1.8467632728515356E-3</v>
      </c>
      <c r="AL249" s="72">
        <f>IF(VLOOKUP($A249,raw_lb[],COLUMN(AM$1)-COLUMN($A$1),FALSE)=0, VLOOKUP($D249, regions_lb[], COLUMN(AM$1)-COLUMN($A$1), FALSE), VLOOKUP($A249,raw_lb[],COLUMN(AM$1)-COLUMN($A$1),FALSE))</f>
        <v>2.65993147666122E-3</v>
      </c>
      <c r="AM249" s="72">
        <f>IF(VLOOKUP($A249,raw_lb[],COLUMN(AN$1)-COLUMN($A$1),FALSE)=0, VLOOKUP($D249, regions_lb[], COLUMN(AN$1)-COLUMN($A$1), FALSE), VLOOKUP($A249,raw_lb[],COLUMN(AN$1)-COLUMN($A$1),FALSE))</f>
        <v>4.098586930484263E-3</v>
      </c>
      <c r="AN249" s="72">
        <f>IF(VLOOKUP($A249,raw_lb[],COLUMN(AO$1)-COLUMN($A$1),FALSE)=0, VLOOKUP($D249, regions_lb[], COLUMN(AO$1)-COLUMN($A$1), FALSE), VLOOKUP($A249,raw_lb[],COLUMN(AO$1)-COLUMN($A$1),FALSE))</f>
        <v>6.3713836341642138E-3</v>
      </c>
      <c r="AO249" s="72">
        <f>IF(VLOOKUP($A249,raw_lb[],COLUMN(AP$1)-COLUMN($A$1),FALSE)=0, VLOOKUP($D249, regions_lb[], COLUMN(AP$1)-COLUMN($A$1), FALSE), VLOOKUP($A249,raw_lb[],COLUMN(AP$1)-COLUMN($A$1),FALSE))</f>
        <v>9.9450535883332282E-3</v>
      </c>
      <c r="AP249" s="72">
        <f>IF(VLOOKUP($A249,raw_lb[],COLUMN(AQ$1)-COLUMN($A$1),FALSE)=0, VLOOKUP($D249, regions_lb[], COLUMN(AQ$1)-COLUMN($A$1), FALSE), VLOOKUP($A249,raw_lb[],COLUMN(AQ$1)-COLUMN($A$1),FALSE))</f>
        <v>1.4817790395592147E-2</v>
      </c>
      <c r="AQ249" s="72">
        <f>IF(VLOOKUP($A249,raw_lb[],COLUMN(AR$1)-COLUMN($A$1),FALSE)=0, VLOOKUP($D249, regions_lb[], COLUMN(AR$1)-COLUMN($A$1), FALSE), VLOOKUP($A249,raw_lb[],COLUMN(AR$1)-COLUMN($A$1),FALSE))</f>
        <v>2.1849274250210899E-2</v>
      </c>
      <c r="AR249" s="72">
        <f>IF(VLOOKUP($A249,raw_lb[],COLUMN(AS$1)-COLUMN($A$1),FALSE)=0, VLOOKUP($D249, regions_lb[], COLUMN(AS$1)-COLUMN($A$1), FALSE), VLOOKUP($A249,raw_lb[],COLUMN(AS$1)-COLUMN($A$1),FALSE))</f>
        <v>3.347467430050096E-2</v>
      </c>
      <c r="AS249" s="82">
        <f>IF(VLOOKUP($A249,raw_lb[],COLUMN(AS$1),FALSE)=0, VLOOKUP($D249, regions_lb[], COLUMN(AS$1), FALSE), VLOOKUP($A249,raw_lb[],COLUMN(AS$1),FALSE))</f>
        <v>5.292550992805261E-2</v>
      </c>
      <c r="AT249" s="82">
        <f>IF(VLOOKUP($A249,raw_lb[],COLUMN(AT$1),FALSE)=0, VLOOKUP($D249, regions_lb[], COLUMN(AT$1), FALSE), VLOOKUP($A249,raw_lb[],COLUMN(AT$1),FALSE))</f>
        <v>7.9132952943306009E-2</v>
      </c>
      <c r="AU249" s="82">
        <f>IF(VLOOKUP($A249,raw_lb[],COLUMN(AU$1),FALSE)=0, VLOOKUP($D249, regions_lb[], COLUMN(AU$1), FALSE), VLOOKUP($A249,raw_lb[],COLUMN(AU$1),FALSE))</f>
        <v>0.11064353029127313</v>
      </c>
      <c r="AV249" s="82">
        <f>IF(VLOOKUP($A249,raw_lb[],COLUMN(AV$1),FALSE)=0, VLOOKUP($D249, regions_lb[], COLUMN(AV$1), FALSE), VLOOKUP($A249,raw_lb[],COLUMN(AV$1),FALSE))</f>
        <v>0.13961609617554133</v>
      </c>
      <c r="AW249" s="82">
        <f>IF(VLOOKUP($A249,raw_lb[],COLUMN(AW$1),FALSE)=0, VLOOKUP($D249, regions_lb[], COLUMN(AW$1), FALSE), VLOOKUP($A249,raw_lb[],COLUMN(AW$1),FALSE))</f>
        <v>0.16169968345910765</v>
      </c>
      <c r="AX249" s="82">
        <f>IF(VLOOKUP($A249,raw_lb[],COLUMN(AX$1),FALSE)=0, VLOOKUP($D249, regions_lb[], COLUMN(AX$1), FALSE), VLOOKUP($A249,raw_lb[],COLUMN(AX$1),FALSE))</f>
        <v>69.134349999999998</v>
      </c>
      <c r="AY249" t="str">
        <f t="shared" si="8"/>
        <v>No</v>
      </c>
    </row>
    <row r="250" spans="1:51" x14ac:dyDescent="0.25">
      <c r="A250" s="53" t="s">
        <v>444</v>
      </c>
      <c r="B250" s="54" t="s">
        <v>445</v>
      </c>
      <c r="C250" s="54">
        <v>706</v>
      </c>
      <c r="D250" s="54" t="s">
        <v>196</v>
      </c>
      <c r="E250" s="54" t="s">
        <v>255</v>
      </c>
      <c r="F250" s="54" t="s">
        <v>211</v>
      </c>
      <c r="G250" s="54" t="s">
        <v>198</v>
      </c>
      <c r="H250" s="73"/>
      <c r="I250" s="73"/>
      <c r="J250" s="67">
        <f>IF(VLOOKUP($A250,raw_lb[],COLUMN(J$1),FALSE)=0, VLOOKUP($D250, regions_lb[], COLUMN(J$1), FALSE), VLOOKUP($A250,raw_lb[],COLUMN(J$1),FALSE))</f>
        <v>0.19664999999999999</v>
      </c>
      <c r="K250" s="77">
        <f>VLOOKUP($A250, raw_lb[], 11, FALSE)</f>
        <v>0</v>
      </c>
      <c r="L250" s="77">
        <f>VLOOKUP($A250, raw_lb[], 12, FALSE)</f>
        <v>0.39899999999999997</v>
      </c>
      <c r="M250" s="77">
        <f>IF(VLOOKUP($A250,raw_lb[],COLUMN(M$1),FALSE)=0, VLOOKUP($D250, regions_lb[], COLUMN(M$1), FALSE), VLOOKUP($A250,raw_lb[],COLUMN(M$1),FALSE))</f>
        <v>0.11710000000000001</v>
      </c>
      <c r="N250" s="68">
        <f>IF(VLOOKUP($A250,raw_lb[],COLUMN(N$1),FALSE)=0, VLOOKUP($D250, regions_lb[], COLUMN(N$1), FALSE), VLOOKUP($A250,raw_lb[],COLUMN(N$1),FALSE))</f>
        <v>0.15560000000000002</v>
      </c>
      <c r="O250" s="67">
        <f>IF(VLOOKUP($A250,raw_lb[],COLUMN(O$1),FALSE)=0, VLOOKUP($D250, regions_lb[], COLUMN(O$1), FALSE), VLOOKUP($A250,raw_lb[],COLUMN(O$1),FALSE))</f>
        <v>7.0000000000000007E-2</v>
      </c>
      <c r="P250" s="68">
        <f>IF(VLOOKUP($A250,raw_lb[],COLUMN(P$1),FALSE)=0, VLOOKUP($D250, regions_lb[], COLUMN(P$1), FALSE), VLOOKUP($A250,raw_lb[],COLUMN(P$1),FALSE))</f>
        <v>1E-3</v>
      </c>
      <c r="Q250" s="70">
        <f>IF(VLOOKUP($A250,raw_lb[],COLUMN(Q$1),FALSE)=0, VLOOKUP($D250, regions_lb[], COLUMN(Q$1), FALSE), VLOOKUP($A250,raw_lb[],COLUMN(Q$1),FALSE))</f>
        <v>1.3020815871657816</v>
      </c>
      <c r="R250" s="70">
        <f>IF(VLOOKUP($A250,raw_lb[],COLUMN(R$1),FALSE)=0, VLOOKUP($D250, regions_lb[], COLUMN(R$1), FALSE), VLOOKUP($A250,raw_lb[],COLUMN(R$1),FALSE))</f>
        <v>8.362981587165784</v>
      </c>
      <c r="S250" s="70">
        <f>IF(VLOOKUP($A250,raw_lb[],COLUMN(S$1),FALSE)=0, VLOOKUP($D250, regions_lb[], COLUMN(S$1), FALSE), VLOOKUP($A250,raw_lb[],COLUMN(S$1),FALSE))</f>
        <v>43.296947842982554</v>
      </c>
      <c r="T250" s="70">
        <f>IF(VLOOKUP($A250,raw_lb[],COLUMN(U$1)-COLUMN($A$1),FALSE)=0, VLOOKUP($D250, regions_lb[], COLUMN(U$1)-COLUMN($A$1), FALSE), VLOOKUP($A250,raw_lb[],COLUMN(U$1)-COLUMN($A$1),FALSE))</f>
        <v>46.258018491038726</v>
      </c>
      <c r="U250" s="70">
        <f>IF(VLOOKUP($A250,raw_lb[],COLUMN(V$1)-COLUMN($A$1),FALSE)=0, VLOOKUP($D250, regions_lb[], COLUMN(V$1)-COLUMN($A$1), FALSE), VLOOKUP($A250,raw_lb[],COLUMN(V$1)-COLUMN($A$1),FALSE))</f>
        <v>44.905306491715322</v>
      </c>
      <c r="V250" s="70">
        <f>IF(VLOOKUP($A250,raw_lb[],COLUMN(W$1)-COLUMN($A$1),FALSE)=0, VLOOKUP($D250, regions_lb[], COLUMN(W$1)-COLUMN($A$1), FALSE), VLOOKUP($A250,raw_lb[],COLUMN(W$1)-COLUMN($A$1),FALSE))</f>
        <v>0.54281962360975722</v>
      </c>
      <c r="W250" s="70">
        <f>IF(VLOOKUP($A250,raw_lb[],COLUMN(X$1)-COLUMN($A$1),FALSE)=0, VLOOKUP($D250, regions_lb[], COLUMN(X$1)-COLUMN($A$1), FALSE), VLOOKUP($A250,raw_lb[],COLUMN(X$1)-COLUMN($A$1),FALSE))</f>
        <v>5.1313196236097571</v>
      </c>
      <c r="X250" s="70">
        <f>IF(VLOOKUP($A250,raw_lb[],COLUMN(Y$1)-COLUMN($A$1),FALSE)=0, VLOOKUP($D250, regions_lb[], COLUMN(Y$1)-COLUMN($A$1), FALSE), VLOOKUP($A250,raw_lb[],COLUMN(Y$1)-COLUMN($A$1),FALSE))</f>
        <v>7.3749752450184003E-2</v>
      </c>
      <c r="Y250" s="70">
        <f>IF(VLOOKUP($A250,raw_lb[],COLUMN(Z$1)-COLUMN($A$1),FALSE)=0, VLOOKUP($D250, regions_lb[], COLUMN(Z$1)-COLUMN($A$1), FALSE), VLOOKUP($A250,raw_lb[],COLUMN(Z$1)-COLUMN($A$1),FALSE))</f>
        <v>4.662249752450184</v>
      </c>
      <c r="Z250" s="70">
        <f>IF(VLOOKUP($A250,raw_lb[],COLUMN(AA$1)-COLUMN($A$1),FALSE)=0, VLOOKUP($D250, regions_lb[], COLUMN(AA$1)-COLUMN($A$1), FALSE), VLOOKUP($A250,raw_lb[],COLUMN(AA$1)-COLUMN($A$1),FALSE))</f>
        <v>4.6615380860844304</v>
      </c>
      <c r="AA250" s="70">
        <f>IF(VLOOKUP($A250,raw_lb[],COLUMN(AB$1)-COLUMN($A$1),FALSE)=0, VLOOKUP($D250, regions_lb[], COLUMN(AB$1)-COLUMN($A$1), FALSE), VLOOKUP($A250,raw_lb[],COLUMN(AB$1)-COLUMN($A$1),FALSE))</f>
        <v>0.68105625779104362</v>
      </c>
      <c r="AB250" s="70">
        <f>IF(VLOOKUP($A250,raw_lb[],COLUMN(AC$1)-COLUMN($A$1),FALSE)=0, VLOOKUP($D250, regions_lb[], COLUMN(AC$1)-COLUMN($A$1), FALSE), VLOOKUP($A250,raw_lb[],COLUMN(AC$1)-COLUMN($A$1),FALSE))</f>
        <v>5.2695562577910433</v>
      </c>
      <c r="AC250" s="72">
        <f>IF(VLOOKUP($A250,raw_lb[],COLUMN(AD$1)-COLUMN($A$1),FALSE)=0, VLOOKUP($D250, regions_lb[], COLUMN(AD$1)-COLUMN($A$1), FALSE), VLOOKUP($A250,raw_lb[],COLUMN(AD$1)-COLUMN($A$1),FALSE))</f>
        <v>6.5857514999999964E-2</v>
      </c>
      <c r="AD250" s="72">
        <f>IF(VLOOKUP($A250,raw_lb[],COLUMN(AE$1)-COLUMN($A$1),FALSE)=0, VLOOKUP($D250, regions_lb[], COLUMN(AE$1)-COLUMN($A$1), FALSE), VLOOKUP($A250,raw_lb[],COLUMN(AE$1)-COLUMN($A$1),FALSE))</f>
        <v>1.1677759227348998E-2</v>
      </c>
      <c r="AE250" s="72">
        <f>IF(VLOOKUP($A250,raw_lb[],COLUMN(AF$1)-COLUMN($A$1),FALSE)=0, VLOOKUP($D250, regions_lb[], COLUMN(AF$1)-COLUMN($A$1), FALSE), VLOOKUP($A250,raw_lb[],COLUMN(AF$1)-COLUMN($A$1),FALSE))</f>
        <v>3.8513783351493153E-3</v>
      </c>
      <c r="AF250" s="72">
        <f>IF(VLOOKUP($A250,raw_lb[],COLUMN(AG$1)-COLUMN($A$1),FALSE)=0, VLOOKUP($D250, regions_lb[], COLUMN(AG$1)-COLUMN($A$1), FALSE), VLOOKUP($A250,raw_lb[],COLUMN(AG$1)-COLUMN($A$1),FALSE))</f>
        <v>2.7676980886938434E-3</v>
      </c>
      <c r="AG250" s="72">
        <f>IF(VLOOKUP($A250,raw_lb[],COLUMN(AH$1)-COLUMN($A$1),FALSE)=0, VLOOKUP($D250, regions_lb[], COLUMN(AH$1)-COLUMN($A$1), FALSE), VLOOKUP($A250,raw_lb[],COLUMN(AH$1)-COLUMN($A$1),FALSE))</f>
        <v>2.942808432734991E-3</v>
      </c>
      <c r="AH250" s="72">
        <f>IF(VLOOKUP($A250,raw_lb[],COLUMN(AI$1)-COLUMN($A$1),FALSE)=0, VLOOKUP($D250, regions_lb[], COLUMN(AI$1)-COLUMN($A$1), FALSE), VLOOKUP($A250,raw_lb[],COLUMN(AI$1)-COLUMN($A$1),FALSE))</f>
        <v>3.8709922255325269E-3</v>
      </c>
      <c r="AI250" s="72">
        <f>IF(VLOOKUP($A250,raw_lb[],COLUMN(AJ$1)-COLUMN($A$1),FALSE)=0, VLOOKUP($D250, regions_lb[], COLUMN(AJ$1)-COLUMN($A$1), FALSE), VLOOKUP($A250,raw_lb[],COLUMN(AJ$1)-COLUMN($A$1),FALSE))</f>
        <v>4.6810245395295033E-3</v>
      </c>
      <c r="AJ250" s="72">
        <f>IF(VLOOKUP($A250,raw_lb[],COLUMN(AK$1)-COLUMN($A$1),FALSE)=0, VLOOKUP($D250, regions_lb[], COLUMN(AK$1)-COLUMN($A$1), FALSE), VLOOKUP($A250,raw_lb[],COLUMN(AK$1)-COLUMN($A$1),FALSE))</f>
        <v>5.5125376709713701E-3</v>
      </c>
      <c r="AK250" s="72">
        <f>IF(VLOOKUP($A250,raw_lb[],COLUMN(AL$1)-COLUMN($A$1),FALSE)=0, VLOOKUP($D250, regions_lb[], COLUMN(AL$1)-COLUMN($A$1), FALSE), VLOOKUP($A250,raw_lb[],COLUMN(AL$1)-COLUMN($A$1),FALSE))</f>
        <v>6.7818911778017238E-3</v>
      </c>
      <c r="AL250" s="72">
        <f>IF(VLOOKUP($A250,raw_lb[],COLUMN(AM$1)-COLUMN($A$1),FALSE)=0, VLOOKUP($D250, regions_lb[], COLUMN(AM$1)-COLUMN($A$1), FALSE), VLOOKUP($A250,raw_lb[],COLUMN(AM$1)-COLUMN($A$1),FALSE))</f>
        <v>7.6960582100869066E-3</v>
      </c>
      <c r="AM250" s="72">
        <f>IF(VLOOKUP($A250,raw_lb[],COLUMN(AN$1)-COLUMN($A$1),FALSE)=0, VLOOKUP($D250, regions_lb[], COLUMN(AN$1)-COLUMN($A$1), FALSE), VLOOKUP($A250,raw_lb[],COLUMN(AN$1)-COLUMN($A$1),FALSE))</f>
        <v>8.86515447684867E-3</v>
      </c>
      <c r="AN250" s="72">
        <f>IF(VLOOKUP($A250,raw_lb[],COLUMN(AO$1)-COLUMN($A$1),FALSE)=0, VLOOKUP($D250, regions_lb[], COLUMN(AO$1)-COLUMN($A$1), FALSE), VLOOKUP($A250,raw_lb[],COLUMN(AO$1)-COLUMN($A$1),FALSE))</f>
        <v>1.1012151722422462E-2</v>
      </c>
      <c r="AO250" s="72">
        <f>IF(VLOOKUP($A250,raw_lb[],COLUMN(AP$1)-COLUMN($A$1),FALSE)=0, VLOOKUP($D250, regions_lb[], COLUMN(AP$1)-COLUMN($A$1), FALSE), VLOOKUP($A250,raw_lb[],COLUMN(AP$1)-COLUMN($A$1),FALSE))</f>
        <v>1.4752872439837198E-2</v>
      </c>
      <c r="AP250" s="72">
        <f>IF(VLOOKUP($A250,raw_lb[],COLUMN(AQ$1)-COLUMN($A$1),FALSE)=0, VLOOKUP($D250, regions_lb[], COLUMN(AQ$1)-COLUMN($A$1), FALSE), VLOOKUP($A250,raw_lb[],COLUMN(AQ$1)-COLUMN($A$1),FALSE))</f>
        <v>2.1293955313521181E-2</v>
      </c>
      <c r="AQ250" s="72">
        <f>IF(VLOOKUP($A250,raw_lb[],COLUMN(AR$1)-COLUMN($A$1),FALSE)=0, VLOOKUP($D250, regions_lb[], COLUMN(AR$1)-COLUMN($A$1), FALSE), VLOOKUP($A250,raw_lb[],COLUMN(AR$1)-COLUMN($A$1),FALSE))</f>
        <v>3.1877972823743939E-2</v>
      </c>
      <c r="AR250" s="72">
        <f>IF(VLOOKUP($A250,raw_lb[],COLUMN(AS$1)-COLUMN($A$1),FALSE)=0, VLOOKUP($D250, regions_lb[], COLUMN(AS$1)-COLUMN($A$1), FALSE), VLOOKUP($A250,raw_lb[],COLUMN(AS$1)-COLUMN($A$1),FALSE))</f>
        <v>4.7904636138655983E-2</v>
      </c>
      <c r="AS250" s="82">
        <f>IF(VLOOKUP($A250,raw_lb[],COLUMN(AS$1),FALSE)=0, VLOOKUP($D250, regions_lb[], COLUMN(AS$1), FALSE), VLOOKUP($A250,raw_lb[],COLUMN(AS$1),FALSE))</f>
        <v>7.002960184351141E-2</v>
      </c>
      <c r="AT250" s="82">
        <f>IF(VLOOKUP($A250,raw_lb[],COLUMN(AT$1),FALSE)=0, VLOOKUP($D250, regions_lb[], COLUMN(AT$1), FALSE), VLOOKUP($A250,raw_lb[],COLUMN(AT$1),FALSE))</f>
        <v>9.720363087784227E-2</v>
      </c>
      <c r="AU250" s="82">
        <f>IF(VLOOKUP($A250,raw_lb[],COLUMN(AU$1),FALSE)=0, VLOOKUP($D250, regions_lb[], COLUMN(AU$1), FALSE), VLOOKUP($A250,raw_lb[],COLUMN(AU$1),FALSE))</f>
        <v>0.12548940726041705</v>
      </c>
      <c r="AV250" s="82">
        <f>IF(VLOOKUP($A250,raw_lb[],COLUMN(AV$1),FALSE)=0, VLOOKUP($D250, regions_lb[], COLUMN(AV$1), FALSE), VLOOKUP($A250,raw_lb[],COLUMN(AV$1),FALSE))</f>
        <v>0.15012461204211114</v>
      </c>
      <c r="AW250" s="82">
        <f>IF(VLOOKUP($A250,raw_lb[],COLUMN(AW$1),FALSE)=0, VLOOKUP($D250, regions_lb[], COLUMN(AW$1), FALSE), VLOOKUP($A250,raw_lb[],COLUMN(AW$1),FALSE))</f>
        <v>0.16680832653356581</v>
      </c>
      <c r="AX250" s="82">
        <f>IF(VLOOKUP($A250,raw_lb[],COLUMN(AX$1),FALSE)=0, VLOOKUP($D250, regions_lb[], COLUMN(AX$1), FALSE), VLOOKUP($A250,raw_lb[],COLUMN(AX$1),FALSE))</f>
        <v>54.09395</v>
      </c>
      <c r="AY250" t="str">
        <f t="shared" si="8"/>
        <v>Yes</v>
      </c>
    </row>
    <row r="251" spans="1:51" x14ac:dyDescent="0.25">
      <c r="A251" s="55" t="s">
        <v>446</v>
      </c>
      <c r="B251" s="56" t="s">
        <v>447</v>
      </c>
      <c r="C251" s="56">
        <v>710</v>
      </c>
      <c r="D251" s="56" t="s">
        <v>207</v>
      </c>
      <c r="E251" s="56" t="s">
        <v>245</v>
      </c>
      <c r="F251" s="56" t="s">
        <v>211</v>
      </c>
      <c r="G251" s="56" t="s">
        <v>204</v>
      </c>
      <c r="H251" s="74"/>
      <c r="I251" s="74"/>
      <c r="J251" s="67">
        <f>IF(VLOOKUP($A251,raw_lb[],COLUMN(J$1),FALSE)=0, VLOOKUP($D251, regions_lb[], COLUMN(J$1), FALSE), VLOOKUP($A251,raw_lb[],COLUMN(J$1),FALSE))</f>
        <v>0.91105000000000003</v>
      </c>
      <c r="K251" s="77">
        <f>VLOOKUP($A251, raw_lb[], 11, FALSE)</f>
        <v>0</v>
      </c>
      <c r="L251" s="77">
        <f>VLOOKUP($A251, raw_lb[], 12, FALSE)</f>
        <v>0.79799999999999993</v>
      </c>
      <c r="M251" s="77">
        <f>IF(VLOOKUP($A251,raw_lb[],COLUMN(M$1),FALSE)=0, VLOOKUP($D251, regions_lb[], COLUMN(M$1), FALSE), VLOOKUP($A251,raw_lb[],COLUMN(M$1),FALSE))</f>
        <v>8.3000000000000004E-2</v>
      </c>
      <c r="N251" s="68">
        <f>IF(VLOOKUP($A251,raw_lb[],COLUMN(N$1),FALSE)=0, VLOOKUP($D251, regions_lb[], COLUMN(N$1), FALSE), VLOOKUP($A251,raw_lb[],COLUMN(N$1),FALSE))</f>
        <v>0.15109999999999998</v>
      </c>
      <c r="O251" s="67">
        <f>IF(VLOOKUP($A251,raw_lb[],COLUMN(O$1),FALSE)=0, VLOOKUP($D251, regions_lb[], COLUMN(O$1), FALSE), VLOOKUP($A251,raw_lb[],COLUMN(O$1),FALSE))</f>
        <v>7.0000000000000007E-2</v>
      </c>
      <c r="P251" s="68">
        <f>IF(VLOOKUP($A251,raw_lb[],COLUMN(P$1),FALSE)=0, VLOOKUP($D251, regions_lb[], COLUMN(P$1), FALSE), VLOOKUP($A251,raw_lb[],COLUMN(P$1),FALSE))</f>
        <v>1E-3</v>
      </c>
      <c r="Q251" s="70">
        <f>IF(VLOOKUP($A251,raw_lb[],COLUMN(Q$1),FALSE)=0, VLOOKUP($D251, regions_lb[], COLUMN(Q$1), FALSE), VLOOKUP($A251,raw_lb[],COLUMN(Q$1),FALSE))</f>
        <v>2.4506402390438198</v>
      </c>
      <c r="R251" s="70">
        <f>IF(VLOOKUP($A251,raw_lb[],COLUMN(R$1),FALSE)=0, VLOOKUP($D251, regions_lb[], COLUMN(R$1), FALSE), VLOOKUP($A251,raw_lb[],COLUMN(R$1),FALSE))</f>
        <v>9.5115402390438213</v>
      </c>
      <c r="S251" s="70">
        <f>IF(VLOOKUP($A251,raw_lb[],COLUMN(S$1),FALSE)=0, VLOOKUP($D251, regions_lb[], COLUMN(S$1), FALSE), VLOOKUP($A251,raw_lb[],COLUMN(S$1),FALSE))</f>
        <v>51.937698629714333</v>
      </c>
      <c r="T251" s="70">
        <f>IF(VLOOKUP($A251,raw_lb[],COLUMN(U$1)-COLUMN($A$1),FALSE)=0, VLOOKUP($D251, regions_lb[], COLUMN(U$1)-COLUMN($A$1), FALSE), VLOOKUP($A251,raw_lb[],COLUMN(U$1)-COLUMN($A$1),FALSE))</f>
        <v>58.811042501668908</v>
      </c>
      <c r="U251" s="70">
        <f>IF(VLOOKUP($A251,raw_lb[],COLUMN(V$1)-COLUMN($A$1),FALSE)=0, VLOOKUP($D251, regions_lb[], COLUMN(V$1)-COLUMN($A$1), FALSE), VLOOKUP($A251,raw_lb[],COLUMN(V$1)-COLUMN($A$1),FALSE))</f>
        <v>55.654948279648337</v>
      </c>
      <c r="V251" s="70">
        <f>IF(VLOOKUP($A251,raw_lb[],COLUMN(W$1)-COLUMN($A$1),FALSE)=0, VLOOKUP($D251, regions_lb[], COLUMN(W$1)-COLUMN($A$1), FALSE), VLOOKUP($A251,raw_lb[],COLUMN(W$1)-COLUMN($A$1),FALSE))</f>
        <v>0.93924714293708478</v>
      </c>
      <c r="W251" s="70">
        <f>IF(VLOOKUP($A251,raw_lb[],COLUMN(X$1)-COLUMN($A$1),FALSE)=0, VLOOKUP($D251, regions_lb[], COLUMN(X$1)-COLUMN($A$1), FALSE), VLOOKUP($A251,raw_lb[],COLUMN(X$1)-COLUMN($A$1),FALSE))</f>
        <v>5.5277471429370841</v>
      </c>
      <c r="X251" s="70">
        <f>IF(VLOOKUP($A251,raw_lb[],COLUMN(Y$1)-COLUMN($A$1),FALSE)=0, VLOOKUP($D251, regions_lb[], COLUMN(Y$1)-COLUMN($A$1), FALSE), VLOOKUP($A251,raw_lb[],COLUMN(Y$1)-COLUMN($A$1),FALSE))</f>
        <v>0.46395735205449429</v>
      </c>
      <c r="Y251" s="70">
        <f>IF(VLOOKUP($A251,raw_lb[],COLUMN(Z$1)-COLUMN($A$1),FALSE)=0, VLOOKUP($D251, regions_lb[], COLUMN(Z$1)-COLUMN($A$1), FALSE), VLOOKUP($A251,raw_lb[],COLUMN(Z$1)-COLUMN($A$1),FALSE))</f>
        <v>5.0524573520544944</v>
      </c>
      <c r="Z251" s="70">
        <f>IF(VLOOKUP($A251,raw_lb[],COLUMN(AA$1)-COLUMN($A$1),FALSE)=0, VLOOKUP($D251, regions_lb[], COLUMN(AA$1)-COLUMN($A$1), FALSE), VLOOKUP($A251,raw_lb[],COLUMN(AA$1)-COLUMN($A$1),FALSE))</f>
        <v>5.0476373240355512</v>
      </c>
      <c r="AA251" s="70">
        <f>IF(VLOOKUP($A251,raw_lb[],COLUMN(AB$1)-COLUMN($A$1),FALSE)=0, VLOOKUP($D251, regions_lb[], COLUMN(AB$1)-COLUMN($A$1), FALSE), VLOOKUP($A251,raw_lb[],COLUMN(AB$1)-COLUMN($A$1),FALSE))</f>
        <v>1.0966766722636814</v>
      </c>
      <c r="AB251" s="70">
        <f>IF(VLOOKUP($A251,raw_lb[],COLUMN(AC$1)-COLUMN($A$1),FALSE)=0, VLOOKUP($D251, regions_lb[], COLUMN(AC$1)-COLUMN($A$1), FALSE), VLOOKUP($A251,raw_lb[],COLUMN(AC$1)-COLUMN($A$1),FALSE))</f>
        <v>5.6851766722636814</v>
      </c>
      <c r="AC251" s="72">
        <f>IF(VLOOKUP($A251,raw_lb[],COLUMN(AD$1)-COLUMN($A$1),FALSE)=0, VLOOKUP($D251, regions_lb[], COLUMN(AD$1)-COLUMN($A$1), FALSE), VLOOKUP($A251,raw_lb[],COLUMN(AD$1)-COLUMN($A$1),FALSE))</f>
        <v>2.5881799999999944E-2</v>
      </c>
      <c r="AD251" s="72">
        <f>IF(VLOOKUP($A251,raw_lb[],COLUMN(AE$1)-COLUMN($A$1),FALSE)=0, VLOOKUP($D251, regions_lb[], COLUMN(AE$1)-COLUMN($A$1), FALSE), VLOOKUP($A251,raw_lb[],COLUMN(AE$1)-COLUMN($A$1),FALSE))</f>
        <v>2.0052225326803691E-3</v>
      </c>
      <c r="AE251" s="72">
        <f>IF(VLOOKUP($A251,raw_lb[],COLUMN(AF$1)-COLUMN($A$1),FALSE)=0, VLOOKUP($D251, regions_lb[], COLUMN(AF$1)-COLUMN($A$1), FALSE), VLOOKUP($A251,raw_lb[],COLUMN(AF$1)-COLUMN($A$1),FALSE))</f>
        <v>8.5670521390345813E-4</v>
      </c>
      <c r="AF251" s="72">
        <f>IF(VLOOKUP($A251,raw_lb[],COLUMN(AG$1)-COLUMN($A$1),FALSE)=0, VLOOKUP($D251, regions_lb[], COLUMN(AG$1)-COLUMN($A$1), FALSE), VLOOKUP($A251,raw_lb[],COLUMN(AG$1)-COLUMN($A$1),FALSE))</f>
        <v>7.1590802057603644E-4</v>
      </c>
      <c r="AG251" s="72">
        <f>IF(VLOOKUP($A251,raw_lb[],COLUMN(AH$1)-COLUMN($A$1),FALSE)=0, VLOOKUP($D251, regions_lb[], COLUMN(AH$1)-COLUMN($A$1), FALSE), VLOOKUP($A251,raw_lb[],COLUMN(AH$1)-COLUMN($A$1),FALSE))</f>
        <v>1.2177745262730978E-3</v>
      </c>
      <c r="AH251" s="72">
        <f>IF(VLOOKUP($A251,raw_lb[],COLUMN(AI$1)-COLUMN($A$1),FALSE)=0, VLOOKUP($D251, regions_lb[], COLUMN(AI$1)-COLUMN($A$1), FALSE), VLOOKUP($A251,raw_lb[],COLUMN(AI$1)-COLUMN($A$1),FALSE))</f>
        <v>2.1719848023595387E-3</v>
      </c>
      <c r="AI251" s="72">
        <f>IF(VLOOKUP($A251,raw_lb[],COLUMN(AJ$1)-COLUMN($A$1),FALSE)=0, VLOOKUP($D251, regions_lb[], COLUMN(AJ$1)-COLUMN($A$1), FALSE), VLOOKUP($A251,raw_lb[],COLUMN(AJ$1)-COLUMN($A$1),FALSE))</f>
        <v>3.6356052316572573E-3</v>
      </c>
      <c r="AJ251" s="72">
        <f>IF(VLOOKUP($A251,raw_lb[],COLUMN(AK$1)-COLUMN($A$1),FALSE)=0, VLOOKUP($D251, regions_lb[], COLUMN(AK$1)-COLUMN($A$1), FALSE), VLOOKUP($A251,raw_lb[],COLUMN(AK$1)-COLUMN($A$1),FALSE))</f>
        <v>5.3058746903188857E-3</v>
      </c>
      <c r="AK251" s="72">
        <f>IF(VLOOKUP($A251,raw_lb[],COLUMN(AL$1)-COLUMN($A$1),FALSE)=0, VLOOKUP($D251, regions_lb[], COLUMN(AL$1)-COLUMN($A$1), FALSE), VLOOKUP($A251,raw_lb[],COLUMN(AL$1)-COLUMN($A$1),FALSE))</f>
        <v>7.7149869264891867E-3</v>
      </c>
      <c r="AL251" s="72">
        <f>IF(VLOOKUP($A251,raw_lb[],COLUMN(AM$1)-COLUMN($A$1),FALSE)=0, VLOOKUP($D251, regions_lb[], COLUMN(AM$1)-COLUMN($A$1), FALSE), VLOOKUP($A251,raw_lb[],COLUMN(AM$1)-COLUMN($A$1),FALSE))</f>
        <v>9.2883469239605707E-3</v>
      </c>
      <c r="AM251" s="72">
        <f>IF(VLOOKUP($A251,raw_lb[],COLUMN(AN$1)-COLUMN($A$1),FALSE)=0, VLOOKUP($D251, regions_lb[], COLUMN(AN$1)-COLUMN($A$1), FALSE), VLOOKUP($A251,raw_lb[],COLUMN(AN$1)-COLUMN($A$1),FALSE))</f>
        <v>1.1132349249735041E-2</v>
      </c>
      <c r="AN251" s="72">
        <f>IF(VLOOKUP($A251,raw_lb[],COLUMN(AO$1)-COLUMN($A$1),FALSE)=0, VLOOKUP($D251, regions_lb[], COLUMN(AO$1)-COLUMN($A$1), FALSE), VLOOKUP($A251,raw_lb[],COLUMN(AO$1)-COLUMN($A$1),FALSE))</f>
        <v>1.3512203087708882E-2</v>
      </c>
      <c r="AO251" s="72">
        <f>IF(VLOOKUP($A251,raw_lb[],COLUMN(AP$1)-COLUMN($A$1),FALSE)=0, VLOOKUP($D251, regions_lb[], COLUMN(AP$1)-COLUMN($A$1), FALSE), VLOOKUP($A251,raw_lb[],COLUMN(AP$1)-COLUMN($A$1),FALSE))</f>
        <v>1.6456196217257062E-2</v>
      </c>
      <c r="AP251" s="72">
        <f>IF(VLOOKUP($A251,raw_lb[],COLUMN(AQ$1)-COLUMN($A$1),FALSE)=0, VLOOKUP($D251, regions_lb[], COLUMN(AQ$1)-COLUMN($A$1), FALSE), VLOOKUP($A251,raw_lb[],COLUMN(AQ$1)-COLUMN($A$1),FALSE))</f>
        <v>2.1792455848508953E-2</v>
      </c>
      <c r="AQ251" s="72">
        <f>IF(VLOOKUP($A251,raw_lb[],COLUMN(AR$1)-COLUMN($A$1),FALSE)=0, VLOOKUP($D251, regions_lb[], COLUMN(AR$1)-COLUMN($A$1), FALSE), VLOOKUP($A251,raw_lb[],COLUMN(AR$1)-COLUMN($A$1),FALSE))</f>
        <v>3.0643487379213699E-2</v>
      </c>
      <c r="AR251" s="72">
        <f>IF(VLOOKUP($A251,raw_lb[],COLUMN(AS$1)-COLUMN($A$1),FALSE)=0, VLOOKUP($D251, regions_lb[], COLUMN(AS$1)-COLUMN($A$1), FALSE), VLOOKUP($A251,raw_lb[],COLUMN(AS$1)-COLUMN($A$1),FALSE))</f>
        <v>4.4635844729056122E-2</v>
      </c>
      <c r="AS251" s="82">
        <f>IF(VLOOKUP($A251,raw_lb[],COLUMN(AS$1),FALSE)=0, VLOOKUP($D251, regions_lb[], COLUMN(AS$1), FALSE), VLOOKUP($A251,raw_lb[],COLUMN(AS$1),FALSE))</f>
        <v>6.5405880135713718E-2</v>
      </c>
      <c r="AT251" s="82">
        <f>IF(VLOOKUP($A251,raw_lb[],COLUMN(AT$1),FALSE)=0, VLOOKUP($D251, regions_lb[], COLUMN(AT$1), FALSE), VLOOKUP($A251,raw_lb[],COLUMN(AT$1),FALSE))</f>
        <v>9.7669693157544341E-2</v>
      </c>
      <c r="AU251" s="82">
        <f>IF(VLOOKUP($A251,raw_lb[],COLUMN(AU$1),FALSE)=0, VLOOKUP($D251, regions_lb[], COLUMN(AU$1), FALSE), VLOOKUP($A251,raw_lb[],COLUMN(AU$1),FALSE))</f>
        <v>0.1364858504266154</v>
      </c>
      <c r="AV251" s="82">
        <f>IF(VLOOKUP($A251,raw_lb[],COLUMN(AV$1),FALSE)=0, VLOOKUP($D251, regions_lb[], COLUMN(AV$1), FALSE), VLOOKUP($A251,raw_lb[],COLUMN(AV$1),FALSE))</f>
        <v>0.16697497205262757</v>
      </c>
      <c r="AW251" s="82">
        <f>IF(VLOOKUP($A251,raw_lb[],COLUMN(AW$1),FALSE)=0, VLOOKUP($D251, regions_lb[], COLUMN(AW$1), FALSE), VLOOKUP($A251,raw_lb[],COLUMN(AW$1),FALSE))</f>
        <v>0.17795810144538451</v>
      </c>
      <c r="AX251" s="82">
        <f>IF(VLOOKUP($A251,raw_lb[],COLUMN(AX$1),FALSE)=0, VLOOKUP($D251, regions_lb[], COLUMN(AX$1), FALSE), VLOOKUP($A251,raw_lb[],COLUMN(AX$1),FALSE))</f>
        <v>60.434249999999999</v>
      </c>
      <c r="AY251" t="str">
        <f t="shared" si="8"/>
        <v>Yes</v>
      </c>
    </row>
    <row r="252" spans="1:51" x14ac:dyDescent="0.25">
      <c r="A252" s="53" t="s">
        <v>448</v>
      </c>
      <c r="B252" s="54" t="s">
        <v>449</v>
      </c>
      <c r="C252" s="54">
        <v>728</v>
      </c>
      <c r="D252" s="54" t="s">
        <v>207</v>
      </c>
      <c r="E252" s="54" t="s">
        <v>255</v>
      </c>
      <c r="F252" s="54" t="s">
        <v>211</v>
      </c>
      <c r="G252" s="54" t="s">
        <v>198</v>
      </c>
      <c r="H252" s="73"/>
      <c r="I252" s="73"/>
      <c r="J252" s="67">
        <f>IF(VLOOKUP($A252,raw_lb[],COLUMN(J$1),FALSE)=0, VLOOKUP($D252, regions_lb[], COLUMN(J$1), FALSE), VLOOKUP($A252,raw_lb[],COLUMN(J$1),FALSE))</f>
        <v>0.10925</v>
      </c>
      <c r="K252" s="77">
        <f>VLOOKUP($A252, raw_lb[], 11, FALSE)</f>
        <v>0</v>
      </c>
      <c r="L252" s="77">
        <f>VLOOKUP($A252, raw_lb[], 12, FALSE)</f>
        <v>0.46549999999999997</v>
      </c>
      <c r="M252" s="77">
        <f>IF(VLOOKUP($A252,raw_lb[],COLUMN(M$1),FALSE)=0, VLOOKUP($D252, regions_lb[], COLUMN(M$1), FALSE), VLOOKUP($A252,raw_lb[],COLUMN(M$1),FALSE))</f>
        <v>0.15939999999999999</v>
      </c>
      <c r="N252" s="68">
        <f>IF(VLOOKUP($A252,raw_lb[],COLUMN(N$1),FALSE)=0, VLOOKUP($D252, regions_lb[], COLUMN(N$1), FALSE), VLOOKUP($A252,raw_lb[],COLUMN(N$1),FALSE))</f>
        <v>0.15560000000000002</v>
      </c>
      <c r="O252" s="67">
        <f>IF(VLOOKUP($A252,raw_lb[],COLUMN(O$1),FALSE)=0, VLOOKUP($D252, regions_lb[], COLUMN(O$1), FALSE), VLOOKUP($A252,raw_lb[],COLUMN(O$1),FALSE))</f>
        <v>7.0000000000000007E-2</v>
      </c>
      <c r="P252" s="68">
        <f>IF(VLOOKUP($A252,raw_lb[],COLUMN(P$1),FALSE)=0, VLOOKUP($D252, regions_lb[], COLUMN(P$1), FALSE), VLOOKUP($A252,raw_lb[],COLUMN(P$1),FALSE))</f>
        <v>1E-3</v>
      </c>
      <c r="Q252" s="70">
        <f>IF(VLOOKUP($A252,raw_lb[],COLUMN(Q$1),FALSE)=0, VLOOKUP($D252, regions_lb[], COLUMN(Q$1), FALSE), VLOOKUP($A252,raw_lb[],COLUMN(Q$1),FALSE))</f>
        <v>0.9410219132628217</v>
      </c>
      <c r="R252" s="70">
        <f>IF(VLOOKUP($A252,raw_lb[],COLUMN(R$1),FALSE)=0, VLOOKUP($D252, regions_lb[], COLUMN(R$1), FALSE), VLOOKUP($A252,raw_lb[],COLUMN(R$1),FALSE))</f>
        <v>8.0019219132628212</v>
      </c>
      <c r="S252" s="70">
        <f>IF(VLOOKUP($A252,raw_lb[],COLUMN(S$1),FALSE)=0, VLOOKUP($D252, regions_lb[], COLUMN(S$1), FALSE), VLOOKUP($A252,raw_lb[],COLUMN(S$1),FALSE))</f>
        <v>39.586728264144917</v>
      </c>
      <c r="T252" s="70">
        <f>IF(VLOOKUP($A252,raw_lb[],COLUMN(U$1)-COLUMN($A$1),FALSE)=0, VLOOKUP($D252, regions_lb[], COLUMN(U$1)-COLUMN($A$1), FALSE), VLOOKUP($A252,raw_lb[],COLUMN(U$1)-COLUMN($A$1),FALSE))</f>
        <v>40.817527317083545</v>
      </c>
      <c r="U252" s="70">
        <f>IF(VLOOKUP($A252,raw_lb[],COLUMN(V$1)-COLUMN($A$1),FALSE)=0, VLOOKUP($D252, regions_lb[], COLUMN(V$1)-COLUMN($A$1), FALSE), VLOOKUP($A252,raw_lb[],COLUMN(V$1)-COLUMN($A$1),FALSE))</f>
        <v>40.252370407751819</v>
      </c>
      <c r="V252" s="70">
        <f>IF(VLOOKUP($A252,raw_lb[],COLUMN(W$1)-COLUMN($A$1),FALSE)=0, VLOOKUP($D252, regions_lb[], COLUMN(W$1)-COLUMN($A$1), FALSE), VLOOKUP($A252,raw_lb[],COLUMN(W$1)-COLUMN($A$1),FALSE))</f>
        <v>1.3073920812390603</v>
      </c>
      <c r="W252" s="70">
        <f>IF(VLOOKUP($A252,raw_lb[],COLUMN(X$1)-COLUMN($A$1),FALSE)=0, VLOOKUP($D252, regions_lb[], COLUMN(X$1)-COLUMN($A$1), FALSE), VLOOKUP($A252,raw_lb[],COLUMN(X$1)-COLUMN($A$1),FALSE))</f>
        <v>4.7217683819008087</v>
      </c>
      <c r="X252" s="70">
        <f>IF(VLOOKUP($A252,raw_lb[],COLUMN(Y$1)-COLUMN($A$1),FALSE)=0, VLOOKUP($D252, regions_lb[], COLUMN(Y$1)-COLUMN($A$1), FALSE), VLOOKUP($A252,raw_lb[],COLUMN(Y$1)-COLUMN($A$1),FALSE))</f>
        <v>0.83424615126454682</v>
      </c>
      <c r="Y252" s="70">
        <f>IF(VLOOKUP($A252,raw_lb[],COLUMN(Z$1)-COLUMN($A$1),FALSE)=0, VLOOKUP($D252, regions_lb[], COLUMN(Z$1)-COLUMN($A$1), FALSE), VLOOKUP($A252,raw_lb[],COLUMN(Z$1)-COLUMN($A$1),FALSE))</f>
        <v>4.2486224519262947</v>
      </c>
      <c r="Z252" s="70">
        <f>IF(VLOOKUP($A252,raw_lb[],COLUMN(AA$1)-COLUMN($A$1),FALSE)=0, VLOOKUP($D252, regions_lb[], COLUMN(AA$1)-COLUMN($A$1), FALSE), VLOOKUP($A252,raw_lb[],COLUMN(AA$1)-COLUMN($A$1),FALSE))</f>
        <v>4.2451182259209768</v>
      </c>
      <c r="AA252" s="70">
        <f>IF(VLOOKUP($A252,raw_lb[],COLUMN(AB$1)-COLUMN($A$1),FALSE)=0, VLOOKUP($D252, regions_lb[], COLUMN(AB$1)-COLUMN($A$1), FALSE), VLOOKUP($A252,raw_lb[],COLUMN(AB$1)-COLUMN($A$1),FALSE))</f>
        <v>1.4582062683350183</v>
      </c>
      <c r="AB252" s="70">
        <f>IF(VLOOKUP($A252,raw_lb[],COLUMN(AC$1)-COLUMN($A$1),FALSE)=0, VLOOKUP($D252, regions_lb[], COLUMN(AC$1)-COLUMN($A$1), FALSE), VLOOKUP($A252,raw_lb[],COLUMN(AC$1)-COLUMN($A$1),FALSE))</f>
        <v>4.8725825689967674</v>
      </c>
      <c r="AC252" s="72">
        <f>IF(VLOOKUP($A252,raw_lb[],COLUMN(AD$1)-COLUMN($A$1),FALSE)=0, VLOOKUP($D252, regions_lb[], COLUMN(AD$1)-COLUMN($A$1), FALSE), VLOOKUP($A252,raw_lb[],COLUMN(AD$1)-COLUMN($A$1),FALSE))</f>
        <v>6.1171621000000016E-2</v>
      </c>
      <c r="AD252" s="72">
        <f>IF(VLOOKUP($A252,raw_lb[],COLUMN(AE$1)-COLUMN($A$1),FALSE)=0, VLOOKUP($D252, regions_lb[], COLUMN(AE$1)-COLUMN($A$1), FALSE), VLOOKUP($A252,raw_lb[],COLUMN(AE$1)-COLUMN($A$1),FALSE))</f>
        <v>8.6712651180436799E-3</v>
      </c>
      <c r="AE252" s="72">
        <f>IF(VLOOKUP($A252,raw_lb[],COLUMN(AF$1)-COLUMN($A$1),FALSE)=0, VLOOKUP($D252, regions_lb[], COLUMN(AF$1)-COLUMN($A$1), FALSE), VLOOKUP($A252,raw_lb[],COLUMN(AF$1)-COLUMN($A$1),FALSE))</f>
        <v>3.5763050605214764E-3</v>
      </c>
      <c r="AF252" s="72">
        <f>IF(VLOOKUP($A252,raw_lb[],COLUMN(AG$1)-COLUMN($A$1),FALSE)=0, VLOOKUP($D252, regions_lb[], COLUMN(AG$1)-COLUMN($A$1), FALSE), VLOOKUP($A252,raw_lb[],COLUMN(AG$1)-COLUMN($A$1),FALSE))</f>
        <v>2.1728720799050758E-3</v>
      </c>
      <c r="AG252" s="72">
        <f>IF(VLOOKUP($A252,raw_lb[],COLUMN(AH$1)-COLUMN($A$1),FALSE)=0, VLOOKUP($D252, regions_lb[], COLUMN(AH$1)-COLUMN($A$1), FALSE), VLOOKUP($A252,raw_lb[],COLUMN(AH$1)-COLUMN($A$1),FALSE))</f>
        <v>2.8020447582594774E-3</v>
      </c>
      <c r="AH252" s="72">
        <f>IF(VLOOKUP($A252,raw_lb[],COLUMN(AI$1)-COLUMN($A$1),FALSE)=0, VLOOKUP($D252, regions_lb[], COLUMN(AI$1)-COLUMN($A$1), FALSE), VLOOKUP($A252,raw_lb[],COLUMN(AI$1)-COLUMN($A$1),FALSE))</f>
        <v>3.8753182156445326E-3</v>
      </c>
      <c r="AI252" s="72">
        <f>IF(VLOOKUP($A252,raw_lb[],COLUMN(AJ$1)-COLUMN($A$1),FALSE)=0, VLOOKUP($D252, regions_lb[], COLUMN(AJ$1)-COLUMN($A$1), FALSE), VLOOKUP($A252,raw_lb[],COLUMN(AJ$1)-COLUMN($A$1),FALSE))</f>
        <v>5.2189325118464905E-3</v>
      </c>
      <c r="AJ252" s="72">
        <f>IF(VLOOKUP($A252,raw_lb[],COLUMN(AK$1)-COLUMN($A$1),FALSE)=0, VLOOKUP($D252, regions_lb[], COLUMN(AK$1)-COLUMN($A$1), FALSE), VLOOKUP($A252,raw_lb[],COLUMN(AK$1)-COLUMN($A$1),FALSE))</f>
        <v>6.635539500066988E-3</v>
      </c>
      <c r="AK252" s="72">
        <f>IF(VLOOKUP($A252,raw_lb[],COLUMN(AL$1)-COLUMN($A$1),FALSE)=0, VLOOKUP($D252, regions_lb[], COLUMN(AL$1)-COLUMN($A$1), FALSE), VLOOKUP($A252,raw_lb[],COLUMN(AL$1)-COLUMN($A$1),FALSE))</f>
        <v>8.4895154661915485E-3</v>
      </c>
      <c r="AL252" s="72">
        <f>IF(VLOOKUP($A252,raw_lb[],COLUMN(AM$1)-COLUMN($A$1),FALSE)=0, VLOOKUP($D252, regions_lb[], COLUMN(AM$1)-COLUMN($A$1), FALSE), VLOOKUP($A252,raw_lb[],COLUMN(AM$1)-COLUMN($A$1),FALSE))</f>
        <v>9.2846157276175196E-3</v>
      </c>
      <c r="AM252" s="72">
        <f>IF(VLOOKUP($A252,raw_lb[],COLUMN(AN$1)-COLUMN($A$1),FALSE)=0, VLOOKUP($D252, regions_lb[], COLUMN(AN$1)-COLUMN($A$1), FALSE), VLOOKUP($A252,raw_lb[],COLUMN(AN$1)-COLUMN($A$1),FALSE))</f>
        <v>1.0297473676154431E-2</v>
      </c>
      <c r="AN252" s="72">
        <f>IF(VLOOKUP($A252,raw_lb[],COLUMN(AO$1)-COLUMN($A$1),FALSE)=0, VLOOKUP($D252, regions_lb[], COLUMN(AO$1)-COLUMN($A$1), FALSE), VLOOKUP($A252,raw_lb[],COLUMN(AO$1)-COLUMN($A$1),FALSE))</f>
        <v>1.2150369298608915E-2</v>
      </c>
      <c r="AO252" s="72">
        <f>IF(VLOOKUP($A252,raw_lb[],COLUMN(AP$1)-COLUMN($A$1),FALSE)=0, VLOOKUP($D252, regions_lb[], COLUMN(AP$1)-COLUMN($A$1), FALSE), VLOOKUP($A252,raw_lb[],COLUMN(AP$1)-COLUMN($A$1),FALSE))</f>
        <v>1.5009551886335295E-2</v>
      </c>
      <c r="AP252" s="72">
        <f>IF(VLOOKUP($A252,raw_lb[],COLUMN(AQ$1)-COLUMN($A$1),FALSE)=0, VLOOKUP($D252, regions_lb[], COLUMN(AQ$1)-COLUMN($A$1), FALSE), VLOOKUP($A252,raw_lb[],COLUMN(AQ$1)-COLUMN($A$1),FALSE))</f>
        <v>2.1362885788828515E-2</v>
      </c>
      <c r="AQ252" s="72">
        <f>IF(VLOOKUP($A252,raw_lb[],COLUMN(AR$1)-COLUMN($A$1),FALSE)=0, VLOOKUP($D252, regions_lb[], COLUMN(AR$1)-COLUMN($A$1), FALSE), VLOOKUP($A252,raw_lb[],COLUMN(AR$1)-COLUMN($A$1),FALSE))</f>
        <v>3.0296012149999718E-2</v>
      </c>
      <c r="AR252" s="72">
        <f>IF(VLOOKUP($A252,raw_lb[],COLUMN(AS$1)-COLUMN($A$1),FALSE)=0, VLOOKUP($D252, regions_lb[], COLUMN(AS$1)-COLUMN($A$1), FALSE), VLOOKUP($A252,raw_lb[],COLUMN(AS$1)-COLUMN($A$1),FALSE))</f>
        <v>4.5832923055739917E-2</v>
      </c>
      <c r="AS252" s="82">
        <f>IF(VLOOKUP($A252,raw_lb[],COLUMN(AS$1),FALSE)=0, VLOOKUP($D252, regions_lb[], COLUMN(AS$1), FALSE), VLOOKUP($A252,raw_lb[],COLUMN(AS$1),FALSE))</f>
        <v>6.7469218148868401E-2</v>
      </c>
      <c r="AT252" s="82">
        <f>IF(VLOOKUP($A252,raw_lb[],COLUMN(AT$1),FALSE)=0, VLOOKUP($D252, regions_lb[], COLUMN(AT$1), FALSE), VLOOKUP($A252,raw_lb[],COLUMN(AT$1),FALSE))</f>
        <v>9.5892983202768164E-2</v>
      </c>
      <c r="AU252" s="82">
        <f>IF(VLOOKUP($A252,raw_lb[],COLUMN(AU$1),FALSE)=0, VLOOKUP($D252, regions_lb[], COLUMN(AU$1), FALSE), VLOOKUP($A252,raw_lb[],COLUMN(AU$1),FALSE))</f>
        <v>0.12488665210768743</v>
      </c>
      <c r="AV252" s="82">
        <f>IF(VLOOKUP($A252,raw_lb[],COLUMN(AV$1),FALSE)=0, VLOOKUP($D252, regions_lb[], COLUMN(AV$1), FALSE), VLOOKUP($A252,raw_lb[],COLUMN(AV$1),FALSE))</f>
        <v>0.14940095053639516</v>
      </c>
      <c r="AW252" s="82">
        <f>IF(VLOOKUP($A252,raw_lb[],COLUMN(AW$1),FALSE)=0, VLOOKUP($D252, regions_lb[], COLUMN(AW$1), FALSE), VLOOKUP($A252,raw_lb[],COLUMN(AW$1),FALSE))</f>
        <v>0.1666959032673202</v>
      </c>
      <c r="AX252" s="82">
        <f>IF(VLOOKUP($A252,raw_lb[],COLUMN(AX$1),FALSE)=0, VLOOKUP($D252, regions_lb[], COLUMN(AX$1), FALSE), VLOOKUP($A252,raw_lb[],COLUMN(AX$1),FALSE))</f>
        <v>54.553749999999994</v>
      </c>
      <c r="AY252" t="str">
        <f t="shared" si="8"/>
        <v>Yes</v>
      </c>
    </row>
    <row r="253" spans="1:51" x14ac:dyDescent="0.25">
      <c r="A253" s="55" t="s">
        <v>450</v>
      </c>
      <c r="B253" s="56" t="s">
        <v>451</v>
      </c>
      <c r="C253" s="56">
        <v>144</v>
      </c>
      <c r="D253" s="56" t="s">
        <v>225</v>
      </c>
      <c r="E253" s="56" t="s">
        <v>261</v>
      </c>
      <c r="F253" s="56" t="s">
        <v>262</v>
      </c>
      <c r="G253" s="56" t="s">
        <v>204</v>
      </c>
      <c r="H253" s="74"/>
      <c r="I253" s="74"/>
      <c r="J253" s="67">
        <f>IF(VLOOKUP($A253,raw_lb[],COLUMN(J$1),FALSE)=0, VLOOKUP($D253, regions_lb[], COLUMN(J$1), FALSE), VLOOKUP($A253,raw_lb[],COLUMN(J$1),FALSE))</f>
        <v>0.94524999999999992</v>
      </c>
      <c r="K253" s="77">
        <f>VLOOKUP($A253, raw_lb[], 11, FALSE)</f>
        <v>0</v>
      </c>
      <c r="L253" s="77">
        <f>VLOOKUP($A253, raw_lb[], 12, FALSE)</f>
        <v>0.91199999999999992</v>
      </c>
      <c r="M253" s="77">
        <f>IF(VLOOKUP($A253,raw_lb[],COLUMN(M$1),FALSE)=0, VLOOKUP($D253, regions_lb[], COLUMN(M$1), FALSE), VLOOKUP($A253,raw_lb[],COLUMN(M$1),FALSE))</f>
        <v>1.4999999999999999E-2</v>
      </c>
      <c r="N253" s="68">
        <f>IF(VLOOKUP($A253,raw_lb[],COLUMN(N$1),FALSE)=0, VLOOKUP($D253, regions_lb[], COLUMN(N$1), FALSE), VLOOKUP($A253,raw_lb[],COLUMN(N$1),FALSE))</f>
        <v>0.18100000000000002</v>
      </c>
      <c r="O253" s="67">
        <f>IF(VLOOKUP($A253,raw_lb[],COLUMN(O$1),FALSE)=0, VLOOKUP($D253, regions_lb[], COLUMN(O$1), FALSE), VLOOKUP($A253,raw_lb[],COLUMN(O$1),FALSE))</f>
        <v>0.7</v>
      </c>
      <c r="P253" s="68">
        <f>IF(VLOOKUP($A253,raw_lb[],COLUMN(P$1),FALSE)=0, VLOOKUP($D253, regions_lb[], COLUMN(P$1), FALSE), VLOOKUP($A253,raw_lb[],COLUMN(P$1),FALSE))</f>
        <v>0.05</v>
      </c>
      <c r="Q253" s="70">
        <f>IF(VLOOKUP($A253,raw_lb[],COLUMN(Q$1),FALSE)=0, VLOOKUP($D253, regions_lb[], COLUMN(Q$1), FALSE), VLOOKUP($A253,raw_lb[],COLUMN(Q$1),FALSE))</f>
        <v>0.99576298342541403</v>
      </c>
      <c r="R253" s="70">
        <f>IF(VLOOKUP($A253,raw_lb[],COLUMN(R$1),FALSE)=0, VLOOKUP($D253, regions_lb[], COLUMN(R$1), FALSE), VLOOKUP($A253,raw_lb[],COLUMN(R$1),FALSE))</f>
        <v>8.0566629834254151</v>
      </c>
      <c r="S253" s="70">
        <f>IF(VLOOKUP($A253,raw_lb[],COLUMN(S$1),FALSE)=0, VLOOKUP($D253, regions_lb[], COLUMN(S$1), FALSE), VLOOKUP($A253,raw_lb[],COLUMN(S$1),FALSE))</f>
        <v>40.037150363659364</v>
      </c>
      <c r="T253" s="70">
        <f>IF(VLOOKUP($A253,raw_lb[],COLUMN(U$1)-COLUMN($A$1),FALSE)=0, VLOOKUP($D253, regions_lb[], COLUMN(U$1)-COLUMN($A$1), FALSE), VLOOKUP($A253,raw_lb[],COLUMN(U$1)-COLUMN($A$1),FALSE))</f>
        <v>41.473887562869621</v>
      </c>
      <c r="U253" s="70">
        <f>IF(VLOOKUP($A253,raw_lb[],COLUMN(V$1)-COLUMN($A$1),FALSE)=0, VLOOKUP($D253, regions_lb[], COLUMN(V$1)-COLUMN($A$1), FALSE), VLOOKUP($A253,raw_lb[],COLUMN(V$1)-COLUMN($A$1),FALSE))</f>
        <v>40.814168209747834</v>
      </c>
      <c r="V253" s="70">
        <f>IF(VLOOKUP($A253,raw_lb[],COLUMN(W$1)-COLUMN($A$1),FALSE)=0, VLOOKUP($D253, regions_lb[], COLUMN(W$1)-COLUMN($A$1), FALSE), VLOOKUP($A253,raw_lb[],COLUMN(W$1)-COLUMN($A$1),FALSE))</f>
        <v>2.0561043986242673</v>
      </c>
      <c r="W253" s="70">
        <f>IF(VLOOKUP($A253,raw_lb[],COLUMN(X$1)-COLUMN($A$1),FALSE)=0, VLOOKUP($D253, regions_lb[], COLUMN(X$1)-COLUMN($A$1), FALSE), VLOOKUP($A253,raw_lb[],COLUMN(X$1)-COLUMN($A$1),FALSE))</f>
        <v>2.6546043986242673</v>
      </c>
      <c r="X253" s="70">
        <f>IF(VLOOKUP($A253,raw_lb[],COLUMN(Y$1)-COLUMN($A$1),FALSE)=0, VLOOKUP($D253, regions_lb[], COLUMN(Y$1)-COLUMN($A$1), FALSE), VLOOKUP($A253,raw_lb[],COLUMN(Y$1)-COLUMN($A$1),FALSE))</f>
        <v>1.5792460906940133</v>
      </c>
      <c r="Y253" s="70">
        <f>IF(VLOOKUP($A253,raw_lb[],COLUMN(Z$1)-COLUMN($A$1),FALSE)=0, VLOOKUP($D253, regions_lb[], COLUMN(Z$1)-COLUMN($A$1), FALSE), VLOOKUP($A253,raw_lb[],COLUMN(Z$1)-COLUMN($A$1),FALSE))</f>
        <v>2.1777460906940131</v>
      </c>
      <c r="Z253" s="70">
        <f>IF(VLOOKUP($A253,raw_lb[],COLUMN(AA$1)-COLUMN($A$1),FALSE)=0, VLOOKUP($D253, regions_lb[], COLUMN(AA$1)-COLUMN($A$1), FALSE), VLOOKUP($A253,raw_lb[],COLUMN(AA$1)-COLUMN($A$1),FALSE))</f>
        <v>2.171828061993736</v>
      </c>
      <c r="AA253" s="70">
        <f>IF(VLOOKUP($A253,raw_lb[],COLUMN(AB$1)-COLUMN($A$1),FALSE)=0, VLOOKUP($D253, regions_lb[], COLUMN(AB$1)-COLUMN($A$1), FALSE), VLOOKUP($A253,raw_lb[],COLUMN(AB$1)-COLUMN($A$1),FALSE))</f>
        <v>2.2183739234122251</v>
      </c>
      <c r="AB253" s="70">
        <f>IF(VLOOKUP($A253,raw_lb[],COLUMN(AC$1)-COLUMN($A$1),FALSE)=0, VLOOKUP($D253, regions_lb[], COLUMN(AC$1)-COLUMN($A$1), FALSE), VLOOKUP($A253,raw_lb[],COLUMN(AC$1)-COLUMN($A$1),FALSE))</f>
        <v>2.8168739234122251</v>
      </c>
      <c r="AC253" s="72">
        <f>IF(VLOOKUP($A253,raw_lb[],COLUMN(AD$1)-COLUMN($A$1),FALSE)=0, VLOOKUP($D253, regions_lb[], COLUMN(AD$1)-COLUMN($A$1), FALSE), VLOOKUP($A253,raw_lb[],COLUMN(AD$1)-COLUMN($A$1),FALSE))</f>
        <v>7.1946254999999794E-3</v>
      </c>
      <c r="AD253" s="72">
        <f>IF(VLOOKUP($A253,raw_lb[],COLUMN(AE$1)-COLUMN($A$1),FALSE)=0, VLOOKUP($D253, regions_lb[], COLUMN(AE$1)-COLUMN($A$1), FALSE), VLOOKUP($A253,raw_lb[],COLUMN(AE$1)-COLUMN($A$1),FALSE))</f>
        <v>2.4415606468311562E-4</v>
      </c>
      <c r="AE253" s="72">
        <f>IF(VLOOKUP($A253,raw_lb[],COLUMN(AF$1)-COLUMN($A$1),FALSE)=0, VLOOKUP($D253, regions_lb[], COLUMN(AF$1)-COLUMN($A$1), FALSE), VLOOKUP($A253,raw_lb[],COLUMN(AF$1)-COLUMN($A$1),FALSE))</f>
        <v>2.822020114514759E-4</v>
      </c>
      <c r="AF253" s="72">
        <f>IF(VLOOKUP($A253,raw_lb[],COLUMN(AG$1)-COLUMN($A$1),FALSE)=0, VLOOKUP($D253, regions_lb[], COLUMN(AG$1)-COLUMN($A$1), FALSE), VLOOKUP($A253,raw_lb[],COLUMN(AG$1)-COLUMN($A$1),FALSE))</f>
        <v>2.7588304981473951E-4</v>
      </c>
      <c r="AG253" s="72">
        <f>IF(VLOOKUP($A253,raw_lb[],COLUMN(AH$1)-COLUMN($A$1),FALSE)=0, VLOOKUP($D253, regions_lb[], COLUMN(AH$1)-COLUMN($A$1), FALSE), VLOOKUP($A253,raw_lb[],COLUMN(AH$1)-COLUMN($A$1),FALSE))</f>
        <v>5.2716389827397266E-4</v>
      </c>
      <c r="AH253" s="72">
        <f>IF(VLOOKUP($A253,raw_lb[],COLUMN(AI$1)-COLUMN($A$1),FALSE)=0, VLOOKUP($D253, regions_lb[], COLUMN(AI$1)-COLUMN($A$1), FALSE), VLOOKUP($A253,raw_lb[],COLUMN(AI$1)-COLUMN($A$1),FALSE))</f>
        <v>7.4947690038626609E-4</v>
      </c>
      <c r="AI253" s="72">
        <f>IF(VLOOKUP($A253,raw_lb[],COLUMN(AJ$1)-COLUMN($A$1),FALSE)=0, VLOOKUP($D253, regions_lb[], COLUMN(AJ$1)-COLUMN($A$1), FALSE), VLOOKUP($A253,raw_lb[],COLUMN(AJ$1)-COLUMN($A$1),FALSE))</f>
        <v>8.1974363270996119E-4</v>
      </c>
      <c r="AJ253" s="72">
        <f>IF(VLOOKUP($A253,raw_lb[],COLUMN(AK$1)-COLUMN($A$1),FALSE)=0, VLOOKUP($D253, regions_lb[], COLUMN(AK$1)-COLUMN($A$1), FALSE), VLOOKUP($A253,raw_lb[],COLUMN(AK$1)-COLUMN($A$1),FALSE))</f>
        <v>9.3825429599690236E-4</v>
      </c>
      <c r="AK253" s="72">
        <f>IF(VLOOKUP($A253,raw_lb[],COLUMN(AL$1)-COLUMN($A$1),FALSE)=0, VLOOKUP($D253, regions_lb[], COLUMN(AL$1)-COLUMN($A$1), FALSE), VLOOKUP($A253,raw_lb[],COLUMN(AL$1)-COLUMN($A$1),FALSE))</f>
        <v>1.3496637957832491E-3</v>
      </c>
      <c r="AL253" s="72">
        <f>IF(VLOOKUP($A253,raw_lb[],COLUMN(AM$1)-COLUMN($A$1),FALSE)=0, VLOOKUP($D253, regions_lb[], COLUMN(AM$1)-COLUMN($A$1), FALSE), VLOOKUP($A253,raw_lb[],COLUMN(AM$1)-COLUMN($A$1),FALSE))</f>
        <v>1.9759902384875942E-3</v>
      </c>
      <c r="AM253" s="72">
        <f>IF(VLOOKUP($A253,raw_lb[],COLUMN(AN$1)-COLUMN($A$1),FALSE)=0, VLOOKUP($D253, regions_lb[], COLUMN(AN$1)-COLUMN($A$1), FALSE), VLOOKUP($A253,raw_lb[],COLUMN(AN$1)-COLUMN($A$1),FALSE))</f>
        <v>3.0471047906886349E-3</v>
      </c>
      <c r="AN253" s="72">
        <f>IF(VLOOKUP($A253,raw_lb[],COLUMN(AO$1)-COLUMN($A$1),FALSE)=0, VLOOKUP($D253, regions_lb[], COLUMN(AO$1)-COLUMN($A$1), FALSE), VLOOKUP($A253,raw_lb[],COLUMN(AO$1)-COLUMN($A$1),FALSE))</f>
        <v>4.6667085089100993E-3</v>
      </c>
      <c r="AO253" s="72">
        <f>IF(VLOOKUP($A253,raw_lb[],COLUMN(AP$1)-COLUMN($A$1),FALSE)=0, VLOOKUP($D253, regions_lb[], COLUMN(AP$1)-COLUMN($A$1), FALSE), VLOOKUP($A253,raw_lb[],COLUMN(AP$1)-COLUMN($A$1),FALSE))</f>
        <v>6.6270205020035758E-3</v>
      </c>
      <c r="AP253" s="72">
        <f>IF(VLOOKUP($A253,raw_lb[],COLUMN(AQ$1)-COLUMN($A$1),FALSE)=0, VLOOKUP($D253, regions_lb[], COLUMN(AQ$1)-COLUMN($A$1), FALSE), VLOOKUP($A253,raw_lb[],COLUMN(AQ$1)-COLUMN($A$1),FALSE))</f>
        <v>9.4945732837154826E-3</v>
      </c>
      <c r="AQ253" s="72">
        <f>IF(VLOOKUP($A253,raw_lb[],COLUMN(AR$1)-COLUMN($A$1),FALSE)=0, VLOOKUP($D253, regions_lb[], COLUMN(AR$1)-COLUMN($A$1), FALSE), VLOOKUP($A253,raw_lb[],COLUMN(AR$1)-COLUMN($A$1),FALSE))</f>
        <v>1.6628943980885501E-2</v>
      </c>
      <c r="AR253" s="72">
        <f>IF(VLOOKUP($A253,raw_lb[],COLUMN(AS$1)-COLUMN($A$1),FALSE)=0, VLOOKUP($D253, regions_lb[], COLUMN(AS$1)-COLUMN($A$1), FALSE), VLOOKUP($A253,raw_lb[],COLUMN(AS$1)-COLUMN($A$1),FALSE))</f>
        <v>2.9885000752652619E-2</v>
      </c>
      <c r="AS253" s="82">
        <f>IF(VLOOKUP($A253,raw_lb[],COLUMN(AS$1),FALSE)=0, VLOOKUP($D253, regions_lb[], COLUMN(AS$1), FALSE), VLOOKUP($A253,raw_lb[],COLUMN(AS$1),FALSE))</f>
        <v>4.0971398670609269E-2</v>
      </c>
      <c r="AT253" s="82">
        <f>IF(VLOOKUP($A253,raw_lb[],COLUMN(AT$1),FALSE)=0, VLOOKUP($D253, regions_lb[], COLUMN(AT$1), FALSE), VLOOKUP($A253,raw_lb[],COLUMN(AT$1),FALSE))</f>
        <v>6.6444476314141784E-2</v>
      </c>
      <c r="AU253" s="82">
        <f>IF(VLOOKUP($A253,raw_lb[],COLUMN(AU$1),FALSE)=0, VLOOKUP($D253, regions_lb[], COLUMN(AU$1), FALSE), VLOOKUP($A253,raw_lb[],COLUMN(AU$1),FALSE))</f>
        <v>0.10132736246097709</v>
      </c>
      <c r="AV253" s="82">
        <f>IF(VLOOKUP($A253,raw_lb[],COLUMN(AV$1),FALSE)=0, VLOOKUP($D253, regions_lb[], COLUMN(AV$1), FALSE), VLOOKUP($A253,raw_lb[],COLUMN(AV$1),FALSE))</f>
        <v>0.13701320887060006</v>
      </c>
      <c r="AW253" s="82">
        <f>IF(VLOOKUP($A253,raw_lb[],COLUMN(AW$1),FALSE)=0, VLOOKUP($D253, regions_lb[], COLUMN(AW$1), FALSE), VLOOKUP($A253,raw_lb[],COLUMN(AW$1),FALSE))</f>
        <v>0.16315585366536406</v>
      </c>
      <c r="AX253" s="82">
        <f>IF(VLOOKUP($A253,raw_lb[],COLUMN(AX$1),FALSE)=0, VLOOKUP($D253, regions_lb[], COLUMN(AX$1), FALSE), VLOOKUP($A253,raw_lb[],COLUMN(AX$1),FALSE))</f>
        <v>72.888749999999987</v>
      </c>
      <c r="AY253" t="str">
        <f t="shared" si="8"/>
        <v>Yes</v>
      </c>
    </row>
    <row r="254" spans="1:51" x14ac:dyDescent="0.25">
      <c r="A254" s="53" t="s">
        <v>452</v>
      </c>
      <c r="B254" s="54" t="s">
        <v>453</v>
      </c>
      <c r="C254" s="54">
        <v>729</v>
      </c>
      <c r="D254" s="54" t="s">
        <v>196</v>
      </c>
      <c r="E254" s="54" t="s">
        <v>255</v>
      </c>
      <c r="F254" s="54" t="s">
        <v>211</v>
      </c>
      <c r="G254" s="54" t="s">
        <v>212</v>
      </c>
      <c r="H254" s="73"/>
      <c r="I254" s="73"/>
      <c r="J254" s="67">
        <f>IF(VLOOKUP($A254,raw_lb[],COLUMN(J$1),FALSE)=0, VLOOKUP($D254, regions_lb[], COLUMN(J$1), FALSE), VLOOKUP($A254,raw_lb[],COLUMN(J$1),FALSE))</f>
        <v>0.26314999999999994</v>
      </c>
      <c r="K254" s="77">
        <f>VLOOKUP($A254, raw_lb[], 11, FALSE)</f>
        <v>0</v>
      </c>
      <c r="L254" s="77">
        <f>VLOOKUP($A254, raw_lb[], 12, FALSE)</f>
        <v>0.85499999999999998</v>
      </c>
      <c r="M254" s="77">
        <f>IF(VLOOKUP($A254,raw_lb[],COLUMN(M$1),FALSE)=0, VLOOKUP($D254, regions_lb[], COLUMN(M$1), FALSE), VLOOKUP($A254,raw_lb[],COLUMN(M$1),FALSE))</f>
        <v>6.6000000000000003E-2</v>
      </c>
      <c r="N254" s="68">
        <f>IF(VLOOKUP($A254,raw_lb[],COLUMN(N$1),FALSE)=0, VLOOKUP($D254, regions_lb[], COLUMN(N$1), FALSE), VLOOKUP($A254,raw_lb[],COLUMN(N$1),FALSE))</f>
        <v>0.15560000000000002</v>
      </c>
      <c r="O254" s="67">
        <f>IF(VLOOKUP($A254,raw_lb[],COLUMN(O$1),FALSE)=0, VLOOKUP($D254, regions_lb[], COLUMN(O$1), FALSE), VLOOKUP($A254,raw_lb[],COLUMN(O$1),FALSE))</f>
        <v>7.0000000000000007E-2</v>
      </c>
      <c r="P254" s="68">
        <f>IF(VLOOKUP($A254,raw_lb[],COLUMN(P$1),FALSE)=0, VLOOKUP($D254, regions_lb[], COLUMN(P$1), FALSE), VLOOKUP($A254,raw_lb[],COLUMN(P$1),FALSE))</f>
        <v>1E-3</v>
      </c>
      <c r="Q254" s="70">
        <f>IF(VLOOKUP($A254,raw_lb[],COLUMN(Q$1),FALSE)=0, VLOOKUP($D254, regions_lb[], COLUMN(Q$1), FALSE), VLOOKUP($A254,raw_lb[],COLUMN(Q$1),FALSE))</f>
        <v>0.84261486830926102</v>
      </c>
      <c r="R254" s="70">
        <f>IF(VLOOKUP($A254,raw_lb[],COLUMN(R$1),FALSE)=0, VLOOKUP($D254, regions_lb[], COLUMN(R$1), FALSE), VLOOKUP($A254,raw_lb[],COLUMN(R$1),FALSE))</f>
        <v>7.9035148683092622</v>
      </c>
      <c r="S254" s="70">
        <f>IF(VLOOKUP($A254,raw_lb[],COLUMN(S$1),FALSE)=0, VLOOKUP($D254, regions_lb[], COLUMN(S$1), FALSE), VLOOKUP($A254,raw_lb[],COLUMN(S$1),FALSE))</f>
        <v>38.759066442342444</v>
      </c>
      <c r="T254" s="70">
        <f>IF(VLOOKUP($A254,raw_lb[],COLUMN(U$1)-COLUMN($A$1),FALSE)=0, VLOOKUP($D254, regions_lb[], COLUMN(U$1)-COLUMN($A$1), FALSE), VLOOKUP($A254,raw_lb[],COLUMN(U$1)-COLUMN($A$1),FALSE))</f>
        <v>39.610313872222463</v>
      </c>
      <c r="U254" s="70">
        <f>IF(VLOOKUP($A254,raw_lb[],COLUMN(V$1)-COLUMN($A$1),FALSE)=0, VLOOKUP($D254, regions_lb[], COLUMN(V$1)-COLUMN($A$1), FALSE), VLOOKUP($A254,raw_lb[],COLUMN(V$1)-COLUMN($A$1),FALSE))</f>
        <v>39.219439045499996</v>
      </c>
      <c r="V254" s="70">
        <f>IF(VLOOKUP($A254,raw_lb[],COLUMN(W$1)-COLUMN($A$1),FALSE)=0, VLOOKUP($D254, regions_lb[], COLUMN(W$1)-COLUMN($A$1), FALSE), VLOOKUP($A254,raw_lb[],COLUMN(W$1)-COLUMN($A$1),FALSE))</f>
        <v>1.2152748114752887</v>
      </c>
      <c r="W254" s="70">
        <f>IF(VLOOKUP($A254,raw_lb[],COLUMN(X$1)-COLUMN($A$1),FALSE)=0, VLOOKUP($D254, regions_lb[], COLUMN(X$1)-COLUMN($A$1), FALSE), VLOOKUP($A254,raw_lb[],COLUMN(X$1)-COLUMN($A$1),FALSE))</f>
        <v>5.8037748114752885</v>
      </c>
      <c r="X254" s="70">
        <f>IF(VLOOKUP($A254,raw_lb[],COLUMN(Y$1)-COLUMN($A$1),FALSE)=0, VLOOKUP($D254, regions_lb[], COLUMN(Y$1)-COLUMN($A$1), FALSE), VLOOKUP($A254,raw_lb[],COLUMN(Y$1)-COLUMN($A$1),FALSE))</f>
        <v>0.74514868648873189</v>
      </c>
      <c r="Y254" s="70">
        <f>IF(VLOOKUP($A254,raw_lb[],COLUMN(Z$1)-COLUMN($A$1),FALSE)=0, VLOOKUP($D254, regions_lb[], COLUMN(Z$1)-COLUMN($A$1), FALSE), VLOOKUP($A254,raw_lb[],COLUMN(Z$1)-COLUMN($A$1),FALSE))</f>
        <v>5.3336486864887318</v>
      </c>
      <c r="Z254" s="70">
        <f>IF(VLOOKUP($A254,raw_lb[],COLUMN(AA$1)-COLUMN($A$1),FALSE)=0, VLOOKUP($D254, regions_lb[], COLUMN(AA$1)-COLUMN($A$1), FALSE), VLOOKUP($A254,raw_lb[],COLUMN(AA$1)-COLUMN($A$1),FALSE))</f>
        <v>5.3322320239059628</v>
      </c>
      <c r="AA254" s="70">
        <f>IF(VLOOKUP($A254,raw_lb[],COLUMN(AB$1)-COLUMN($A$1),FALSE)=0, VLOOKUP($D254, regions_lb[], COLUMN(AB$1)-COLUMN($A$1), FALSE), VLOOKUP($A254,raw_lb[],COLUMN(AB$1)-COLUMN($A$1),FALSE))</f>
        <v>1.3567707431798388</v>
      </c>
      <c r="AB254" s="70">
        <f>IF(VLOOKUP($A254,raw_lb[],COLUMN(AC$1)-COLUMN($A$1),FALSE)=0, VLOOKUP($D254, regions_lb[], COLUMN(AC$1)-COLUMN($A$1), FALSE), VLOOKUP($A254,raw_lb[],COLUMN(AC$1)-COLUMN($A$1),FALSE))</f>
        <v>5.9452707431798384</v>
      </c>
      <c r="AC254" s="72">
        <f>IF(VLOOKUP($A254,raw_lb[],COLUMN(AD$1)-COLUMN($A$1),FALSE)=0, VLOOKUP($D254, regions_lb[], COLUMN(AD$1)-COLUMN($A$1), FALSE), VLOOKUP($A254,raw_lb[],COLUMN(AD$1)-COLUMN($A$1),FALSE))</f>
        <v>4.0731107500000002E-2</v>
      </c>
      <c r="AD254" s="72">
        <f>IF(VLOOKUP($A254,raw_lb[],COLUMN(AE$1)-COLUMN($A$1),FALSE)=0, VLOOKUP($D254, regions_lb[], COLUMN(AE$1)-COLUMN($A$1), FALSE), VLOOKUP($A254,raw_lb[],COLUMN(AE$1)-COLUMN($A$1),FALSE))</f>
        <v>5.2353937204554736E-3</v>
      </c>
      <c r="AE254" s="72">
        <f>IF(VLOOKUP($A254,raw_lb[],COLUMN(AF$1)-COLUMN($A$1),FALSE)=0, VLOOKUP($D254, regions_lb[], COLUMN(AF$1)-COLUMN($A$1), FALSE), VLOOKUP($A254,raw_lb[],COLUMN(AF$1)-COLUMN($A$1),FALSE))</f>
        <v>2.0583521720982036E-3</v>
      </c>
      <c r="AF254" s="72">
        <f>IF(VLOOKUP($A254,raw_lb[],COLUMN(AG$1)-COLUMN($A$1),FALSE)=0, VLOOKUP($D254, regions_lb[], COLUMN(AG$1)-COLUMN($A$1), FALSE), VLOOKUP($A254,raw_lb[],COLUMN(AG$1)-COLUMN($A$1),FALSE))</f>
        <v>1.5452142046884301E-3</v>
      </c>
      <c r="AG254" s="72">
        <f>IF(VLOOKUP($A254,raw_lb[],COLUMN(AH$1)-COLUMN($A$1),FALSE)=0, VLOOKUP($D254, regions_lb[], COLUMN(AH$1)-COLUMN($A$1), FALSE), VLOOKUP($A254,raw_lb[],COLUMN(AH$1)-COLUMN($A$1),FALSE))</f>
        <v>1.8227898441625253E-3</v>
      </c>
      <c r="AH254" s="72">
        <f>IF(VLOOKUP($A254,raw_lb[],COLUMN(AI$1)-COLUMN($A$1),FALSE)=0, VLOOKUP($D254, regions_lb[], COLUMN(AI$1)-COLUMN($A$1), FALSE), VLOOKUP($A254,raw_lb[],COLUMN(AI$1)-COLUMN($A$1),FALSE))</f>
        <v>2.4436091068750975E-3</v>
      </c>
      <c r="AI254" s="72">
        <f>IF(VLOOKUP($A254,raw_lb[],COLUMN(AJ$1)-COLUMN($A$1),FALSE)=0, VLOOKUP($D254, regions_lb[], COLUMN(AJ$1)-COLUMN($A$1), FALSE), VLOOKUP($A254,raw_lb[],COLUMN(AJ$1)-COLUMN($A$1),FALSE))</f>
        <v>2.901166772051985E-3</v>
      </c>
      <c r="AJ254" s="72">
        <f>IF(VLOOKUP($A254,raw_lb[],COLUMN(AK$1)-COLUMN($A$1),FALSE)=0, VLOOKUP($D254, regions_lb[], COLUMN(AK$1)-COLUMN($A$1), FALSE), VLOOKUP($A254,raw_lb[],COLUMN(AK$1)-COLUMN($A$1),FALSE))</f>
        <v>3.369180053718519E-3</v>
      </c>
      <c r="AK254" s="72">
        <f>IF(VLOOKUP($A254,raw_lb[],COLUMN(AL$1)-COLUMN($A$1),FALSE)=0, VLOOKUP($D254, regions_lb[], COLUMN(AL$1)-COLUMN($A$1), FALSE), VLOOKUP($A254,raw_lb[],COLUMN(AL$1)-COLUMN($A$1),FALSE))</f>
        <v>4.2441213102007028E-3</v>
      </c>
      <c r="AL254" s="72">
        <f>IF(VLOOKUP($A254,raw_lb[],COLUMN(AM$1)-COLUMN($A$1),FALSE)=0, VLOOKUP($D254, regions_lb[], COLUMN(AM$1)-COLUMN($A$1), FALSE), VLOOKUP($A254,raw_lb[],COLUMN(AM$1)-COLUMN($A$1),FALSE))</f>
        <v>5.1404268455057366E-3</v>
      </c>
      <c r="AM254" s="72">
        <f>IF(VLOOKUP($A254,raw_lb[],COLUMN(AN$1)-COLUMN($A$1),FALSE)=0, VLOOKUP($D254, regions_lb[], COLUMN(AN$1)-COLUMN($A$1), FALSE), VLOOKUP($A254,raw_lb[],COLUMN(AN$1)-COLUMN($A$1),FALSE))</f>
        <v>6.2923463368188695E-3</v>
      </c>
      <c r="AN254" s="72">
        <f>IF(VLOOKUP($A254,raw_lb[],COLUMN(AO$1)-COLUMN($A$1),FALSE)=0, VLOOKUP($D254, regions_lb[], COLUMN(AO$1)-COLUMN($A$1), FALSE), VLOOKUP($A254,raw_lb[],COLUMN(AO$1)-COLUMN($A$1),FALSE))</f>
        <v>8.3910228603359168E-3</v>
      </c>
      <c r="AO254" s="72">
        <f>IF(VLOOKUP($A254,raw_lb[],COLUMN(AP$1)-COLUMN($A$1),FALSE)=0, VLOOKUP($D254, regions_lb[], COLUMN(AP$1)-COLUMN($A$1), FALSE), VLOOKUP($A254,raw_lb[],COLUMN(AP$1)-COLUMN($A$1),FALSE))</f>
        <v>1.1326942842775863E-2</v>
      </c>
      <c r="AP254" s="72">
        <f>IF(VLOOKUP($A254,raw_lb[],COLUMN(AQ$1)-COLUMN($A$1),FALSE)=0, VLOOKUP($D254, regions_lb[], COLUMN(AQ$1)-COLUMN($A$1), FALSE), VLOOKUP($A254,raw_lb[],COLUMN(AQ$1)-COLUMN($A$1),FALSE))</f>
        <v>1.6660100039638227E-2</v>
      </c>
      <c r="AQ254" s="72">
        <f>IF(VLOOKUP($A254,raw_lb[],COLUMN(AR$1)-COLUMN($A$1),FALSE)=0, VLOOKUP($D254, regions_lb[], COLUMN(AR$1)-COLUMN($A$1), FALSE), VLOOKUP($A254,raw_lb[],COLUMN(AR$1)-COLUMN($A$1),FALSE))</f>
        <v>2.6039087819775895E-2</v>
      </c>
      <c r="AR254" s="72">
        <f>IF(VLOOKUP($A254,raw_lb[],COLUMN(AS$1)-COLUMN($A$1),FALSE)=0, VLOOKUP($D254, regions_lb[], COLUMN(AS$1)-COLUMN($A$1), FALSE), VLOOKUP($A254,raw_lb[],COLUMN(AS$1)-COLUMN($A$1),FALSE))</f>
        <v>4.0451632876977568E-2</v>
      </c>
      <c r="AS254" s="82">
        <f>IF(VLOOKUP($A254,raw_lb[],COLUMN(AS$1),FALSE)=0, VLOOKUP($D254, regions_lb[], COLUMN(AS$1), FALSE), VLOOKUP($A254,raw_lb[],COLUMN(AS$1),FALSE))</f>
        <v>6.0637908144142133E-2</v>
      </c>
      <c r="AT254" s="82">
        <f>IF(VLOOKUP($A254,raw_lb[],COLUMN(AT$1),FALSE)=0, VLOOKUP($D254, regions_lb[], COLUMN(AT$1), FALSE), VLOOKUP($A254,raw_lb[],COLUMN(AT$1),FALSE))</f>
        <v>8.7455700898443123E-2</v>
      </c>
      <c r="AU254" s="82">
        <f>IF(VLOOKUP($A254,raw_lb[],COLUMN(AU$1),FALSE)=0, VLOOKUP($D254, regions_lb[], COLUMN(AU$1), FALSE), VLOOKUP($A254,raw_lb[],COLUMN(AU$1),FALSE))</f>
        <v>0.11560772981197863</v>
      </c>
      <c r="AV254" s="82">
        <f>IF(VLOOKUP($A254,raw_lb[],COLUMN(AV$1),FALSE)=0, VLOOKUP($D254, regions_lb[], COLUMN(AV$1), FALSE), VLOOKUP($A254,raw_lb[],COLUMN(AV$1),FALSE))</f>
        <v>0.14078528971278767</v>
      </c>
      <c r="AW254" s="82">
        <f>IF(VLOOKUP($A254,raw_lb[],COLUMN(AW$1),FALSE)=0, VLOOKUP($D254, regions_lb[], COLUMN(AW$1), FALSE), VLOOKUP($A254,raw_lb[],COLUMN(AW$1),FALSE))</f>
        <v>0.15946370318848216</v>
      </c>
      <c r="AX254" s="82">
        <f>IF(VLOOKUP($A254,raw_lb[],COLUMN(AX$1),FALSE)=0, VLOOKUP($D254, regions_lb[], COLUMN(AX$1), FALSE), VLOOKUP($A254,raw_lb[],COLUMN(AX$1),FALSE))</f>
        <v>61.700599999999987</v>
      </c>
      <c r="AY254" t="str">
        <f t="shared" si="8"/>
        <v>Yes</v>
      </c>
    </row>
    <row r="255" spans="1:51" x14ac:dyDescent="0.25">
      <c r="A255" s="55" t="s">
        <v>454</v>
      </c>
      <c r="B255" s="56" t="s">
        <v>455</v>
      </c>
      <c r="C255" s="56">
        <v>740</v>
      </c>
      <c r="D255" s="56" t="s">
        <v>215</v>
      </c>
      <c r="E255" s="56" t="s">
        <v>232</v>
      </c>
      <c r="F255" s="56" t="s">
        <v>217</v>
      </c>
      <c r="G255" s="56" t="s">
        <v>204</v>
      </c>
      <c r="H255" s="74"/>
      <c r="I255" s="74"/>
      <c r="J255" s="67">
        <f>IF(VLOOKUP($A255,raw_lb[],COLUMN(J$1),FALSE)=0, VLOOKUP($D255, regions_lb[], COLUMN(J$1), FALSE), VLOOKUP($A255,raw_lb[],COLUMN(J$1),FALSE))</f>
        <v>0.88255000000000006</v>
      </c>
      <c r="K255" s="77">
        <f>VLOOKUP($A255, raw_lb[], 11, FALSE)</f>
        <v>0.75049999999999994</v>
      </c>
      <c r="L255" s="77">
        <f>VLOOKUP($A255, raw_lb[], 12, FALSE)</f>
        <v>0.48449999999999999</v>
      </c>
      <c r="M255" s="77">
        <f>IF(VLOOKUP($A255,raw_lb[],COLUMN(M$1),FALSE)=0, VLOOKUP($D255, regions_lb[], COLUMN(M$1), FALSE), VLOOKUP($A255,raw_lb[],COLUMN(M$1),FALSE))</f>
        <v>3.2000000000000002E-3</v>
      </c>
      <c r="N255" s="68">
        <f>IF(VLOOKUP($A255,raw_lb[],COLUMN(N$1),FALSE)=0, VLOOKUP($D255, regions_lb[], COLUMN(N$1), FALSE), VLOOKUP($A255,raw_lb[],COLUMN(N$1),FALSE))</f>
        <v>0.16309999999999999</v>
      </c>
      <c r="O255" s="67">
        <f>IF(VLOOKUP($A255,raw_lb[],COLUMN(O$1),FALSE)=0, VLOOKUP($D255, regions_lb[], COLUMN(O$1), FALSE), VLOOKUP($A255,raw_lb[],COLUMN(O$1),FALSE))</f>
        <v>0.7</v>
      </c>
      <c r="P255" s="68">
        <f>IF(VLOOKUP($A255,raw_lb[],COLUMN(P$1),FALSE)=0, VLOOKUP($D255, regions_lb[], COLUMN(P$1), FALSE), VLOOKUP($A255,raw_lb[],COLUMN(P$1),FALSE))</f>
        <v>0.05</v>
      </c>
      <c r="Q255" s="70">
        <f>IF(VLOOKUP($A255,raw_lb[],COLUMN(Q$1),FALSE)=0, VLOOKUP($D255, regions_lb[], COLUMN(Q$1), FALSE), VLOOKUP($A255,raw_lb[],COLUMN(Q$1),FALSE))</f>
        <v>1.9445833224329601</v>
      </c>
      <c r="R255" s="70">
        <f>IF(VLOOKUP($A255,raw_lb[],COLUMN(R$1),FALSE)=0, VLOOKUP($D255, regions_lb[], COLUMN(R$1), FALSE), VLOOKUP($A255,raw_lb[],COLUMN(R$1),FALSE))</f>
        <v>9.0054833224329602</v>
      </c>
      <c r="S255" s="70">
        <f>IF(VLOOKUP($A255,raw_lb[],COLUMN(S$1),FALSE)=0, VLOOKUP($D255, regions_lb[], COLUMN(S$1), FALSE), VLOOKUP($A255,raw_lb[],COLUMN(S$1),FALSE))</f>
        <v>47.632302918046591</v>
      </c>
      <c r="T255" s="70">
        <f>IF(VLOOKUP($A255,raw_lb[],COLUMN(U$1)-COLUMN($A$1),FALSE)=0, VLOOKUP($D255, regions_lb[], COLUMN(U$1)-COLUMN($A$1), FALSE), VLOOKUP($A255,raw_lb[],COLUMN(U$1)-COLUMN($A$1),FALSE))</f>
        <v>52.528223738424579</v>
      </c>
      <c r="U255" s="70">
        <f>IF(VLOOKUP($A255,raw_lb[],COLUMN(V$1)-COLUMN($A$1),FALSE)=0, VLOOKUP($D255, regions_lb[], COLUMN(V$1)-COLUMN($A$1), FALSE), VLOOKUP($A255,raw_lb[],COLUMN(V$1)-COLUMN($A$1),FALSE))</f>
        <v>50.280120384289454</v>
      </c>
      <c r="V255" s="70">
        <f>IF(VLOOKUP($A255,raw_lb[],COLUMN(W$1)-COLUMN($A$1),FALSE)=0, VLOOKUP($D255, regions_lb[], COLUMN(W$1)-COLUMN($A$1), FALSE), VLOOKUP($A255,raw_lb[],COLUMN(W$1)-COLUMN($A$1),FALSE))</f>
        <v>4.2448063608694486</v>
      </c>
      <c r="W255" s="70">
        <f>IF(VLOOKUP($A255,raw_lb[],COLUMN(X$1)-COLUMN($A$1),FALSE)=0, VLOOKUP($D255, regions_lb[], COLUMN(X$1)-COLUMN($A$1), FALSE), VLOOKUP($A255,raw_lb[],COLUMN(X$1)-COLUMN($A$1),FALSE))</f>
        <v>4.2638063608694488</v>
      </c>
      <c r="X255" s="70">
        <f>IF(VLOOKUP($A255,raw_lb[],COLUMN(Y$1)-COLUMN($A$1),FALSE)=0, VLOOKUP($D255, regions_lb[], COLUMN(Y$1)-COLUMN($A$1), FALSE), VLOOKUP($A255,raw_lb[],COLUMN(Y$1)-COLUMN($A$1),FALSE))</f>
        <v>3.7706146567205905</v>
      </c>
      <c r="Y255" s="70">
        <f>IF(VLOOKUP($A255,raw_lb[],COLUMN(Z$1)-COLUMN($A$1),FALSE)=0, VLOOKUP($D255, regions_lb[], COLUMN(Z$1)-COLUMN($A$1), FALSE), VLOOKUP($A255,raw_lb[],COLUMN(Z$1)-COLUMN($A$1),FALSE))</f>
        <v>3.7896146567205906</v>
      </c>
      <c r="Z255" s="70">
        <f>IF(VLOOKUP($A255,raw_lb[],COLUMN(AA$1)-COLUMN($A$1),FALSE)=0, VLOOKUP($D255, regions_lb[], COLUMN(AA$1)-COLUMN($A$1), FALSE), VLOOKUP($A255,raw_lb[],COLUMN(AA$1)-COLUMN($A$1),FALSE))</f>
        <v>3.7856217803752261</v>
      </c>
      <c r="AA255" s="70">
        <f>IF(VLOOKUP($A255,raw_lb[],COLUMN(AB$1)-COLUMN($A$1),FALSE)=0, VLOOKUP($D255, regions_lb[], COLUMN(AB$1)-COLUMN($A$1), FALSE), VLOOKUP($A255,raw_lb[],COLUMN(AB$1)-COLUMN($A$1),FALSE))</f>
        <v>4.3988475082748142</v>
      </c>
      <c r="AB255" s="70">
        <f>IF(VLOOKUP($A255,raw_lb[],COLUMN(AC$1)-COLUMN($A$1),FALSE)=0, VLOOKUP($D255, regions_lb[], COLUMN(AC$1)-COLUMN($A$1), FALSE), VLOOKUP($A255,raw_lb[],COLUMN(AC$1)-COLUMN($A$1),FALSE))</f>
        <v>4.4178475082748143</v>
      </c>
      <c r="AC255" s="72">
        <f>IF(VLOOKUP($A255,raw_lb[],COLUMN(AD$1)-COLUMN($A$1),FALSE)=0, VLOOKUP($D255, regions_lb[], COLUMN(AD$1)-COLUMN($A$1), FALSE), VLOOKUP($A255,raw_lb[],COLUMN(AD$1)-COLUMN($A$1),FALSE))</f>
        <v>1.6621712999999951E-2</v>
      </c>
      <c r="AD255" s="72">
        <f>IF(VLOOKUP($A255,raw_lb[],COLUMN(AE$1)-COLUMN($A$1),FALSE)=0, VLOOKUP($D255, regions_lb[], COLUMN(AE$1)-COLUMN($A$1), FALSE), VLOOKUP($A255,raw_lb[],COLUMN(AE$1)-COLUMN($A$1),FALSE))</f>
        <v>5.0077393620578297E-4</v>
      </c>
      <c r="AE255" s="72">
        <f>IF(VLOOKUP($A255,raw_lb[],COLUMN(AF$1)-COLUMN($A$1),FALSE)=0, VLOOKUP($D255, regions_lb[], COLUMN(AF$1)-COLUMN($A$1), FALSE), VLOOKUP($A255,raw_lb[],COLUMN(AF$1)-COLUMN($A$1),FALSE))</f>
        <v>5.2337641873583451E-4</v>
      </c>
      <c r="AF255" s="72">
        <f>IF(VLOOKUP($A255,raw_lb[],COLUMN(AG$1)-COLUMN($A$1),FALSE)=0, VLOOKUP($D255, regions_lb[], COLUMN(AG$1)-COLUMN($A$1), FALSE), VLOOKUP($A255,raw_lb[],COLUMN(AG$1)-COLUMN($A$1),FALSE))</f>
        <v>2.9964710543324043E-4</v>
      </c>
      <c r="AG255" s="72">
        <f>IF(VLOOKUP($A255,raw_lb[],COLUMN(AH$1)-COLUMN($A$1),FALSE)=0, VLOOKUP($D255, regions_lb[], COLUMN(AH$1)-COLUMN($A$1), FALSE), VLOOKUP($A255,raw_lb[],COLUMN(AH$1)-COLUMN($A$1),FALSE))</f>
        <v>5.4643221551887295E-4</v>
      </c>
      <c r="AH255" s="72">
        <f>IF(VLOOKUP($A255,raw_lb[],COLUMN(AI$1)-COLUMN($A$1),FALSE)=0, VLOOKUP($D255, regions_lb[], COLUMN(AI$1)-COLUMN($A$1), FALSE), VLOOKUP($A255,raw_lb[],COLUMN(AI$1)-COLUMN($A$1),FALSE))</f>
        <v>1.1159635870274744E-3</v>
      </c>
      <c r="AI255" s="72">
        <f>IF(VLOOKUP($A255,raw_lb[],COLUMN(AJ$1)-COLUMN($A$1),FALSE)=0, VLOOKUP($D255, regions_lb[], COLUMN(AJ$1)-COLUMN($A$1), FALSE), VLOOKUP($A255,raw_lb[],COLUMN(AJ$1)-COLUMN($A$1),FALSE))</f>
        <v>1.8013885638795755E-3</v>
      </c>
      <c r="AJ255" s="72">
        <f>IF(VLOOKUP($A255,raw_lb[],COLUMN(AK$1)-COLUMN($A$1),FALSE)=0, VLOOKUP($D255, regions_lb[], COLUMN(AK$1)-COLUMN($A$1), FALSE), VLOOKUP($A255,raw_lb[],COLUMN(AK$1)-COLUMN($A$1),FALSE))</f>
        <v>2.4402060073442549E-3</v>
      </c>
      <c r="AK255" s="72">
        <f>IF(VLOOKUP($A255,raw_lb[],COLUMN(AL$1)-COLUMN($A$1),FALSE)=0, VLOOKUP($D255, regions_lb[], COLUMN(AL$1)-COLUMN($A$1), FALSE), VLOOKUP($A255,raw_lb[],COLUMN(AL$1)-COLUMN($A$1),FALSE))</f>
        <v>3.0550243170953321E-3</v>
      </c>
      <c r="AL255" s="72">
        <f>IF(VLOOKUP($A255,raw_lb[],COLUMN(AM$1)-COLUMN($A$1),FALSE)=0, VLOOKUP($D255, regions_lb[], COLUMN(AM$1)-COLUMN($A$1), FALSE), VLOOKUP($A255,raw_lb[],COLUMN(AM$1)-COLUMN($A$1),FALSE))</f>
        <v>3.7375086379332206E-3</v>
      </c>
      <c r="AM255" s="72">
        <f>IF(VLOOKUP($A255,raw_lb[],COLUMN(AN$1)-COLUMN($A$1),FALSE)=0, VLOOKUP($D255, regions_lb[], COLUMN(AN$1)-COLUMN($A$1), FALSE), VLOOKUP($A255,raw_lb[],COLUMN(AN$1)-COLUMN($A$1),FALSE))</f>
        <v>4.8037719037198638E-3</v>
      </c>
      <c r="AN255" s="72">
        <f>IF(VLOOKUP($A255,raw_lb[],COLUMN(AO$1)-COLUMN($A$1),FALSE)=0, VLOOKUP($D255, regions_lb[], COLUMN(AO$1)-COLUMN($A$1), FALSE), VLOOKUP($A255,raw_lb[],COLUMN(AO$1)-COLUMN($A$1),FALSE))</f>
        <v>6.9613844568964071E-3</v>
      </c>
      <c r="AO255" s="72">
        <f>IF(VLOOKUP($A255,raw_lb[],COLUMN(AP$1)-COLUMN($A$1),FALSE)=0, VLOOKUP($D255, regions_lb[], COLUMN(AP$1)-COLUMN($A$1), FALSE), VLOOKUP($A255,raw_lb[],COLUMN(AP$1)-COLUMN($A$1),FALSE))</f>
        <v>1.078950747155643E-2</v>
      </c>
      <c r="AP255" s="72">
        <f>IF(VLOOKUP($A255,raw_lb[],COLUMN(AQ$1)-COLUMN($A$1),FALSE)=0, VLOOKUP($D255, regions_lb[], COLUMN(AQ$1)-COLUMN($A$1), FALSE), VLOOKUP($A255,raw_lb[],COLUMN(AQ$1)-COLUMN($A$1),FALSE))</f>
        <v>1.6658814783602413E-2</v>
      </c>
      <c r="AQ255" s="72">
        <f>IF(VLOOKUP($A255,raw_lb[],COLUMN(AR$1)-COLUMN($A$1),FALSE)=0, VLOOKUP($D255, regions_lb[], COLUMN(AR$1)-COLUMN($A$1), FALSE), VLOOKUP($A255,raw_lb[],COLUMN(AR$1)-COLUMN($A$1),FALSE))</f>
        <v>2.5148641182250037E-2</v>
      </c>
      <c r="AR255" s="72">
        <f>IF(VLOOKUP($A255,raw_lb[],COLUMN(AS$1)-COLUMN($A$1),FALSE)=0, VLOOKUP($D255, regions_lb[], COLUMN(AS$1)-COLUMN($A$1), FALSE), VLOOKUP($A255,raw_lb[],COLUMN(AS$1)-COLUMN($A$1),FALSE))</f>
        <v>3.7240358109747358E-2</v>
      </c>
      <c r="AS255" s="82">
        <f>IF(VLOOKUP($A255,raw_lb[],COLUMN(AS$1),FALSE)=0, VLOOKUP($D255, regions_lb[], COLUMN(AS$1), FALSE), VLOOKUP($A255,raw_lb[],COLUMN(AS$1),FALSE))</f>
        <v>5.396270027110061E-2</v>
      </c>
      <c r="AT255" s="82">
        <f>IF(VLOOKUP($A255,raw_lb[],COLUMN(AT$1),FALSE)=0, VLOOKUP($D255, regions_lb[], COLUMN(AT$1), FALSE), VLOOKUP($A255,raw_lb[],COLUMN(AT$1),FALSE))</f>
        <v>7.5823515183555484E-2</v>
      </c>
      <c r="AU255" s="82">
        <f>IF(VLOOKUP($A255,raw_lb[],COLUMN(AU$1),FALSE)=0, VLOOKUP($D255, regions_lb[], COLUMN(AU$1), FALSE), VLOOKUP($A255,raw_lb[],COLUMN(AU$1),FALSE))</f>
        <v>0.10128825302624181</v>
      </c>
      <c r="AV255" s="82">
        <f>IF(VLOOKUP($A255,raw_lb[],COLUMN(AV$1),FALSE)=0, VLOOKUP($D255, regions_lb[], COLUMN(AV$1), FALSE), VLOOKUP($A255,raw_lb[],COLUMN(AV$1),FALSE))</f>
        <v>0.12715820660628255</v>
      </c>
      <c r="AW255" s="82">
        <f>IF(VLOOKUP($A255,raw_lb[],COLUMN(AW$1),FALSE)=0, VLOOKUP($D255, regions_lb[], COLUMN(AW$1), FALSE), VLOOKUP($A255,raw_lb[],COLUMN(AW$1),FALSE))</f>
        <v>0.14969037912526117</v>
      </c>
      <c r="AX255" s="82">
        <f>IF(VLOOKUP($A255,raw_lb[],COLUMN(AX$1),FALSE)=0, VLOOKUP($D255, regions_lb[], COLUMN(AX$1), FALSE), VLOOKUP($A255,raw_lb[],COLUMN(AX$1),FALSE))</f>
        <v>67.913600000000002</v>
      </c>
      <c r="AY255" t="str">
        <f t="shared" si="8"/>
        <v>No</v>
      </c>
    </row>
    <row r="256" spans="1:51" x14ac:dyDescent="0.25">
      <c r="A256" s="53" t="s">
        <v>456</v>
      </c>
      <c r="B256" s="54" t="s">
        <v>457</v>
      </c>
      <c r="C256" s="54">
        <v>760</v>
      </c>
      <c r="D256" s="54" t="s">
        <v>196</v>
      </c>
      <c r="E256" s="54" t="s">
        <v>197</v>
      </c>
      <c r="F256" s="54" t="s">
        <v>197</v>
      </c>
      <c r="G256" s="54" t="s">
        <v>198</v>
      </c>
      <c r="H256" s="73"/>
      <c r="I256" s="73"/>
      <c r="J256" s="67">
        <f>IF(VLOOKUP($A256,raw_lb[],COLUMN(J$1),FALSE)=0, VLOOKUP($D256, regions_lb[], COLUMN(J$1), FALSE), VLOOKUP($A256,raw_lb[],COLUMN(J$1),FALSE))</f>
        <v>0.7429</v>
      </c>
      <c r="K256" s="77">
        <f>VLOOKUP($A256, raw_lb[], 11, FALSE)</f>
        <v>0</v>
      </c>
      <c r="L256" s="77">
        <f>VLOOKUP($A256, raw_lb[], 12, FALSE)</f>
        <v>0.46549999999999997</v>
      </c>
      <c r="M256" s="77">
        <f>IF(VLOOKUP($A256,raw_lb[],COLUMN(M$1),FALSE)=0, VLOOKUP($D256, regions_lb[], COLUMN(M$1), FALSE), VLOOKUP($A256,raw_lb[],COLUMN(M$1),FALSE))</f>
        <v>8.199999999999999E-3</v>
      </c>
      <c r="N256" s="68">
        <f>IF(VLOOKUP($A256,raw_lb[],COLUMN(N$1),FALSE)=0, VLOOKUP($D256, regions_lb[], COLUMN(N$1), FALSE), VLOOKUP($A256,raw_lb[],COLUMN(N$1),FALSE))</f>
        <v>0.14980000000000002</v>
      </c>
      <c r="O256" s="67">
        <f>IF(VLOOKUP($A256,raw_lb[],COLUMN(O$1),FALSE)=0, VLOOKUP($D256, regions_lb[], COLUMN(O$1), FALSE), VLOOKUP($A256,raw_lb[],COLUMN(O$1),FALSE))</f>
        <v>0.7</v>
      </c>
      <c r="P256" s="68">
        <f>IF(VLOOKUP($A256,raw_lb[],COLUMN(P$1),FALSE)=0, VLOOKUP($D256, regions_lb[], COLUMN(P$1), FALSE), VLOOKUP($A256,raw_lb[],COLUMN(P$1),FALSE))</f>
        <v>0.05</v>
      </c>
      <c r="Q256" s="70">
        <f>IF(VLOOKUP($A256,raw_lb[],COLUMN(Q$1),FALSE)=0, VLOOKUP($D256, regions_lb[], COLUMN(Q$1), FALSE), VLOOKUP($A256,raw_lb[],COLUMN(Q$1),FALSE))</f>
        <v>1.4590451880178461</v>
      </c>
      <c r="R256" s="70">
        <f>IF(VLOOKUP($A256,raw_lb[],COLUMN(R$1),FALSE)=0, VLOOKUP($D256, regions_lb[], COLUMN(R$1), FALSE), VLOOKUP($A256,raw_lb[],COLUMN(R$1),FALSE))</f>
        <v>8.5199451880178465</v>
      </c>
      <c r="S256" s="70">
        <f>IF(VLOOKUP($A256,raw_lb[],COLUMN(S$1),FALSE)=0, VLOOKUP($D256, regions_lb[], COLUMN(S$1), FALSE), VLOOKUP($A256,raw_lb[],COLUMN(S$1),FALSE))</f>
        <v>43.024504128612634</v>
      </c>
      <c r="T256" s="70">
        <f>IF(VLOOKUP($A256,raw_lb[],COLUMN(U$1)-COLUMN($A$1),FALSE)=0, VLOOKUP($D256, regions_lb[], COLUMN(U$1)-COLUMN($A$1), FALSE), VLOOKUP($A256,raw_lb[],COLUMN(U$1)-COLUMN($A$1),FALSE))</f>
        <v>45.774932355793375</v>
      </c>
      <c r="U256" s="70">
        <f>IF(VLOOKUP($A256,raw_lb[],COLUMN(V$1)-COLUMN($A$1),FALSE)=0, VLOOKUP($D256, regions_lb[], COLUMN(V$1)-COLUMN($A$1), FALSE), VLOOKUP($A256,raw_lb[],COLUMN(V$1)-COLUMN($A$1),FALSE))</f>
        <v>44.511993850518373</v>
      </c>
      <c r="V256" s="70">
        <f>IF(VLOOKUP($A256,raw_lb[],COLUMN(W$1)-COLUMN($A$1),FALSE)=0, VLOOKUP($D256, regions_lb[], COLUMN(W$1)-COLUMN($A$1), FALSE), VLOOKUP($A256,raw_lb[],COLUMN(W$1)-COLUMN($A$1),FALSE))</f>
        <v>0.61423975458882885</v>
      </c>
      <c r="W256" s="70">
        <f>IF(VLOOKUP($A256,raw_lb[],COLUMN(X$1)-COLUMN($A$1),FALSE)=0, VLOOKUP($D256, regions_lb[], COLUMN(X$1)-COLUMN($A$1), FALSE), VLOOKUP($A256,raw_lb[],COLUMN(X$1)-COLUMN($A$1),FALSE))</f>
        <v>1.0702397545888287</v>
      </c>
      <c r="X256" s="70">
        <f>IF(VLOOKUP($A256,raw_lb[],COLUMN(Y$1)-COLUMN($A$1),FALSE)=0, VLOOKUP($D256, regions_lb[], COLUMN(Y$1)-COLUMN($A$1), FALSE), VLOOKUP($A256,raw_lb[],COLUMN(Y$1)-COLUMN($A$1),FALSE))</f>
        <v>0.14122347655552026</v>
      </c>
      <c r="Y256" s="70">
        <f>IF(VLOOKUP($A256,raw_lb[],COLUMN(Z$1)-COLUMN($A$1),FALSE)=0, VLOOKUP($D256, regions_lb[], COLUMN(Z$1)-COLUMN($A$1), FALSE), VLOOKUP($A256,raw_lb[],COLUMN(Z$1)-COLUMN($A$1),FALSE))</f>
        <v>0.59722347655552022</v>
      </c>
      <c r="Z256" s="70">
        <f>IF(VLOOKUP($A256,raw_lb[],COLUMN(AA$1)-COLUMN($A$1),FALSE)=0, VLOOKUP($D256, regions_lb[], COLUMN(AA$1)-COLUMN($A$1), FALSE), VLOOKUP($A256,raw_lb[],COLUMN(AA$1)-COLUMN($A$1),FALSE))</f>
        <v>0.59378754567541026</v>
      </c>
      <c r="AA256" s="70">
        <f>IF(VLOOKUP($A256,raw_lb[],COLUMN(AB$1)-COLUMN($A$1),FALSE)=0, VLOOKUP($D256, regions_lb[], COLUMN(AB$1)-COLUMN($A$1), FALSE), VLOOKUP($A256,raw_lb[],COLUMN(AB$1)-COLUMN($A$1),FALSE))</f>
        <v>0.76465387283764152</v>
      </c>
      <c r="AB256" s="70">
        <f>IF(VLOOKUP($A256,raw_lb[],COLUMN(AC$1)-COLUMN($A$1),FALSE)=0, VLOOKUP($D256, regions_lb[], COLUMN(AC$1)-COLUMN($A$1), FALSE), VLOOKUP($A256,raw_lb[],COLUMN(AC$1)-COLUMN($A$1),FALSE))</f>
        <v>1.2206538728376415</v>
      </c>
      <c r="AC256" s="72">
        <f>IF(VLOOKUP($A256,raw_lb[],COLUMN(AD$1)-COLUMN($A$1),FALSE)=0, VLOOKUP($D256, regions_lb[], COLUMN(AD$1)-COLUMN($A$1), FALSE), VLOOKUP($A256,raw_lb[],COLUMN(AD$1)-COLUMN($A$1),FALSE))</f>
        <v>1.4766638500000016E-2</v>
      </c>
      <c r="AD256" s="72">
        <f>IF(VLOOKUP($A256,raw_lb[],COLUMN(AE$1)-COLUMN($A$1),FALSE)=0, VLOOKUP($D256, regions_lb[], COLUMN(AE$1)-COLUMN($A$1), FALSE), VLOOKUP($A256,raw_lb[],COLUMN(AE$1)-COLUMN($A$1),FALSE))</f>
        <v>5.3794637195476471E-4</v>
      </c>
      <c r="AE256" s="72">
        <f>IF(VLOOKUP($A256,raw_lb[],COLUMN(AF$1)-COLUMN($A$1),FALSE)=0, VLOOKUP($D256, regions_lb[], COLUMN(AF$1)-COLUMN($A$1), FALSE), VLOOKUP($A256,raw_lb[],COLUMN(AF$1)-COLUMN($A$1),FALSE))</f>
        <v>3.3685311269498114E-4</v>
      </c>
      <c r="AF256" s="72">
        <f>IF(VLOOKUP($A256,raw_lb[],COLUMN(AG$1)-COLUMN($A$1),FALSE)=0, VLOOKUP($D256, regions_lb[], COLUMN(AG$1)-COLUMN($A$1), FALSE), VLOOKUP($A256,raw_lb[],COLUMN(AG$1)-COLUMN($A$1),FALSE))</f>
        <v>3.0028599929338991E-4</v>
      </c>
      <c r="AG256" s="72">
        <f>IF(VLOOKUP($A256,raw_lb[],COLUMN(AH$1)-COLUMN($A$1),FALSE)=0, VLOOKUP($D256, regions_lb[], COLUMN(AH$1)-COLUMN($A$1), FALSE), VLOOKUP($A256,raw_lb[],COLUMN(AH$1)-COLUMN($A$1),FALSE))</f>
        <v>2.040276756586142E-3</v>
      </c>
      <c r="AH256" s="72">
        <f>IF(VLOOKUP($A256,raw_lb[],COLUMN(AI$1)-COLUMN($A$1),FALSE)=0, VLOOKUP($D256, regions_lb[], COLUMN(AI$1)-COLUMN($A$1), FALSE), VLOOKUP($A256,raw_lb[],COLUMN(AI$1)-COLUMN($A$1),FALSE))</f>
        <v>2.9774938381021735E-3</v>
      </c>
      <c r="AI256" s="72">
        <f>IF(VLOOKUP($A256,raw_lb[],COLUMN(AJ$1)-COLUMN($A$1),FALSE)=0, VLOOKUP($D256, regions_lb[], COLUMN(AJ$1)-COLUMN($A$1), FALSE), VLOOKUP($A256,raw_lb[],COLUMN(AJ$1)-COLUMN($A$1),FALSE))</f>
        <v>4.4163092872933707E-3</v>
      </c>
      <c r="AJ256" s="72">
        <f>IF(VLOOKUP($A256,raw_lb[],COLUMN(AK$1)-COLUMN($A$1),FALSE)=0, VLOOKUP($D256, regions_lb[], COLUMN(AK$1)-COLUMN($A$1), FALSE), VLOOKUP($A256,raw_lb[],COLUMN(AK$1)-COLUMN($A$1),FALSE))</f>
        <v>3.7938800612009487E-3</v>
      </c>
      <c r="AK256" s="72">
        <f>IF(VLOOKUP($A256,raw_lb[],COLUMN(AL$1)-COLUMN($A$1),FALSE)=0, VLOOKUP($D256, regions_lb[], COLUMN(AL$1)-COLUMN($A$1), FALSE), VLOOKUP($A256,raw_lb[],COLUMN(AL$1)-COLUMN($A$1),FALSE))</f>
        <v>2.5847358913204136E-3</v>
      </c>
      <c r="AL256" s="72">
        <f>IF(VLOOKUP($A256,raw_lb[],COLUMN(AM$1)-COLUMN($A$1),FALSE)=0, VLOOKUP($D256, regions_lb[], COLUMN(AM$1)-COLUMN($A$1), FALSE), VLOOKUP($A256,raw_lb[],COLUMN(AM$1)-COLUMN($A$1),FALSE))</f>
        <v>2.5861020347740468E-3</v>
      </c>
      <c r="AM256" s="72">
        <f>IF(VLOOKUP($A256,raw_lb[],COLUMN(AN$1)-COLUMN($A$1),FALSE)=0, VLOOKUP($D256, regions_lb[], COLUMN(AN$1)-COLUMN($A$1), FALSE), VLOOKUP($A256,raw_lb[],COLUMN(AN$1)-COLUMN($A$1),FALSE))</f>
        <v>3.8627519841556005E-3</v>
      </c>
      <c r="AN256" s="72">
        <f>IF(VLOOKUP($A256,raw_lb[],COLUMN(AO$1)-COLUMN($A$1),FALSE)=0, VLOOKUP($D256, regions_lb[], COLUMN(AO$1)-COLUMN($A$1), FALSE), VLOOKUP($A256,raw_lb[],COLUMN(AO$1)-COLUMN($A$1),FALSE))</f>
        <v>6.2918396838202413E-3</v>
      </c>
      <c r="AO256" s="72">
        <f>IF(VLOOKUP($A256,raw_lb[],COLUMN(AP$1)-COLUMN($A$1),FALSE)=0, VLOOKUP($D256, regions_lb[], COLUMN(AP$1)-COLUMN($A$1), FALSE), VLOOKUP($A256,raw_lb[],COLUMN(AP$1)-COLUMN($A$1),FALSE))</f>
        <v>7.7051046084449359E-3</v>
      </c>
      <c r="AP256" s="72">
        <f>IF(VLOOKUP($A256,raw_lb[],COLUMN(AQ$1)-COLUMN($A$1),FALSE)=0, VLOOKUP($D256, regions_lb[], COLUMN(AQ$1)-COLUMN($A$1), FALSE), VLOOKUP($A256,raw_lb[],COLUMN(AQ$1)-COLUMN($A$1),FALSE))</f>
        <v>1.2361729846582079E-2</v>
      </c>
      <c r="AQ256" s="72">
        <f>IF(VLOOKUP($A256,raw_lb[],COLUMN(AR$1)-COLUMN($A$1),FALSE)=0, VLOOKUP($D256, regions_lb[], COLUMN(AR$1)-COLUMN($A$1), FALSE), VLOOKUP($A256,raw_lb[],COLUMN(AR$1)-COLUMN($A$1),FALSE))</f>
        <v>2.0495727993079558E-2</v>
      </c>
      <c r="AR256" s="72">
        <f>IF(VLOOKUP($A256,raw_lb[],COLUMN(AS$1)-COLUMN($A$1),FALSE)=0, VLOOKUP($D256, regions_lb[], COLUMN(AS$1)-COLUMN($A$1), FALSE), VLOOKUP($A256,raw_lb[],COLUMN(AS$1)-COLUMN($A$1),FALSE))</f>
        <v>3.3722715351937528E-2</v>
      </c>
      <c r="AS256" s="82">
        <f>IF(VLOOKUP($A256,raw_lb[],COLUMN(AS$1),FALSE)=0, VLOOKUP($D256, regions_lb[], COLUMN(AS$1), FALSE), VLOOKUP($A256,raw_lb[],COLUMN(AS$1),FALSE))</f>
        <v>4.9545345300773876E-2</v>
      </c>
      <c r="AT256" s="82">
        <f>IF(VLOOKUP($A256,raw_lb[],COLUMN(AT$1),FALSE)=0, VLOOKUP($D256, regions_lb[], COLUMN(AT$1), FALSE), VLOOKUP($A256,raw_lb[],COLUMN(AT$1),FALSE))</f>
        <v>7.8601545026938877E-2</v>
      </c>
      <c r="AU256" s="82">
        <f>IF(VLOOKUP($A256,raw_lb[],COLUMN(AU$1),FALSE)=0, VLOOKUP($D256, regions_lb[], COLUMN(AU$1), FALSE), VLOOKUP($A256,raw_lb[],COLUMN(AU$1),FALSE))</f>
        <v>0.11160718654721043</v>
      </c>
      <c r="AV256" s="82">
        <f>IF(VLOOKUP($A256,raw_lb[],COLUMN(AV$1),FALSE)=0, VLOOKUP($D256, regions_lb[], COLUMN(AV$1), FALSE), VLOOKUP($A256,raw_lb[],COLUMN(AV$1),FALSE))</f>
        <v>0.14321075263385985</v>
      </c>
      <c r="AW256" s="82">
        <f>IF(VLOOKUP($A256,raw_lb[],COLUMN(AW$1),FALSE)=0, VLOOKUP($D256, regions_lb[], COLUMN(AW$1), FALSE), VLOOKUP($A256,raw_lb[],COLUMN(AW$1),FALSE))</f>
        <v>0.16426276069318102</v>
      </c>
      <c r="AX256" s="82">
        <f>IF(VLOOKUP($A256,raw_lb[],COLUMN(AX$1),FALSE)=0, VLOOKUP($D256, regions_lb[], COLUMN(AX$1), FALSE), VLOOKUP($A256,raw_lb[],COLUMN(AX$1),FALSE))</f>
        <v>67.753999999999991</v>
      </c>
      <c r="AY256" t="str">
        <f t="shared" si="8"/>
        <v>Yes</v>
      </c>
    </row>
    <row r="257" spans="1:51" x14ac:dyDescent="0.25">
      <c r="A257" s="55" t="s">
        <v>458</v>
      </c>
      <c r="B257" s="56" t="s">
        <v>459</v>
      </c>
      <c r="C257" s="56">
        <v>762</v>
      </c>
      <c r="D257" s="56" t="s">
        <v>201</v>
      </c>
      <c r="E257" s="56" t="s">
        <v>220</v>
      </c>
      <c r="F257" s="56" t="s">
        <v>203</v>
      </c>
      <c r="G257" s="56" t="s">
        <v>198</v>
      </c>
      <c r="H257" s="74"/>
      <c r="I257" s="74"/>
      <c r="J257" s="67">
        <f>IF(VLOOKUP($A257,raw_lb[],COLUMN(J$1),FALSE)=0, VLOOKUP($D257, regions_lb[], COLUMN(J$1), FALSE), VLOOKUP($A257,raw_lb[],COLUMN(J$1),FALSE))</f>
        <v>0.83789999999999998</v>
      </c>
      <c r="K257" s="77">
        <f>VLOOKUP($A257, raw_lb[], 11, FALSE)</f>
        <v>0.9405</v>
      </c>
      <c r="L257" s="77">
        <f>VLOOKUP($A257, raw_lb[], 12, FALSE)</f>
        <v>0.92149999999999999</v>
      </c>
      <c r="M257" s="77">
        <f>IF(VLOOKUP($A257,raw_lb[],COLUMN(M$1),FALSE)=0, VLOOKUP($D257, regions_lb[], COLUMN(M$1), FALSE), VLOOKUP($A257,raw_lb[],COLUMN(M$1),FALSE))</f>
        <v>3.4099999999999998E-2</v>
      </c>
      <c r="N257" s="68">
        <f>IF(VLOOKUP($A257,raw_lb[],COLUMN(N$1),FALSE)=0, VLOOKUP($D257, regions_lb[], COLUMN(N$1), FALSE), VLOOKUP($A257,raw_lb[],COLUMN(N$1),FALSE))</f>
        <v>0.16309999999999999</v>
      </c>
      <c r="O257" s="67">
        <f>IF(VLOOKUP($A257,raw_lb[],COLUMN(O$1),FALSE)=0, VLOOKUP($D257, regions_lb[], COLUMN(O$1), FALSE), VLOOKUP($A257,raw_lb[],COLUMN(O$1),FALSE))</f>
        <v>0.7</v>
      </c>
      <c r="P257" s="68">
        <f>IF(VLOOKUP($A257,raw_lb[],COLUMN(P$1),FALSE)=0, VLOOKUP($D257, regions_lb[], COLUMN(P$1), FALSE), VLOOKUP($A257,raw_lb[],COLUMN(P$1),FALSE))</f>
        <v>0.05</v>
      </c>
      <c r="Q257" s="70">
        <f>IF(VLOOKUP($A257,raw_lb[],COLUMN(Q$1),FALSE)=0, VLOOKUP($D257, regions_lb[], COLUMN(Q$1), FALSE), VLOOKUP($A257,raw_lb[],COLUMN(Q$1),FALSE))</f>
        <v>0.73515780346820803</v>
      </c>
      <c r="R257" s="70">
        <f>IF(VLOOKUP($A257,raw_lb[],COLUMN(R$1),FALSE)=0, VLOOKUP($D257, regions_lb[], COLUMN(R$1), FALSE), VLOOKUP($A257,raw_lb[],COLUMN(R$1),FALSE))</f>
        <v>7.7960578034682086</v>
      </c>
      <c r="S257" s="70">
        <f>IF(VLOOKUP($A257,raw_lb[],COLUMN(S$1),FALSE)=0, VLOOKUP($D257, regions_lb[], COLUMN(S$1), FALSE), VLOOKUP($A257,raw_lb[],COLUMN(S$1),FALSE))</f>
        <v>37.926891431367906</v>
      </c>
      <c r="T257" s="70">
        <f>IF(VLOOKUP($A257,raw_lb[],COLUMN(U$1)-COLUMN($A$1),FALSE)=0, VLOOKUP($D257, regions_lb[], COLUMN(U$1)-COLUMN($A$1), FALSE), VLOOKUP($A257,raw_lb[],COLUMN(U$1)-COLUMN($A$1),FALSE))</f>
        <v>38.400948500009257</v>
      </c>
      <c r="U257" s="70">
        <f>IF(VLOOKUP($A257,raw_lb[],COLUMN(V$1)-COLUMN($A$1),FALSE)=0, VLOOKUP($D257, regions_lb[], COLUMN(V$1)-COLUMN($A$1), FALSE), VLOOKUP($A257,raw_lb[],COLUMN(V$1)-COLUMN($A$1),FALSE))</f>
        <v>38.183271514379044</v>
      </c>
      <c r="V257" s="70">
        <f>IF(VLOOKUP($A257,raw_lb[],COLUMN(W$1)-COLUMN($A$1),FALSE)=0, VLOOKUP($D257, regions_lb[], COLUMN(W$1)-COLUMN($A$1), FALSE), VLOOKUP($A257,raw_lb[],COLUMN(W$1)-COLUMN($A$1),FALSE))</f>
        <v>1.6478727709561265</v>
      </c>
      <c r="W257" s="70">
        <f>IF(VLOOKUP($A257,raw_lb[],COLUMN(X$1)-COLUMN($A$1),FALSE)=0, VLOOKUP($D257, regions_lb[], COLUMN(X$1)-COLUMN($A$1), FALSE), VLOOKUP($A257,raw_lb[],COLUMN(X$1)-COLUMN($A$1),FALSE))</f>
        <v>5.5143727709561272</v>
      </c>
      <c r="X257" s="70">
        <f>IF(VLOOKUP($A257,raw_lb[],COLUMN(Y$1)-COLUMN($A$1),FALSE)=0, VLOOKUP($D257, regions_lb[], COLUMN(Y$1)-COLUMN($A$1), FALSE), VLOOKUP($A257,raw_lb[],COLUMN(Y$1)-COLUMN($A$1),FALSE))</f>
        <v>1.1778512508892245</v>
      </c>
      <c r="Y257" s="70">
        <f>IF(VLOOKUP($A257,raw_lb[],COLUMN(Z$1)-COLUMN($A$1),FALSE)=0, VLOOKUP($D257, regions_lb[], COLUMN(Z$1)-COLUMN($A$1), FALSE), VLOOKUP($A257,raw_lb[],COLUMN(Z$1)-COLUMN($A$1),FALSE))</f>
        <v>5.0443512508892248</v>
      </c>
      <c r="Z257" s="70">
        <f>IF(VLOOKUP($A257,raw_lb[],COLUMN(AA$1)-COLUMN($A$1),FALSE)=0, VLOOKUP($D257, regions_lb[], COLUMN(AA$1)-COLUMN($A$1), FALSE), VLOOKUP($A257,raw_lb[],COLUMN(AA$1)-COLUMN($A$1),FALSE))</f>
        <v>5.0429749962242987</v>
      </c>
      <c r="AA257" s="70">
        <f>IF(VLOOKUP($A257,raw_lb[],COLUMN(AB$1)-COLUMN($A$1),FALSE)=0, VLOOKUP($D257, regions_lb[], COLUMN(AB$1)-COLUMN($A$1), FALSE), VLOOKUP($A257,raw_lb[],COLUMN(AB$1)-COLUMN($A$1),FALSE))</f>
        <v>1.7890459217657408</v>
      </c>
      <c r="AB257" s="70">
        <f>IF(VLOOKUP($A257,raw_lb[],COLUMN(AC$1)-COLUMN($A$1),FALSE)=0, VLOOKUP($D257, regions_lb[], COLUMN(AC$1)-COLUMN($A$1), FALSE), VLOOKUP($A257,raw_lb[],COLUMN(AC$1)-COLUMN($A$1),FALSE))</f>
        <v>5.6555459217657411</v>
      </c>
      <c r="AC257" s="72">
        <f>IF(VLOOKUP($A257,raw_lb[],COLUMN(AD$1)-COLUMN($A$1),FALSE)=0, VLOOKUP($D257, regions_lb[], COLUMN(AD$1)-COLUMN($A$1), FALSE), VLOOKUP($A257,raw_lb[],COLUMN(AD$1)-COLUMN($A$1),FALSE))</f>
        <v>2.7811478000000046E-2</v>
      </c>
      <c r="AD257" s="72">
        <f>IF(VLOOKUP($A257,raw_lb[],COLUMN(AE$1)-COLUMN($A$1),FALSE)=0, VLOOKUP($D257, regions_lb[], COLUMN(AE$1)-COLUMN($A$1), FALSE), VLOOKUP($A257,raw_lb[],COLUMN(AE$1)-COLUMN($A$1),FALSE))</f>
        <v>7.3702392735916934E-4</v>
      </c>
      <c r="AE257" s="72">
        <f>IF(VLOOKUP($A257,raw_lb[],COLUMN(AF$1)-COLUMN($A$1),FALSE)=0, VLOOKUP($D257, regions_lb[], COLUMN(AF$1)-COLUMN($A$1), FALSE), VLOOKUP($A257,raw_lb[],COLUMN(AF$1)-COLUMN($A$1),FALSE))</f>
        <v>1.8195944280344551E-4</v>
      </c>
      <c r="AF257" s="72">
        <f>IF(VLOOKUP($A257,raw_lb[],COLUMN(AG$1)-COLUMN($A$1),FALSE)=0, VLOOKUP($D257, regions_lb[], COLUMN(AG$1)-COLUMN($A$1), FALSE), VLOOKUP($A257,raw_lb[],COLUMN(AG$1)-COLUMN($A$1),FALSE))</f>
        <v>1.9031531076087519E-4</v>
      </c>
      <c r="AG257" s="72">
        <f>IF(VLOOKUP($A257,raw_lb[],COLUMN(AH$1)-COLUMN($A$1),FALSE)=0, VLOOKUP($D257, regions_lb[], COLUMN(AH$1)-COLUMN($A$1), FALSE), VLOOKUP($A257,raw_lb[],COLUMN(AH$1)-COLUMN($A$1),FALSE))</f>
        <v>3.1537903860068386E-4</v>
      </c>
      <c r="AH257" s="72">
        <f>IF(VLOOKUP($A257,raw_lb[],COLUMN(AI$1)-COLUMN($A$1),FALSE)=0, VLOOKUP($D257, regions_lb[], COLUMN(AI$1)-COLUMN($A$1), FALSE), VLOOKUP($A257,raw_lb[],COLUMN(AI$1)-COLUMN($A$1),FALSE))</f>
        <v>4.8528311737419162E-4</v>
      </c>
      <c r="AI257" s="72">
        <f>IF(VLOOKUP($A257,raw_lb[],COLUMN(AJ$1)-COLUMN($A$1),FALSE)=0, VLOOKUP($D257, regions_lb[], COLUMN(AJ$1)-COLUMN($A$1), FALSE), VLOOKUP($A257,raw_lb[],COLUMN(AJ$1)-COLUMN($A$1),FALSE))</f>
        <v>8.128432741548845E-4</v>
      </c>
      <c r="AJ257" s="72">
        <f>IF(VLOOKUP($A257,raw_lb[],COLUMN(AK$1)-COLUMN($A$1),FALSE)=0, VLOOKUP($D257, regions_lb[], COLUMN(AK$1)-COLUMN($A$1), FALSE), VLOOKUP($A257,raw_lb[],COLUMN(AK$1)-COLUMN($A$1),FALSE))</f>
        <v>1.2494281235045017E-3</v>
      </c>
      <c r="AK257" s="72">
        <f>IF(VLOOKUP($A257,raw_lb[],COLUMN(AL$1)-COLUMN($A$1),FALSE)=0, VLOOKUP($D257, regions_lb[], COLUMN(AL$1)-COLUMN($A$1), FALSE), VLOOKUP($A257,raw_lb[],COLUMN(AL$1)-COLUMN($A$1),FALSE))</f>
        <v>1.9115088128162177E-3</v>
      </c>
      <c r="AL257" s="72">
        <f>IF(VLOOKUP($A257,raw_lb[],COLUMN(AM$1)-COLUMN($A$1),FALSE)=0, VLOOKUP($D257, regions_lb[], COLUMN(AM$1)-COLUMN($A$1), FALSE), VLOOKUP($A257,raw_lb[],COLUMN(AM$1)-COLUMN($A$1),FALSE))</f>
        <v>2.4245764187091155E-3</v>
      </c>
      <c r="AM257" s="72">
        <f>IF(VLOOKUP($A257,raw_lb[],COLUMN(AN$1)-COLUMN($A$1),FALSE)=0, VLOOKUP($D257, regions_lb[], COLUMN(AN$1)-COLUMN($A$1), FALSE), VLOOKUP($A257,raw_lb[],COLUMN(AN$1)-COLUMN($A$1),FALSE))</f>
        <v>3.4575951129777222E-3</v>
      </c>
      <c r="AN257" s="72">
        <f>IF(VLOOKUP($A257,raw_lb[],COLUMN(AO$1)-COLUMN($A$1),FALSE)=0, VLOOKUP($D257, regions_lb[], COLUMN(AO$1)-COLUMN($A$1), FALSE), VLOOKUP($A257,raw_lb[],COLUMN(AO$1)-COLUMN($A$1),FALSE))</f>
        <v>5.6863157626283311E-3</v>
      </c>
      <c r="AO257" s="72">
        <f>IF(VLOOKUP($A257,raw_lb[],COLUMN(AP$1)-COLUMN($A$1),FALSE)=0, VLOOKUP($D257, regions_lb[], COLUMN(AP$1)-COLUMN($A$1), FALSE), VLOOKUP($A257,raw_lb[],COLUMN(AP$1)-COLUMN($A$1),FALSE))</f>
        <v>1.0123357341479141E-2</v>
      </c>
      <c r="AP257" s="72">
        <f>IF(VLOOKUP($A257,raw_lb[],COLUMN(AQ$1)-COLUMN($A$1),FALSE)=0, VLOOKUP($D257, regions_lb[], COLUMN(AQ$1)-COLUMN($A$1), FALSE), VLOOKUP($A257,raw_lb[],COLUMN(AQ$1)-COLUMN($A$1),FALSE))</f>
        <v>1.7482507807117832E-2</v>
      </c>
      <c r="AQ257" s="72">
        <f>IF(VLOOKUP($A257,raw_lb[],COLUMN(AR$1)-COLUMN($A$1),FALSE)=0, VLOOKUP($D257, regions_lb[], COLUMN(AR$1)-COLUMN($A$1), FALSE), VLOOKUP($A257,raw_lb[],COLUMN(AR$1)-COLUMN($A$1),FALSE))</f>
        <v>2.7393013191479635E-2</v>
      </c>
      <c r="AR257" s="72">
        <f>IF(VLOOKUP($A257,raw_lb[],COLUMN(AS$1)-COLUMN($A$1),FALSE)=0, VLOOKUP($D257, regions_lb[], COLUMN(AS$1)-COLUMN($A$1), FALSE), VLOOKUP($A257,raw_lb[],COLUMN(AS$1)-COLUMN($A$1),FALSE))</f>
        <v>4.5231851827279873E-2</v>
      </c>
      <c r="AS257" s="82">
        <f>IF(VLOOKUP($A257,raw_lb[],COLUMN(AS$1),FALSE)=0, VLOOKUP($D257, regions_lb[], COLUMN(AS$1), FALSE), VLOOKUP($A257,raw_lb[],COLUMN(AS$1),FALSE))</f>
        <v>7.0208327818225932E-2</v>
      </c>
      <c r="AT257" s="82">
        <f>IF(VLOOKUP($A257,raw_lb[],COLUMN(AT$1),FALSE)=0, VLOOKUP($D257, regions_lb[], COLUMN(AT$1), FALSE), VLOOKUP($A257,raw_lb[],COLUMN(AT$1),FALSE))</f>
        <v>0.1003746268717763</v>
      </c>
      <c r="AU257" s="82">
        <f>IF(VLOOKUP($A257,raw_lb[],COLUMN(AU$1),FALSE)=0, VLOOKUP($D257, regions_lb[], COLUMN(AU$1), FALSE), VLOOKUP($A257,raw_lb[],COLUMN(AU$1),FALSE))</f>
        <v>0.13030359448217074</v>
      </c>
      <c r="AV257" s="82">
        <f>IF(VLOOKUP($A257,raw_lb[],COLUMN(AV$1),FALSE)=0, VLOOKUP($D257, regions_lb[], COLUMN(AV$1), FALSE), VLOOKUP($A257,raw_lb[],COLUMN(AV$1),FALSE))</f>
        <v>0.15621313209176316</v>
      </c>
      <c r="AW257" s="82">
        <f>IF(VLOOKUP($A257,raw_lb[],COLUMN(AW$1),FALSE)=0, VLOOKUP($D257, regions_lb[], COLUMN(AW$1), FALSE), VLOOKUP($A257,raw_lb[],COLUMN(AW$1),FALSE))</f>
        <v>0.17314424924309746</v>
      </c>
      <c r="AX257" s="82">
        <f>IF(VLOOKUP($A257,raw_lb[],COLUMN(AX$1),FALSE)=0, VLOOKUP($D257, regions_lb[], COLUMN(AX$1), FALSE), VLOOKUP($A257,raw_lb[],COLUMN(AX$1),FALSE))</f>
        <v>67.231499999999997</v>
      </c>
      <c r="AY257" t="str">
        <f t="shared" si="8"/>
        <v>No</v>
      </c>
    </row>
    <row r="258" spans="1:51" x14ac:dyDescent="0.25">
      <c r="A258" s="53" t="s">
        <v>460</v>
      </c>
      <c r="B258" s="54" t="s">
        <v>461</v>
      </c>
      <c r="C258" s="54">
        <v>834</v>
      </c>
      <c r="D258" s="54" t="s">
        <v>207</v>
      </c>
      <c r="E258" s="54" t="s">
        <v>255</v>
      </c>
      <c r="F258" s="54" t="s">
        <v>211</v>
      </c>
      <c r="G258" s="54" t="s">
        <v>198</v>
      </c>
      <c r="H258" s="73"/>
      <c r="I258" s="73"/>
      <c r="J258" s="67">
        <f>IF(VLOOKUP($A258,raw_lb[],COLUMN(J$1),FALSE)=0, VLOOKUP($D258, regions_lb[], COLUMN(J$1), FALSE), VLOOKUP($A258,raw_lb[],COLUMN(J$1),FALSE))</f>
        <v>0.59470000000000001</v>
      </c>
      <c r="K258" s="77">
        <f>VLOOKUP($A258, raw_lb[], 11, FALSE)</f>
        <v>0</v>
      </c>
      <c r="L258" s="77">
        <f>VLOOKUP($A258, raw_lb[], 12, FALSE)</f>
        <v>0.81699999999999995</v>
      </c>
      <c r="M258" s="77">
        <f>IF(VLOOKUP($A258,raw_lb[],COLUMN(M$1),FALSE)=0, VLOOKUP($D258, regions_lb[], COLUMN(M$1), FALSE), VLOOKUP($A258,raw_lb[],COLUMN(M$1),FALSE))</f>
        <v>3.6799999999999999E-2</v>
      </c>
      <c r="N258" s="68">
        <f>IF(VLOOKUP($A258,raw_lb[],COLUMN(N$1),FALSE)=0, VLOOKUP($D258, regions_lb[], COLUMN(N$1), FALSE), VLOOKUP($A258,raw_lb[],COLUMN(N$1),FALSE))</f>
        <v>0.15560000000000002</v>
      </c>
      <c r="O258" s="67">
        <f>IF(VLOOKUP($A258,raw_lb[],COLUMN(O$1),FALSE)=0, VLOOKUP($D258, regions_lb[], COLUMN(O$1), FALSE), VLOOKUP($A258,raw_lb[],COLUMN(O$1),FALSE))</f>
        <v>7.0000000000000007E-2</v>
      </c>
      <c r="P258" s="68">
        <f>IF(VLOOKUP($A258,raw_lb[],COLUMN(P$1),FALSE)=0, VLOOKUP($D258, regions_lb[], COLUMN(P$1), FALSE), VLOOKUP($A258,raw_lb[],COLUMN(P$1),FALSE))</f>
        <v>1E-3</v>
      </c>
      <c r="Q258" s="70">
        <f>IF(VLOOKUP($A258,raw_lb[],COLUMN(Q$1),FALSE)=0, VLOOKUP($D258, regions_lb[], COLUMN(Q$1), FALSE), VLOOKUP($A258,raw_lb[],COLUMN(Q$1),FALSE))</f>
        <v>0.67225643906655108</v>
      </c>
      <c r="R258" s="70">
        <f>IF(VLOOKUP($A258,raw_lb[],COLUMN(R$1),FALSE)=0, VLOOKUP($D258, regions_lb[], COLUMN(R$1), FALSE), VLOOKUP($A258,raw_lb[],COLUMN(R$1),FALSE))</f>
        <v>7.7331564390665513</v>
      </c>
      <c r="S258" s="70">
        <f>IF(VLOOKUP($A258,raw_lb[],COLUMN(S$1),FALSE)=0, VLOOKUP($D258, regions_lb[], COLUMN(S$1), FALSE), VLOOKUP($A258,raw_lb[],COLUMN(S$1),FALSE))</f>
        <v>37.569800034428219</v>
      </c>
      <c r="T258" s="70">
        <f>IF(VLOOKUP($A258,raw_lb[],COLUMN(U$1)-COLUMN($A$1),FALSE)=0, VLOOKUP($D258, regions_lb[], COLUMN(U$1)-COLUMN($A$1), FALSE), VLOOKUP($A258,raw_lb[],COLUMN(U$1)-COLUMN($A$1),FALSE))</f>
        <v>37.890741473412731</v>
      </c>
      <c r="U258" s="70">
        <f>IF(VLOOKUP($A258,raw_lb[],COLUMN(V$1)-COLUMN($A$1),FALSE)=0, VLOOKUP($D258, regions_lb[], COLUMN(V$1)-COLUMN($A$1), FALSE), VLOOKUP($A258,raw_lb[],COLUMN(V$1)-COLUMN($A$1),FALSE))</f>
        <v>37.743371948468834</v>
      </c>
      <c r="V258" s="70">
        <f>IF(VLOOKUP($A258,raw_lb[],COLUMN(W$1)-COLUMN($A$1),FALSE)=0, VLOOKUP($D258, regions_lb[], COLUMN(W$1)-COLUMN($A$1), FALSE), VLOOKUP($A258,raw_lb[],COLUMN(W$1)-COLUMN($A$1),FALSE))</f>
        <v>1.2983847508231825</v>
      </c>
      <c r="W258" s="70">
        <f>IF(VLOOKUP($A258,raw_lb[],COLUMN(X$1)-COLUMN($A$1),FALSE)=0, VLOOKUP($D258, regions_lb[], COLUMN(X$1)-COLUMN($A$1), FALSE), VLOOKUP($A258,raw_lb[],COLUMN(X$1)-COLUMN($A$1),FALSE))</f>
        <v>5.8868847508231825</v>
      </c>
      <c r="X258" s="70">
        <f>IF(VLOOKUP($A258,raw_lb[],COLUMN(Y$1)-COLUMN($A$1),FALSE)=0, VLOOKUP($D258, regions_lb[], COLUMN(Y$1)-COLUMN($A$1), FALSE), VLOOKUP($A258,raw_lb[],COLUMN(Y$1)-COLUMN($A$1),FALSE))</f>
        <v>0.82798606257572827</v>
      </c>
      <c r="Y258" s="70">
        <f>IF(VLOOKUP($A258,raw_lb[],COLUMN(Z$1)-COLUMN($A$1),FALSE)=0, VLOOKUP($D258, regions_lb[], COLUMN(Z$1)-COLUMN($A$1), FALSE), VLOOKUP($A258,raw_lb[],COLUMN(Z$1)-COLUMN($A$1),FALSE))</f>
        <v>5.4164860625757285</v>
      </c>
      <c r="Z258" s="70">
        <f>IF(VLOOKUP($A258,raw_lb[],COLUMN(AA$1)-COLUMN($A$1),FALSE)=0, VLOOKUP($D258, regions_lb[], COLUMN(AA$1)-COLUMN($A$1), FALSE), VLOOKUP($A258,raw_lb[],COLUMN(AA$1)-COLUMN($A$1),FALSE))</f>
        <v>5.414973463675099</v>
      </c>
      <c r="AA258" s="70">
        <f>IF(VLOOKUP($A258,raw_lb[],COLUMN(AB$1)-COLUMN($A$1),FALSE)=0, VLOOKUP($D258, regions_lb[], COLUMN(AB$1)-COLUMN($A$1), FALSE), VLOOKUP($A258,raw_lb[],COLUMN(AB$1)-COLUMN($A$1),FALSE))</f>
        <v>1.4407217348756443</v>
      </c>
      <c r="AB258" s="70">
        <f>IF(VLOOKUP($A258,raw_lb[],COLUMN(AC$1)-COLUMN($A$1),FALSE)=0, VLOOKUP($D258, regions_lb[], COLUMN(AC$1)-COLUMN($A$1), FALSE), VLOOKUP($A258,raw_lb[],COLUMN(AC$1)-COLUMN($A$1),FALSE))</f>
        <v>6.0292217348756445</v>
      </c>
      <c r="AC258" s="72">
        <f>IF(VLOOKUP($A258,raw_lb[],COLUMN(AD$1)-COLUMN($A$1),FALSE)=0, VLOOKUP($D258, regions_lb[], COLUMN(AD$1)-COLUMN($A$1), FALSE), VLOOKUP($A258,raw_lb[],COLUMN(AD$1)-COLUMN($A$1),FALSE))</f>
        <v>3.9153347499999984E-2</v>
      </c>
      <c r="AD258" s="72">
        <f>IF(VLOOKUP($A258,raw_lb[],COLUMN(AE$1)-COLUMN($A$1),FALSE)=0, VLOOKUP($D258, regions_lb[], COLUMN(AE$1)-COLUMN($A$1), FALSE), VLOOKUP($A258,raw_lb[],COLUMN(AE$1)-COLUMN($A$1),FALSE))</f>
        <v>3.7970088631357327E-3</v>
      </c>
      <c r="AE258" s="72">
        <f>IF(VLOOKUP($A258,raw_lb[],COLUMN(AF$1)-COLUMN($A$1),FALSE)=0, VLOOKUP($D258, regions_lb[], COLUMN(AF$1)-COLUMN($A$1), FALSE), VLOOKUP($A258,raw_lb[],COLUMN(AF$1)-COLUMN($A$1),FALSE))</f>
        <v>1.4908130727040228E-3</v>
      </c>
      <c r="AF258" s="72">
        <f>IF(VLOOKUP($A258,raw_lb[],COLUMN(AG$1)-COLUMN($A$1),FALSE)=0, VLOOKUP($D258, regions_lb[], COLUMN(AG$1)-COLUMN($A$1), FALSE), VLOOKUP($A258,raw_lb[],COLUMN(AG$1)-COLUMN($A$1),FALSE))</f>
        <v>1.0557577232236819E-3</v>
      </c>
      <c r="AG258" s="72">
        <f>IF(VLOOKUP($A258,raw_lb[],COLUMN(AH$1)-COLUMN($A$1),FALSE)=0, VLOOKUP($D258, regions_lb[], COLUMN(AH$1)-COLUMN($A$1), FALSE), VLOOKUP($A258,raw_lb[],COLUMN(AH$1)-COLUMN($A$1),FALSE))</f>
        <v>1.6884801261191165E-3</v>
      </c>
      <c r="AH258" s="72">
        <f>IF(VLOOKUP($A258,raw_lb[],COLUMN(AI$1)-COLUMN($A$1),FALSE)=0, VLOOKUP($D258, regions_lb[], COLUMN(AI$1)-COLUMN($A$1), FALSE), VLOOKUP($A258,raw_lb[],COLUMN(AI$1)-COLUMN($A$1),FALSE))</f>
        <v>2.4423056455834583E-3</v>
      </c>
      <c r="AI258" s="72">
        <f>IF(VLOOKUP($A258,raw_lb[],COLUMN(AJ$1)-COLUMN($A$1),FALSE)=0, VLOOKUP($D258, regions_lb[], COLUMN(AJ$1)-COLUMN($A$1), FALSE), VLOOKUP($A258,raw_lb[],COLUMN(AJ$1)-COLUMN($A$1),FALSE))</f>
        <v>2.8329174490540877E-3</v>
      </c>
      <c r="AJ258" s="72">
        <f>IF(VLOOKUP($A258,raw_lb[],COLUMN(AK$1)-COLUMN($A$1),FALSE)=0, VLOOKUP($D258, regions_lb[], COLUMN(AK$1)-COLUMN($A$1), FALSE), VLOOKUP($A258,raw_lb[],COLUMN(AK$1)-COLUMN($A$1),FALSE))</f>
        <v>3.3226799237410405E-3</v>
      </c>
      <c r="AK258" s="72">
        <f>IF(VLOOKUP($A258,raw_lb[],COLUMN(AL$1)-COLUMN($A$1),FALSE)=0, VLOOKUP($D258, regions_lb[], COLUMN(AL$1)-COLUMN($A$1), FALSE), VLOOKUP($A258,raw_lb[],COLUMN(AL$1)-COLUMN($A$1),FALSE))</f>
        <v>4.0605836884822872E-3</v>
      </c>
      <c r="AL258" s="72">
        <f>IF(VLOOKUP($A258,raw_lb[],COLUMN(AM$1)-COLUMN($A$1),FALSE)=0, VLOOKUP($D258, regions_lb[], COLUMN(AM$1)-COLUMN($A$1), FALSE), VLOOKUP($A258,raw_lb[],COLUMN(AM$1)-COLUMN($A$1),FALSE))</f>
        <v>5.1395142056819979E-3</v>
      </c>
      <c r="AM258" s="72">
        <f>IF(VLOOKUP($A258,raw_lb[],COLUMN(AN$1)-COLUMN($A$1),FALSE)=0, VLOOKUP($D258, regions_lb[], COLUMN(AN$1)-COLUMN($A$1), FALSE), VLOOKUP($A258,raw_lb[],COLUMN(AN$1)-COLUMN($A$1),FALSE))</f>
        <v>6.4782177514604309E-3</v>
      </c>
      <c r="AN258" s="72">
        <f>IF(VLOOKUP($A258,raw_lb[],COLUMN(AO$1)-COLUMN($A$1),FALSE)=0, VLOOKUP($D258, regions_lb[], COLUMN(AO$1)-COLUMN($A$1), FALSE), VLOOKUP($A258,raw_lb[],COLUMN(AO$1)-COLUMN($A$1),FALSE))</f>
        <v>9.1788357526192479E-3</v>
      </c>
      <c r="AO258" s="72">
        <f>IF(VLOOKUP($A258,raw_lb[],COLUMN(AP$1)-COLUMN($A$1),FALSE)=0, VLOOKUP($D258, regions_lb[], COLUMN(AP$1)-COLUMN($A$1), FALSE), VLOOKUP($A258,raw_lb[],COLUMN(AP$1)-COLUMN($A$1),FALSE))</f>
        <v>1.2322600377063906E-2</v>
      </c>
      <c r="AP258" s="72">
        <f>IF(VLOOKUP($A258,raw_lb[],COLUMN(AQ$1)-COLUMN($A$1),FALSE)=0, VLOOKUP($D258, regions_lb[], COLUMN(AQ$1)-COLUMN($A$1), FALSE), VLOOKUP($A258,raw_lb[],COLUMN(AQ$1)-COLUMN($A$1),FALSE))</f>
        <v>1.8557577442863134E-2</v>
      </c>
      <c r="AQ258" s="72">
        <f>IF(VLOOKUP($A258,raw_lb[],COLUMN(AR$1)-COLUMN($A$1),FALSE)=0, VLOOKUP($D258, regions_lb[], COLUMN(AR$1)-COLUMN($A$1), FALSE), VLOOKUP($A258,raw_lb[],COLUMN(AR$1)-COLUMN($A$1),FALSE))</f>
        <v>2.8690757510410558E-2</v>
      </c>
      <c r="AR258" s="72">
        <f>IF(VLOOKUP($A258,raw_lb[],COLUMN(AS$1)-COLUMN($A$1),FALSE)=0, VLOOKUP($D258, regions_lb[], COLUMN(AS$1)-COLUMN($A$1), FALSE), VLOOKUP($A258,raw_lb[],COLUMN(AS$1)-COLUMN($A$1),FALSE))</f>
        <v>4.4607148810423831E-2</v>
      </c>
      <c r="AS258" s="82">
        <f>IF(VLOOKUP($A258,raw_lb[],COLUMN(AS$1),FALSE)=0, VLOOKUP($D258, regions_lb[], COLUMN(AS$1), FALSE), VLOOKUP($A258,raw_lb[],COLUMN(AS$1),FALSE))</f>
        <v>6.8279235022524115E-2</v>
      </c>
      <c r="AT258" s="82">
        <f>IF(VLOOKUP($A258,raw_lb[],COLUMN(AT$1),FALSE)=0, VLOOKUP($D258, regions_lb[], COLUMN(AT$1), FALSE), VLOOKUP($A258,raw_lb[],COLUMN(AT$1),FALSE))</f>
        <v>0.1016344731884186</v>
      </c>
      <c r="AU258" s="82">
        <f>IF(VLOOKUP($A258,raw_lb[],COLUMN(AU$1),FALSE)=0, VLOOKUP($D258, regions_lb[], COLUMN(AU$1), FALSE), VLOOKUP($A258,raw_lb[],COLUMN(AU$1),FALSE))</f>
        <v>0.13955627174968485</v>
      </c>
      <c r="AV258" s="82">
        <f>IF(VLOOKUP($A258,raw_lb[],COLUMN(AV$1),FALSE)=0, VLOOKUP($D258, regions_lb[], COLUMN(AV$1), FALSE), VLOOKUP($A258,raw_lb[],COLUMN(AV$1),FALSE))</f>
        <v>0.17085965847426926</v>
      </c>
      <c r="AW258" s="82">
        <f>IF(VLOOKUP($A258,raw_lb[],COLUMN(AW$1),FALSE)=0, VLOOKUP($D258, regions_lb[], COLUMN(AW$1), FALSE), VLOOKUP($A258,raw_lb[],COLUMN(AW$1),FALSE))</f>
        <v>0.18035419307766917</v>
      </c>
      <c r="AX258" s="82">
        <f>IF(VLOOKUP($A258,raw_lb[],COLUMN(AX$1),FALSE)=0, VLOOKUP($D258, regions_lb[], COLUMN(AX$1), FALSE), VLOOKUP($A258,raw_lb[],COLUMN(AX$1),FALSE))</f>
        <v>61.599899999999998</v>
      </c>
      <c r="AY258" t="str">
        <f t="shared" si="8"/>
        <v>Yes</v>
      </c>
    </row>
    <row r="259" spans="1:51" x14ac:dyDescent="0.25">
      <c r="A259" s="55" t="s">
        <v>462</v>
      </c>
      <c r="B259" s="56" t="s">
        <v>463</v>
      </c>
      <c r="C259" s="56">
        <v>764</v>
      </c>
      <c r="D259" s="56" t="s">
        <v>225</v>
      </c>
      <c r="E259" s="56" t="s">
        <v>261</v>
      </c>
      <c r="F259" s="56" t="s">
        <v>262</v>
      </c>
      <c r="G259" s="56" t="s">
        <v>204</v>
      </c>
      <c r="H259" s="74"/>
      <c r="I259" s="74"/>
      <c r="J259" s="67">
        <f>IF(VLOOKUP($A259,raw_lb[],COLUMN(J$1),FALSE)=0, VLOOKUP($D259, regions_lb[], COLUMN(J$1), FALSE), VLOOKUP($A259,raw_lb[],COLUMN(J$1),FALSE))</f>
        <v>0.93669999999999998</v>
      </c>
      <c r="K259" s="77">
        <f>VLOOKUP($A259, raw_lb[], 11, FALSE)</f>
        <v>0.9405</v>
      </c>
      <c r="L259" s="77">
        <f>VLOOKUP($A259, raw_lb[], 12, FALSE)</f>
        <v>0.92149999999999999</v>
      </c>
      <c r="M259" s="77">
        <f>IF(VLOOKUP($A259,raw_lb[],COLUMN(M$1),FALSE)=0, VLOOKUP($D259, regions_lb[], COLUMN(M$1), FALSE), VLOOKUP($A259,raw_lb[],COLUMN(M$1),FALSE))</f>
        <v>2.5899999999999999E-2</v>
      </c>
      <c r="N259" s="68">
        <f>IF(VLOOKUP($A259,raw_lb[],COLUMN(N$1),FALSE)=0, VLOOKUP($D259, regions_lb[], COLUMN(N$1), FALSE), VLOOKUP($A259,raw_lb[],COLUMN(N$1),FALSE))</f>
        <v>0.18100000000000002</v>
      </c>
      <c r="O259" s="67">
        <f>IF(VLOOKUP($A259,raw_lb[],COLUMN(O$1),FALSE)=0, VLOOKUP($D259, regions_lb[], COLUMN(O$1), FALSE), VLOOKUP($A259,raw_lb[],COLUMN(O$1),FALSE))</f>
        <v>0.7</v>
      </c>
      <c r="P259" s="68">
        <f>IF(VLOOKUP($A259,raw_lb[],COLUMN(P$1),FALSE)=0, VLOOKUP($D259, regions_lb[], COLUMN(P$1), FALSE), VLOOKUP($A259,raw_lb[],COLUMN(P$1),FALSE))</f>
        <v>0.05</v>
      </c>
      <c r="Q259" s="70">
        <f>IF(VLOOKUP($A259,raw_lb[],COLUMN(Q$1),FALSE)=0, VLOOKUP($D259, regions_lb[], COLUMN(Q$1), FALSE), VLOOKUP($A259,raw_lb[],COLUMN(Q$1),FALSE))</f>
        <v>1.436123622047244</v>
      </c>
      <c r="R259" s="70">
        <f>IF(VLOOKUP($A259,raw_lb[],COLUMN(R$1),FALSE)=0, VLOOKUP($D259, regions_lb[], COLUMN(R$1), FALSE), VLOOKUP($A259,raw_lb[],COLUMN(R$1),FALSE))</f>
        <v>8.4970236220472444</v>
      </c>
      <c r="S259" s="70">
        <f>IF(VLOOKUP($A259,raw_lb[],COLUMN(S$1),FALSE)=0, VLOOKUP($D259, regions_lb[], COLUMN(S$1), FALSE), VLOOKUP($A259,raw_lb[],COLUMN(S$1),FALSE))</f>
        <v>44.17348243680982</v>
      </c>
      <c r="T259" s="70">
        <f>IF(VLOOKUP($A259,raw_lb[],COLUMN(U$1)-COLUMN($A$1),FALSE)=0, VLOOKUP($D259, regions_lb[], COLUMN(U$1)-COLUMN($A$1), FALSE), VLOOKUP($A259,raw_lb[],COLUMN(U$1)-COLUMN($A$1),FALSE))</f>
        <v>47.533843589249578</v>
      </c>
      <c r="U259" s="70">
        <f>IF(VLOOKUP($A259,raw_lb[],COLUMN(V$1)-COLUMN($A$1),FALSE)=0, VLOOKUP($D259, regions_lb[], COLUMN(V$1)-COLUMN($A$1), FALSE), VLOOKUP($A259,raw_lb[],COLUMN(V$1)-COLUMN($A$1),FALSE))</f>
        <v>45.990836777035256</v>
      </c>
      <c r="V259" s="70">
        <f>IF(VLOOKUP($A259,raw_lb[],COLUMN(W$1)-COLUMN($A$1),FALSE)=0, VLOOKUP($D259, regions_lb[], COLUMN(W$1)-COLUMN($A$1), FALSE), VLOOKUP($A259,raw_lb[],COLUMN(W$1)-COLUMN($A$1),FALSE))</f>
        <v>1.5512670064060761</v>
      </c>
      <c r="W259" s="70">
        <f>IF(VLOOKUP($A259,raw_lb[],COLUMN(X$1)-COLUMN($A$1),FALSE)=0, VLOOKUP($D259, regions_lb[], COLUMN(X$1)-COLUMN($A$1), FALSE), VLOOKUP($A259,raw_lb[],COLUMN(X$1)-COLUMN($A$1),FALSE))</f>
        <v>2.1497670064060759</v>
      </c>
      <c r="X259" s="70">
        <f>IF(VLOOKUP($A259,raw_lb[],COLUMN(Y$1)-COLUMN($A$1),FALSE)=0, VLOOKUP($D259, regions_lb[], COLUMN(Y$1)-COLUMN($A$1), FALSE), VLOOKUP($A259,raw_lb[],COLUMN(Y$1)-COLUMN($A$1),FALSE))</f>
        <v>1.0743442129186067</v>
      </c>
      <c r="Y259" s="70">
        <f>IF(VLOOKUP($A259,raw_lb[],COLUMN(Z$1)-COLUMN($A$1),FALSE)=0, VLOOKUP($D259, regions_lb[], COLUMN(Z$1)-COLUMN($A$1), FALSE), VLOOKUP($A259,raw_lb[],COLUMN(Z$1)-COLUMN($A$1),FALSE))</f>
        <v>1.6728442129186067</v>
      </c>
      <c r="Z259" s="70">
        <f>IF(VLOOKUP($A259,raw_lb[],COLUMN(AA$1)-COLUMN($A$1),FALSE)=0, VLOOKUP($D259, regions_lb[], COLUMN(AA$1)-COLUMN($A$1), FALSE), VLOOKUP($A259,raw_lb[],COLUMN(AA$1)-COLUMN($A$1),FALSE))</f>
        <v>1.667227055802226</v>
      </c>
      <c r="AA259" s="70">
        <f>IF(VLOOKUP($A259,raw_lb[],COLUMN(AB$1)-COLUMN($A$1),FALSE)=0, VLOOKUP($D259, regions_lb[], COLUMN(AB$1)-COLUMN($A$1), FALSE), VLOOKUP($A259,raw_lb[],COLUMN(AB$1)-COLUMN($A$1),FALSE))</f>
        <v>1.7137355151991556</v>
      </c>
      <c r="AB259" s="70">
        <f>IF(VLOOKUP($A259,raw_lb[],COLUMN(AC$1)-COLUMN($A$1),FALSE)=0, VLOOKUP($D259, regions_lb[], COLUMN(AC$1)-COLUMN($A$1), FALSE), VLOOKUP($A259,raw_lb[],COLUMN(AC$1)-COLUMN($A$1),FALSE))</f>
        <v>2.3122355151991556</v>
      </c>
      <c r="AC259" s="72">
        <f>IF(VLOOKUP($A259,raw_lb[],COLUMN(AD$1)-COLUMN($A$1),FALSE)=0, VLOOKUP($D259, regions_lb[], COLUMN(AD$1)-COLUMN($A$1), FALSE), VLOOKUP($A259,raw_lb[],COLUMN(AD$1)-COLUMN($A$1),FALSE))</f>
        <v>7.3664995000000191E-3</v>
      </c>
      <c r="AD259" s="72">
        <f>IF(VLOOKUP($A259,raw_lb[],COLUMN(AE$1)-COLUMN($A$1),FALSE)=0, VLOOKUP($D259, regions_lb[], COLUMN(AE$1)-COLUMN($A$1), FALSE), VLOOKUP($A259,raw_lb[],COLUMN(AE$1)-COLUMN($A$1),FALSE))</f>
        <v>2.9807244130509878E-4</v>
      </c>
      <c r="AE259" s="72">
        <f>IF(VLOOKUP($A259,raw_lb[],COLUMN(AF$1)-COLUMN($A$1),FALSE)=0, VLOOKUP($D259, regions_lb[], COLUMN(AF$1)-COLUMN($A$1), FALSE), VLOOKUP($A259,raw_lb[],COLUMN(AF$1)-COLUMN($A$1),FALSE))</f>
        <v>2.5186203744320045E-4</v>
      </c>
      <c r="AF259" s="72">
        <f>IF(VLOOKUP($A259,raw_lb[],COLUMN(AG$1)-COLUMN($A$1),FALSE)=0, VLOOKUP($D259, regions_lb[], COLUMN(AG$1)-COLUMN($A$1), FALSE), VLOOKUP($A259,raw_lb[],COLUMN(AG$1)-COLUMN($A$1),FALSE))</f>
        <v>3.9205180079087369E-4</v>
      </c>
      <c r="AG259" s="72">
        <f>IF(VLOOKUP($A259,raw_lb[],COLUMN(AH$1)-COLUMN($A$1),FALSE)=0, VLOOKUP($D259, regions_lb[], COLUMN(AH$1)-COLUMN($A$1), FALSE), VLOOKUP($A259,raw_lb[],COLUMN(AH$1)-COLUMN($A$1),FALSE))</f>
        <v>1.0218059497045652E-3</v>
      </c>
      <c r="AH259" s="72">
        <f>IF(VLOOKUP($A259,raw_lb[],COLUMN(AI$1)-COLUMN($A$1),FALSE)=0, VLOOKUP($D259, regions_lb[], COLUMN(AI$1)-COLUMN($A$1), FALSE), VLOOKUP($A259,raw_lb[],COLUMN(AI$1)-COLUMN($A$1),FALSE))</f>
        <v>9.7912745878006861E-4</v>
      </c>
      <c r="AI259" s="72">
        <f>IF(VLOOKUP($A259,raw_lb[],COLUMN(AJ$1)-COLUMN($A$1),FALSE)=0, VLOOKUP($D259, regions_lb[], COLUMN(AJ$1)-COLUMN($A$1), FALSE), VLOOKUP($A259,raw_lb[],COLUMN(AJ$1)-COLUMN($A$1),FALSE))</f>
        <v>1.0743902921577641E-3</v>
      </c>
      <c r="AJ259" s="72">
        <f>IF(VLOOKUP($A259,raw_lb[],COLUMN(AK$1)-COLUMN($A$1),FALSE)=0, VLOOKUP($D259, regions_lb[], COLUMN(AK$1)-COLUMN($A$1), FALSE), VLOOKUP($A259,raw_lb[],COLUMN(AK$1)-COLUMN($A$1),FALSE))</f>
        <v>1.5287872349444174E-3</v>
      </c>
      <c r="AK259" s="72">
        <f>IF(VLOOKUP($A259,raw_lb[],COLUMN(AL$1)-COLUMN($A$1),FALSE)=0, VLOOKUP($D259, regions_lb[], COLUMN(AL$1)-COLUMN($A$1), FALSE), VLOOKUP($A259,raw_lb[],COLUMN(AL$1)-COLUMN($A$1),FALSE))</f>
        <v>2.322351095318149E-3</v>
      </c>
      <c r="AL259" s="72">
        <f>IF(VLOOKUP($A259,raw_lb[],COLUMN(AM$1)-COLUMN($A$1),FALSE)=0, VLOOKUP($D259, regions_lb[], COLUMN(AM$1)-COLUMN($A$1), FALSE), VLOOKUP($A259,raw_lb[],COLUMN(AM$1)-COLUMN($A$1),FALSE))</f>
        <v>3.1781238109071558E-3</v>
      </c>
      <c r="AM259" s="72">
        <f>IF(VLOOKUP($A259,raw_lb[],COLUMN(AN$1)-COLUMN($A$1),FALSE)=0, VLOOKUP($D259, regions_lb[], COLUMN(AN$1)-COLUMN($A$1), FALSE), VLOOKUP($A259,raw_lb[],COLUMN(AN$1)-COLUMN($A$1),FALSE))</f>
        <v>4.1439341088098797E-3</v>
      </c>
      <c r="AN259" s="72">
        <f>IF(VLOOKUP($A259,raw_lb[],COLUMN(AO$1)-COLUMN($A$1),FALSE)=0, VLOOKUP($D259, regions_lb[], COLUMN(AO$1)-COLUMN($A$1), FALSE), VLOOKUP($A259,raw_lb[],COLUMN(AO$1)-COLUMN($A$1),FALSE))</f>
        <v>5.4687484422744383E-3</v>
      </c>
      <c r="AO259" s="72">
        <f>IF(VLOOKUP($A259,raw_lb[],COLUMN(AP$1)-COLUMN($A$1),FALSE)=0, VLOOKUP($D259, regions_lb[], COLUMN(AP$1)-COLUMN($A$1), FALSE), VLOOKUP($A259,raw_lb[],COLUMN(AP$1)-COLUMN($A$1),FALSE))</f>
        <v>7.3133673929285537E-3</v>
      </c>
      <c r="AP259" s="72">
        <f>IF(VLOOKUP($A259,raw_lb[],COLUMN(AQ$1)-COLUMN($A$1),FALSE)=0, VLOOKUP($D259, regions_lb[], COLUMN(AQ$1)-COLUMN($A$1), FALSE), VLOOKUP($A259,raw_lb[],COLUMN(AQ$1)-COLUMN($A$1),FALSE))</f>
        <v>1.0595874241687597E-2</v>
      </c>
      <c r="AQ259" s="72">
        <f>IF(VLOOKUP($A259,raw_lb[],COLUMN(AR$1)-COLUMN($A$1),FALSE)=0, VLOOKUP($D259, regions_lb[], COLUMN(AR$1)-COLUMN($A$1), FALSE), VLOOKUP($A259,raw_lb[],COLUMN(AR$1)-COLUMN($A$1),FALSE))</f>
        <v>1.4738857760982686E-2</v>
      </c>
      <c r="AR259" s="72">
        <f>IF(VLOOKUP($A259,raw_lb[],COLUMN(AS$1)-COLUMN($A$1),FALSE)=0, VLOOKUP($D259, regions_lb[], COLUMN(AS$1)-COLUMN($A$1), FALSE), VLOOKUP($A259,raw_lb[],COLUMN(AS$1)-COLUMN($A$1),FALSE))</f>
        <v>2.2935116262104094E-2</v>
      </c>
      <c r="AS259" s="82">
        <f>IF(VLOOKUP($A259,raw_lb[],COLUMN(AS$1),FALSE)=0, VLOOKUP($D259, regions_lb[], COLUMN(AS$1), FALSE), VLOOKUP($A259,raw_lb[],COLUMN(AS$1),FALSE))</f>
        <v>3.6327863745366867E-2</v>
      </c>
      <c r="AT259" s="82">
        <f>IF(VLOOKUP($A259,raw_lb[],COLUMN(AT$1),FALSE)=0, VLOOKUP($D259, regions_lb[], COLUMN(AT$1), FALSE), VLOOKUP($A259,raw_lb[],COLUMN(AT$1),FALSE))</f>
        <v>5.5221670830718245E-2</v>
      </c>
      <c r="AU259" s="82">
        <f>IF(VLOOKUP($A259,raw_lb[],COLUMN(AU$1),FALSE)=0, VLOOKUP($D259, regions_lb[], COLUMN(AU$1), FALSE), VLOOKUP($A259,raw_lb[],COLUMN(AU$1),FALSE))</f>
        <v>8.0249068314733246E-2</v>
      </c>
      <c r="AV259" s="82">
        <f>IF(VLOOKUP($A259,raw_lb[],COLUMN(AV$1),FALSE)=0, VLOOKUP($D259, regions_lb[], COLUMN(AV$1), FALSE), VLOOKUP($A259,raw_lb[],COLUMN(AV$1),FALSE))</f>
        <v>0.10780704426895571</v>
      </c>
      <c r="AW259" s="82">
        <f>IF(VLOOKUP($A259,raw_lb[],COLUMN(AW$1),FALSE)=0, VLOOKUP($D259, regions_lb[], COLUMN(AW$1), FALSE), VLOOKUP($A259,raw_lb[],COLUMN(AW$1),FALSE))</f>
        <v>0.13356705000367686</v>
      </c>
      <c r="AX259" s="82">
        <f>IF(VLOOKUP($A259,raw_lb[],COLUMN(AX$1),FALSE)=0, VLOOKUP($D259, regions_lb[], COLUMN(AX$1), FALSE), VLOOKUP($A259,raw_lb[],COLUMN(AX$1),FALSE))</f>
        <v>72.990399999999994</v>
      </c>
      <c r="AY259" t="str">
        <f t="shared" si="8"/>
        <v>No</v>
      </c>
    </row>
    <row r="260" spans="1:51" x14ac:dyDescent="0.25">
      <c r="A260" s="53" t="s">
        <v>464</v>
      </c>
      <c r="B260" s="54" t="s">
        <v>465</v>
      </c>
      <c r="C260" s="54">
        <v>626</v>
      </c>
      <c r="D260" s="54" t="s">
        <v>225</v>
      </c>
      <c r="E260" s="54" t="s">
        <v>261</v>
      </c>
      <c r="F260" s="54" t="s">
        <v>262</v>
      </c>
      <c r="G260" s="54" t="s">
        <v>212</v>
      </c>
      <c r="H260" s="73"/>
      <c r="I260" s="73"/>
      <c r="J260" s="67">
        <f>IF(VLOOKUP($A260,raw_lb[],COLUMN(J$1),FALSE)=0, VLOOKUP($D260, regions_lb[], COLUMN(J$1), FALSE), VLOOKUP($A260,raw_lb[],COLUMN(J$1),FALSE))</f>
        <v>0.46074999999999999</v>
      </c>
      <c r="K260" s="77">
        <f>VLOOKUP($A260, raw_lb[], 11, FALSE)</f>
        <v>0.68399999999999994</v>
      </c>
      <c r="L260" s="77">
        <f>VLOOKUP($A260, raw_lb[], 12, FALSE)</f>
        <v>0.81699999999999995</v>
      </c>
      <c r="M260" s="77">
        <f>IF(VLOOKUP($A260,raw_lb[],COLUMN(M$1),FALSE)=0, VLOOKUP($D260, regions_lb[], COLUMN(M$1), FALSE), VLOOKUP($A260,raw_lb[],COLUMN(M$1),FALSE))</f>
        <v>3.9300000000000002E-2</v>
      </c>
      <c r="N260" s="68">
        <f>IF(VLOOKUP($A260,raw_lb[],COLUMN(N$1),FALSE)=0, VLOOKUP($D260, regions_lb[], COLUMN(N$1), FALSE), VLOOKUP($A260,raw_lb[],COLUMN(N$1),FALSE))</f>
        <v>0.18100000000000002</v>
      </c>
      <c r="O260" s="67">
        <f>IF(VLOOKUP($A260,raw_lb[],COLUMN(O$1),FALSE)=0, VLOOKUP($D260, regions_lb[], COLUMN(O$1), FALSE), VLOOKUP($A260,raw_lb[],COLUMN(O$1),FALSE))</f>
        <v>0.7</v>
      </c>
      <c r="P260" s="68">
        <f>IF(VLOOKUP($A260,raw_lb[],COLUMN(P$1),FALSE)=0, VLOOKUP($D260, regions_lb[], COLUMN(P$1), FALSE), VLOOKUP($A260,raw_lb[],COLUMN(P$1),FALSE))</f>
        <v>0.05</v>
      </c>
      <c r="Q260" s="70">
        <f>IF(VLOOKUP($A260,raw_lb[],COLUMN(Q$1),FALSE)=0, VLOOKUP($D260, regions_lb[], COLUMN(Q$1), FALSE), VLOOKUP($A260,raw_lb[],COLUMN(Q$1),FALSE))</f>
        <v>0.87296720072689904</v>
      </c>
      <c r="R260" s="70">
        <f>IF(VLOOKUP($A260,raw_lb[],COLUMN(R$1),FALSE)=0, VLOOKUP($D260, regions_lb[], COLUMN(R$1), FALSE), VLOOKUP($A260,raw_lb[],COLUMN(R$1),FALSE))</f>
        <v>7.9338672007268993</v>
      </c>
      <c r="S260" s="70">
        <f>IF(VLOOKUP($A260,raw_lb[],COLUMN(S$1),FALSE)=0, VLOOKUP($D260, regions_lb[], COLUMN(S$1), FALSE), VLOOKUP($A260,raw_lb[],COLUMN(S$1),FALSE))</f>
        <v>39.1706580270655</v>
      </c>
      <c r="T260" s="70">
        <f>IF(VLOOKUP($A260,raw_lb[],COLUMN(U$1)-COLUMN($A$1),FALSE)=0, VLOOKUP($D260, regions_lb[], COLUMN(U$1)-COLUMN($A$1), FALSE), VLOOKUP($A260,raw_lb[],COLUMN(U$1)-COLUMN($A$1),FALSE))</f>
        <v>40.22032716302116</v>
      </c>
      <c r="U260" s="70">
        <f>IF(VLOOKUP($A260,raw_lb[],COLUMN(V$1)-COLUMN($A$1),FALSE)=0, VLOOKUP($D260, regions_lb[], COLUMN(V$1)-COLUMN($A$1), FALSE), VLOOKUP($A260,raw_lb[],COLUMN(V$1)-COLUMN($A$1),FALSE))</f>
        <v>39.738341282969316</v>
      </c>
      <c r="V260" s="70">
        <f>IF(VLOOKUP($A260,raw_lb[],COLUMN(W$1)-COLUMN($A$1),FALSE)=0, VLOOKUP($D260, regions_lb[], COLUMN(W$1)-COLUMN($A$1), FALSE), VLOOKUP($A260,raw_lb[],COLUMN(W$1)-COLUMN($A$1),FALSE))</f>
        <v>2.0326133524889132</v>
      </c>
      <c r="W260" s="70">
        <f>IF(VLOOKUP($A260,raw_lb[],COLUMN(X$1)-COLUMN($A$1),FALSE)=0, VLOOKUP($D260, regions_lb[], COLUMN(X$1)-COLUMN($A$1), FALSE), VLOOKUP($A260,raw_lb[],COLUMN(X$1)-COLUMN($A$1),FALSE))</f>
        <v>2.6311133524889132</v>
      </c>
      <c r="X260" s="70">
        <f>IF(VLOOKUP($A260,raw_lb[],COLUMN(Y$1)-COLUMN($A$1),FALSE)=0, VLOOKUP($D260, regions_lb[], COLUMN(Y$1)-COLUMN($A$1), FALSE), VLOOKUP($A260,raw_lb[],COLUMN(Y$1)-COLUMN($A$1),FALSE))</f>
        <v>1.5611841812026286</v>
      </c>
      <c r="Y260" s="70">
        <f>IF(VLOOKUP($A260,raw_lb[],COLUMN(Z$1)-COLUMN($A$1),FALSE)=0, VLOOKUP($D260, regions_lb[], COLUMN(Z$1)-COLUMN($A$1), FALSE), VLOOKUP($A260,raw_lb[],COLUMN(Z$1)-COLUMN($A$1),FALSE))</f>
        <v>2.1596841812026284</v>
      </c>
      <c r="Z260" s="70">
        <f>IF(VLOOKUP($A260,raw_lb[],COLUMN(AA$1)-COLUMN($A$1),FALSE)=0, VLOOKUP($D260, regions_lb[], COLUMN(AA$1)-COLUMN($A$1), FALSE), VLOOKUP($A260,raw_lb[],COLUMN(AA$1)-COLUMN($A$1),FALSE))</f>
        <v>2.1573777235893519</v>
      </c>
      <c r="AA260" s="70">
        <f>IF(VLOOKUP($A260,raw_lb[],COLUMN(AB$1)-COLUMN($A$1),FALSE)=0, VLOOKUP($D260, regions_lb[], COLUMN(AB$1)-COLUMN($A$1), FALSE), VLOOKUP($A260,raw_lb[],COLUMN(AB$1)-COLUMN($A$1),FALSE))</f>
        <v>2.1781301127754795</v>
      </c>
      <c r="AB260" s="70">
        <f>IF(VLOOKUP($A260,raw_lb[],COLUMN(AC$1)-COLUMN($A$1),FALSE)=0, VLOOKUP($D260, regions_lb[], COLUMN(AC$1)-COLUMN($A$1), FALSE), VLOOKUP($A260,raw_lb[],COLUMN(AC$1)-COLUMN($A$1),FALSE))</f>
        <v>2.7766301127754796</v>
      </c>
      <c r="AC260" s="72">
        <f>IF(VLOOKUP($A260,raw_lb[],COLUMN(AD$1)-COLUMN($A$1),FALSE)=0, VLOOKUP($D260, regions_lb[], COLUMN(AD$1)-COLUMN($A$1), FALSE), VLOOKUP($A260,raw_lb[],COLUMN(AD$1)-COLUMN($A$1),FALSE))</f>
        <v>3.5485625499999979E-2</v>
      </c>
      <c r="AD260" s="72">
        <f>IF(VLOOKUP($A260,raw_lb[],COLUMN(AE$1)-COLUMN($A$1),FALSE)=0, VLOOKUP($D260, regions_lb[], COLUMN(AE$1)-COLUMN($A$1), FALSE), VLOOKUP($A260,raw_lb[],COLUMN(AE$1)-COLUMN($A$1),FALSE))</f>
        <v>2.3196747330077312E-3</v>
      </c>
      <c r="AE260" s="72">
        <f>IF(VLOOKUP($A260,raw_lb[],COLUMN(AF$1)-COLUMN($A$1),FALSE)=0, VLOOKUP($D260, regions_lb[], COLUMN(AF$1)-COLUMN($A$1), FALSE), VLOOKUP($A260,raw_lb[],COLUMN(AF$1)-COLUMN($A$1),FALSE))</f>
        <v>7.129391327506991E-4</v>
      </c>
      <c r="AF260" s="72">
        <f>IF(VLOOKUP($A260,raw_lb[],COLUMN(AG$1)-COLUMN($A$1),FALSE)=0, VLOOKUP($D260, regions_lb[], COLUMN(AG$1)-COLUMN($A$1), FALSE), VLOOKUP($A260,raw_lb[],COLUMN(AG$1)-COLUMN($A$1),FALSE))</f>
        <v>5.5089474357356558E-4</v>
      </c>
      <c r="AG260" s="72">
        <f>IF(VLOOKUP($A260,raw_lb[],COLUMN(AH$1)-COLUMN($A$1),FALSE)=0, VLOOKUP($D260, regions_lb[], COLUMN(AH$1)-COLUMN($A$1), FALSE), VLOOKUP($A260,raw_lb[],COLUMN(AH$1)-COLUMN($A$1),FALSE))</f>
        <v>9.4965476858294899E-4</v>
      </c>
      <c r="AH260" s="72">
        <f>IF(VLOOKUP($A260,raw_lb[],COLUMN(AI$1)-COLUMN($A$1),FALSE)=0, VLOOKUP($D260, regions_lb[], COLUMN(AI$1)-COLUMN($A$1), FALSE), VLOOKUP($A260,raw_lb[],COLUMN(AI$1)-COLUMN($A$1),FALSE))</f>
        <v>1.1980401732889709E-3</v>
      </c>
      <c r="AI260" s="72">
        <f>IF(VLOOKUP($A260,raw_lb[],COLUMN(AJ$1)-COLUMN($A$1),FALSE)=0, VLOOKUP($D260, regions_lb[], COLUMN(AJ$1)-COLUMN($A$1), FALSE), VLOOKUP($A260,raw_lb[],COLUMN(AJ$1)-COLUMN($A$1),FALSE))</f>
        <v>1.1440522602550374E-3</v>
      </c>
      <c r="AJ260" s="72">
        <f>IF(VLOOKUP($A260,raw_lb[],COLUMN(AK$1)-COLUMN($A$1),FALSE)=0, VLOOKUP($D260, regions_lb[], COLUMN(AK$1)-COLUMN($A$1), FALSE), VLOOKUP($A260,raw_lb[],COLUMN(AK$1)-COLUMN($A$1),FALSE))</f>
        <v>1.27241204210668E-3</v>
      </c>
      <c r="AK260" s="72">
        <f>IF(VLOOKUP($A260,raw_lb[],COLUMN(AL$1)-COLUMN($A$1),FALSE)=0, VLOOKUP($D260, regions_lb[], COLUMN(AL$1)-COLUMN($A$1), FALSE), VLOOKUP($A260,raw_lb[],COLUMN(AL$1)-COLUMN($A$1),FALSE))</f>
        <v>1.6620633371593101E-3</v>
      </c>
      <c r="AL260" s="72">
        <f>IF(VLOOKUP($A260,raw_lb[],COLUMN(AM$1)-COLUMN($A$1),FALSE)=0, VLOOKUP($D260, regions_lb[], COLUMN(AM$1)-COLUMN($A$1), FALSE), VLOOKUP($A260,raw_lb[],COLUMN(AM$1)-COLUMN($A$1),FALSE))</f>
        <v>2.3908964885334103E-3</v>
      </c>
      <c r="AM260" s="72">
        <f>IF(VLOOKUP($A260,raw_lb[],COLUMN(AN$1)-COLUMN($A$1),FALSE)=0, VLOOKUP($D260, regions_lb[], COLUMN(AN$1)-COLUMN($A$1), FALSE), VLOOKUP($A260,raw_lb[],COLUMN(AN$1)-COLUMN($A$1),FALSE))</f>
        <v>3.8080117760128335E-3</v>
      </c>
      <c r="AN260" s="72">
        <f>IF(VLOOKUP($A260,raw_lb[],COLUMN(AO$1)-COLUMN($A$1),FALSE)=0, VLOOKUP($D260, regions_lb[], COLUMN(AO$1)-COLUMN($A$1), FALSE), VLOOKUP($A260,raw_lb[],COLUMN(AO$1)-COLUMN($A$1),FALSE))</f>
        <v>6.2479403126392543E-3</v>
      </c>
      <c r="AO260" s="72">
        <f>IF(VLOOKUP($A260,raw_lb[],COLUMN(AP$1)-COLUMN($A$1),FALSE)=0, VLOOKUP($D260, regions_lb[], COLUMN(AP$1)-COLUMN($A$1), FALSE), VLOOKUP($A260,raw_lb[],COLUMN(AP$1)-COLUMN($A$1),FALSE))</f>
        <v>1.0712857360525191E-2</v>
      </c>
      <c r="AP260" s="72">
        <f>IF(VLOOKUP($A260,raw_lb[],COLUMN(AQ$1)-COLUMN($A$1),FALSE)=0, VLOOKUP($D260, regions_lb[], COLUMN(AQ$1)-COLUMN($A$1), FALSE), VLOOKUP($A260,raw_lb[],COLUMN(AQ$1)-COLUMN($A$1),FALSE))</f>
        <v>1.719305127478378E-2</v>
      </c>
      <c r="AQ260" s="72">
        <f>IF(VLOOKUP($A260,raw_lb[],COLUMN(AR$1)-COLUMN($A$1),FALSE)=0, VLOOKUP($D260, regions_lb[], COLUMN(AR$1)-COLUMN($A$1), FALSE), VLOOKUP($A260,raw_lb[],COLUMN(AR$1)-COLUMN($A$1),FALSE))</f>
        <v>2.7327966249628237E-2</v>
      </c>
      <c r="AR260" s="72">
        <f>IF(VLOOKUP($A260,raw_lb[],COLUMN(AS$1)-COLUMN($A$1),FALSE)=0, VLOOKUP($D260, regions_lb[], COLUMN(AS$1)-COLUMN($A$1), FALSE), VLOOKUP($A260,raw_lb[],COLUMN(AS$1)-COLUMN($A$1),FALSE))</f>
        <v>4.3336439617917791E-2</v>
      </c>
      <c r="AS260" s="82">
        <f>IF(VLOOKUP($A260,raw_lb[],COLUMN(AS$1),FALSE)=0, VLOOKUP($D260, regions_lb[], COLUMN(AS$1), FALSE), VLOOKUP($A260,raw_lb[],COLUMN(AS$1),FALSE))</f>
        <v>6.6558479209795005E-2</v>
      </c>
      <c r="AT260" s="82">
        <f>IF(VLOOKUP($A260,raw_lb[],COLUMN(AT$1),FALSE)=0, VLOOKUP($D260, regions_lb[], COLUMN(AT$1), FALSE), VLOOKUP($A260,raw_lb[],COLUMN(AT$1),FALSE))</f>
        <v>9.510092681115799E-2</v>
      </c>
      <c r="AU260" s="82">
        <f>IF(VLOOKUP($A260,raw_lb[],COLUMN(AU$1),FALSE)=0, VLOOKUP($D260, regions_lb[], COLUMN(AU$1), FALSE), VLOOKUP($A260,raw_lb[],COLUMN(AU$1),FALSE))</f>
        <v>0.12606487446351283</v>
      </c>
      <c r="AV260" s="82">
        <f>IF(VLOOKUP($A260,raw_lb[],COLUMN(AV$1),FALSE)=0, VLOOKUP($D260, regions_lb[], COLUMN(AV$1), FALSE), VLOOKUP($A260,raw_lb[],COLUMN(AV$1),FALSE))</f>
        <v>0.15134075020553411</v>
      </c>
      <c r="AW260" s="82">
        <f>IF(VLOOKUP($A260,raw_lb[],COLUMN(AW$1),FALSE)=0, VLOOKUP($D260, regions_lb[], COLUMN(AW$1), FALSE), VLOOKUP($A260,raw_lb[],COLUMN(AW$1),FALSE))</f>
        <v>0.16907369287658447</v>
      </c>
      <c r="AX260" s="82">
        <f>IF(VLOOKUP($A260,raw_lb[],COLUMN(AX$1),FALSE)=0, VLOOKUP($D260, regions_lb[], COLUMN(AX$1), FALSE), VLOOKUP($A260,raw_lb[],COLUMN(AX$1),FALSE))</f>
        <v>65.695350000000005</v>
      </c>
      <c r="AY260" t="str">
        <f t="shared" si="8"/>
        <v>No</v>
      </c>
    </row>
    <row r="261" spans="1:51" x14ac:dyDescent="0.25">
      <c r="A261" s="55" t="s">
        <v>466</v>
      </c>
      <c r="B261" s="56" t="s">
        <v>467</v>
      </c>
      <c r="C261" s="56">
        <v>768</v>
      </c>
      <c r="D261" s="56" t="s">
        <v>207</v>
      </c>
      <c r="E261" s="56" t="s">
        <v>235</v>
      </c>
      <c r="F261" s="56" t="s">
        <v>211</v>
      </c>
      <c r="G261" s="56" t="s">
        <v>198</v>
      </c>
      <c r="H261" s="74"/>
      <c r="I261" s="74"/>
      <c r="J261" s="67">
        <f>IF(VLOOKUP($A261,raw_lb[],COLUMN(J$1),FALSE)=0, VLOOKUP($D261, regions_lb[], COLUMN(J$1), FALSE), VLOOKUP($A261,raw_lb[],COLUMN(J$1),FALSE))</f>
        <v>0.76</v>
      </c>
      <c r="K261" s="77">
        <f>VLOOKUP($A261, raw_lb[], 11, FALSE)</f>
        <v>0</v>
      </c>
      <c r="L261" s="77">
        <f>VLOOKUP($A261, raw_lb[], 12, FALSE)</f>
        <v>0.77899999999999991</v>
      </c>
      <c r="M261" s="77">
        <f>IF(VLOOKUP($A261,raw_lb[],COLUMN(M$1),FALSE)=0, VLOOKUP($D261, regions_lb[], COLUMN(M$1), FALSE), VLOOKUP($A261,raw_lb[],COLUMN(M$1),FALSE))</f>
        <v>0.1177</v>
      </c>
      <c r="N261" s="68">
        <f>IF(VLOOKUP($A261,raw_lb[],COLUMN(N$1),FALSE)=0, VLOOKUP($D261, regions_lb[], COLUMN(N$1), FALSE), VLOOKUP($A261,raw_lb[],COLUMN(N$1),FALSE))</f>
        <v>0.155</v>
      </c>
      <c r="O261" s="67">
        <f>IF(VLOOKUP($A261,raw_lb[],COLUMN(O$1),FALSE)=0, VLOOKUP($D261, regions_lb[], COLUMN(O$1), FALSE), VLOOKUP($A261,raw_lb[],COLUMN(O$1),FALSE))</f>
        <v>7.0000000000000007E-2</v>
      </c>
      <c r="P261" s="68">
        <f>IF(VLOOKUP($A261,raw_lb[],COLUMN(P$1),FALSE)=0, VLOOKUP($D261, regions_lb[], COLUMN(P$1), FALSE), VLOOKUP($A261,raw_lb[],COLUMN(P$1),FALSE))</f>
        <v>1E-3</v>
      </c>
      <c r="Q261" s="70">
        <f>IF(VLOOKUP($A261,raw_lb[],COLUMN(Q$1),FALSE)=0, VLOOKUP($D261, regions_lb[], COLUMN(Q$1), FALSE), VLOOKUP($A261,raw_lb[],COLUMN(Q$1),FALSE))</f>
        <v>0.64553301759134007</v>
      </c>
      <c r="R261" s="70">
        <f>IF(VLOOKUP($A261,raw_lb[],COLUMN(R$1),FALSE)=0, VLOOKUP($D261, regions_lb[], COLUMN(R$1), FALSE), VLOOKUP($A261,raw_lb[],COLUMN(R$1),FALSE))</f>
        <v>7.7064330175913405</v>
      </c>
      <c r="S261" s="70">
        <f>IF(VLOOKUP($A261,raw_lb[],COLUMN(S$1),FALSE)=0, VLOOKUP($D261, regions_lb[], COLUMN(S$1), FALSE), VLOOKUP($A261,raw_lb[],COLUMN(S$1),FALSE))</f>
        <v>37.387655319424653</v>
      </c>
      <c r="T261" s="70">
        <f>IF(VLOOKUP($A261,raw_lb[],COLUMN(U$1)-COLUMN($A$1),FALSE)=0, VLOOKUP($D261, regions_lb[], COLUMN(U$1)-COLUMN($A$1), FALSE), VLOOKUP($A261,raw_lb[],COLUMN(U$1)-COLUMN($A$1),FALSE))</f>
        <v>37.62770540728021</v>
      </c>
      <c r="U261" s="70">
        <f>IF(VLOOKUP($A261,raw_lb[],COLUMN(V$1)-COLUMN($A$1),FALSE)=0, VLOOKUP($D261, regions_lb[], COLUMN(V$1)-COLUMN($A$1), FALSE), VLOOKUP($A261,raw_lb[],COLUMN(V$1)-COLUMN($A$1),FALSE))</f>
        <v>37.51747948094939</v>
      </c>
      <c r="V261" s="70">
        <f>IF(VLOOKUP($A261,raw_lb[],COLUMN(W$1)-COLUMN($A$1),FALSE)=0, VLOOKUP($D261, regions_lb[], COLUMN(W$1)-COLUMN($A$1), FALSE), VLOOKUP($A261,raw_lb[],COLUMN(W$1)-COLUMN($A$1),FALSE))</f>
        <v>1.3415951760607363</v>
      </c>
      <c r="W261" s="70">
        <f>IF(VLOOKUP($A261,raw_lb[],COLUMN(X$1)-COLUMN($A$1),FALSE)=0, VLOOKUP($D261, regions_lb[], COLUMN(X$1)-COLUMN($A$1), FALSE), VLOOKUP($A261,raw_lb[],COLUMN(X$1)-COLUMN($A$1),FALSE))</f>
        <v>5.9300951760607363</v>
      </c>
      <c r="X261" s="70">
        <f>IF(VLOOKUP($A261,raw_lb[],COLUMN(Y$1)-COLUMN($A$1),FALSE)=0, VLOOKUP($D261, regions_lb[], COLUMN(Y$1)-COLUMN($A$1), FALSE), VLOOKUP($A261,raw_lb[],COLUMN(Y$1)-COLUMN($A$1),FALSE))</f>
        <v>0.87037854800958336</v>
      </c>
      <c r="Y261" s="70">
        <f>IF(VLOOKUP($A261,raw_lb[],COLUMN(Z$1)-COLUMN($A$1),FALSE)=0, VLOOKUP($D261, regions_lb[], COLUMN(Z$1)-COLUMN($A$1), FALSE), VLOOKUP($A261,raw_lb[],COLUMN(Z$1)-COLUMN($A$1),FALSE))</f>
        <v>5.4588785480095829</v>
      </c>
      <c r="Z261" s="70">
        <f>IF(VLOOKUP($A261,raw_lb[],COLUMN(AA$1)-COLUMN($A$1),FALSE)=0, VLOOKUP($D261, regions_lb[], COLUMN(AA$1)-COLUMN($A$1), FALSE), VLOOKUP($A261,raw_lb[],COLUMN(AA$1)-COLUMN($A$1),FALSE))</f>
        <v>5.4568161280340099</v>
      </c>
      <c r="AA261" s="70">
        <f>IF(VLOOKUP($A261,raw_lb[],COLUMN(AB$1)-COLUMN($A$1),FALSE)=0, VLOOKUP($D261, regions_lb[], COLUMN(AB$1)-COLUMN($A$1), FALSE), VLOOKUP($A261,raw_lb[],COLUMN(AB$1)-COLUMN($A$1),FALSE))</f>
        <v>1.4864560886503253</v>
      </c>
      <c r="AB261" s="70">
        <f>IF(VLOOKUP($A261,raw_lb[],COLUMN(AC$1)-COLUMN($A$1),FALSE)=0, VLOOKUP($D261, regions_lb[], COLUMN(AC$1)-COLUMN($A$1), FALSE), VLOOKUP($A261,raw_lb[],COLUMN(AC$1)-COLUMN($A$1),FALSE))</f>
        <v>6.0749560886503247</v>
      </c>
      <c r="AC261" s="72">
        <f>IF(VLOOKUP($A261,raw_lb[],COLUMN(AD$1)-COLUMN($A$1),FALSE)=0, VLOOKUP($D261, regions_lb[], COLUMN(AD$1)-COLUMN($A$1), FALSE), VLOOKUP($A261,raw_lb[],COLUMN(AD$1)-COLUMN($A$1),FALSE))</f>
        <v>4.7211418500000067E-2</v>
      </c>
      <c r="AD261" s="72">
        <f>IF(VLOOKUP($A261,raw_lb[],COLUMN(AE$1)-COLUMN($A$1),FALSE)=0, VLOOKUP($D261, regions_lb[], COLUMN(AE$1)-COLUMN($A$1), FALSE), VLOOKUP($A261,raw_lb[],COLUMN(AE$1)-COLUMN($A$1),FALSE))</f>
        <v>6.4294966176973055E-3</v>
      </c>
      <c r="AE261" s="72">
        <f>IF(VLOOKUP($A261,raw_lb[],COLUMN(AF$1)-COLUMN($A$1),FALSE)=0, VLOOKUP($D261, regions_lb[], COLUMN(AF$1)-COLUMN($A$1), FALSE), VLOOKUP($A261,raw_lb[],COLUMN(AF$1)-COLUMN($A$1),FALSE))</f>
        <v>2.940034690004784E-3</v>
      </c>
      <c r="AF261" s="72">
        <f>IF(VLOOKUP($A261,raw_lb[],COLUMN(AG$1)-COLUMN($A$1),FALSE)=0, VLOOKUP($D261, regions_lb[], COLUMN(AG$1)-COLUMN($A$1), FALSE), VLOOKUP($A261,raw_lb[],COLUMN(AG$1)-COLUMN($A$1),FALSE))</f>
        <v>1.7207293166186259E-3</v>
      </c>
      <c r="AG261" s="72">
        <f>IF(VLOOKUP($A261,raw_lb[],COLUMN(AH$1)-COLUMN($A$1),FALSE)=0, VLOOKUP($D261, regions_lb[], COLUMN(AH$1)-COLUMN($A$1), FALSE), VLOOKUP($A261,raw_lb[],COLUMN(AH$1)-COLUMN($A$1),FALSE))</f>
        <v>2.6278385058858566E-3</v>
      </c>
      <c r="AH261" s="72">
        <f>IF(VLOOKUP($A261,raw_lb[],COLUMN(AI$1)-COLUMN($A$1),FALSE)=0, VLOOKUP($D261, regions_lb[], COLUMN(AI$1)-COLUMN($A$1), FALSE), VLOOKUP($A261,raw_lb[],COLUMN(AI$1)-COLUMN($A$1),FALSE))</f>
        <v>3.6703343811875077E-3</v>
      </c>
      <c r="AI261" s="72">
        <f>IF(VLOOKUP($A261,raw_lb[],COLUMN(AJ$1)-COLUMN($A$1),FALSE)=0, VLOOKUP($D261, regions_lb[], COLUMN(AJ$1)-COLUMN($A$1), FALSE), VLOOKUP($A261,raw_lb[],COLUMN(AJ$1)-COLUMN($A$1),FALSE))</f>
        <v>3.9022789357450725E-3</v>
      </c>
      <c r="AJ261" s="72">
        <f>IF(VLOOKUP($A261,raw_lb[],COLUMN(AK$1)-COLUMN($A$1),FALSE)=0, VLOOKUP($D261, regions_lb[], COLUMN(AK$1)-COLUMN($A$1), FALSE), VLOOKUP($A261,raw_lb[],COLUMN(AK$1)-COLUMN($A$1),FALSE))</f>
        <v>4.2700984822593531E-3</v>
      </c>
      <c r="AK261" s="72">
        <f>IF(VLOOKUP($A261,raw_lb[],COLUMN(AL$1)-COLUMN($A$1),FALSE)=0, VLOOKUP($D261, regions_lb[], COLUMN(AL$1)-COLUMN($A$1), FALSE), VLOOKUP($A261,raw_lb[],COLUMN(AL$1)-COLUMN($A$1),FALSE))</f>
        <v>4.8550238267770661E-3</v>
      </c>
      <c r="AL261" s="72">
        <f>IF(VLOOKUP($A261,raw_lb[],COLUMN(AM$1)-COLUMN($A$1),FALSE)=0, VLOOKUP($D261, regions_lb[], COLUMN(AM$1)-COLUMN($A$1), FALSE), VLOOKUP($A261,raw_lb[],COLUMN(AM$1)-COLUMN($A$1),FALSE))</f>
        <v>5.8994950979376435E-3</v>
      </c>
      <c r="AM261" s="72">
        <f>IF(VLOOKUP($A261,raw_lb[],COLUMN(AN$1)-COLUMN($A$1),FALSE)=0, VLOOKUP($D261, regions_lb[], COLUMN(AN$1)-COLUMN($A$1), FALSE), VLOOKUP($A261,raw_lb[],COLUMN(AN$1)-COLUMN($A$1),FALSE))</f>
        <v>7.2972324364903723E-3</v>
      </c>
      <c r="AN261" s="72">
        <f>IF(VLOOKUP($A261,raw_lb[],COLUMN(AO$1)-COLUMN($A$1),FALSE)=0, VLOOKUP($D261, regions_lb[], COLUMN(AO$1)-COLUMN($A$1), FALSE), VLOOKUP($A261,raw_lb[],COLUMN(AO$1)-COLUMN($A$1),FALSE))</f>
        <v>1.0151037775650273E-2</v>
      </c>
      <c r="AO261" s="72">
        <f>IF(VLOOKUP($A261,raw_lb[],COLUMN(AP$1)-COLUMN($A$1),FALSE)=0, VLOOKUP($D261, regions_lb[], COLUMN(AP$1)-COLUMN($A$1), FALSE), VLOOKUP($A261,raw_lb[],COLUMN(AP$1)-COLUMN($A$1),FALSE))</f>
        <v>1.4355496783228344E-2</v>
      </c>
      <c r="AP261" s="72">
        <f>IF(VLOOKUP($A261,raw_lb[],COLUMN(AQ$1)-COLUMN($A$1),FALSE)=0, VLOOKUP($D261, regions_lb[], COLUMN(AQ$1)-COLUMN($A$1), FALSE), VLOOKUP($A261,raw_lb[],COLUMN(AQ$1)-COLUMN($A$1),FALSE))</f>
        <v>2.222967543885504E-2</v>
      </c>
      <c r="AQ261" s="72">
        <f>IF(VLOOKUP($A261,raw_lb[],COLUMN(AR$1)-COLUMN($A$1),FALSE)=0, VLOOKUP($D261, regions_lb[], COLUMN(AR$1)-COLUMN($A$1), FALSE), VLOOKUP($A261,raw_lb[],COLUMN(AR$1)-COLUMN($A$1),FALSE))</f>
        <v>3.4051251714577284E-2</v>
      </c>
      <c r="AR261" s="72">
        <f>IF(VLOOKUP($A261,raw_lb[],COLUMN(AS$1)-COLUMN($A$1),FALSE)=0, VLOOKUP($D261, regions_lb[], COLUMN(AS$1)-COLUMN($A$1), FALSE), VLOOKUP($A261,raw_lb[],COLUMN(AS$1)-COLUMN($A$1),FALSE))</f>
        <v>5.4118436626828192E-2</v>
      </c>
      <c r="AS261" s="82">
        <f>IF(VLOOKUP($A261,raw_lb[],COLUMN(AS$1),FALSE)=0, VLOOKUP($D261, regions_lb[], COLUMN(AS$1), FALSE), VLOOKUP($A261,raw_lb[],COLUMN(AS$1),FALSE))</f>
        <v>8.2511497157411989E-2</v>
      </c>
      <c r="AT261" s="82">
        <f>IF(VLOOKUP($A261,raw_lb[],COLUMN(AT$1),FALSE)=0, VLOOKUP($D261, regions_lb[], COLUMN(AT$1), FALSE), VLOOKUP($A261,raw_lb[],COLUMN(AT$1),FALSE))</f>
        <v>0.11686148335853581</v>
      </c>
      <c r="AU261" s="82">
        <f>IF(VLOOKUP($A261,raw_lb[],COLUMN(AU$1),FALSE)=0, VLOOKUP($D261, regions_lb[], COLUMN(AU$1), FALSE), VLOOKUP($A261,raw_lb[],COLUMN(AU$1),FALSE))</f>
        <v>0.14783290120566306</v>
      </c>
      <c r="AV261" s="82">
        <f>IF(VLOOKUP($A261,raw_lb[],COLUMN(AV$1),FALSE)=0, VLOOKUP($D261, regions_lb[], COLUMN(AV$1), FALSE), VLOOKUP($A261,raw_lb[],COLUMN(AV$1),FALSE))</f>
        <v>0.16889646981625397</v>
      </c>
      <c r="AW261" s="82">
        <f>IF(VLOOKUP($A261,raw_lb[],COLUMN(AW$1),FALSE)=0, VLOOKUP($D261, regions_lb[], COLUMN(AW$1), FALSE), VLOOKUP($A261,raw_lb[],COLUMN(AW$1),FALSE))</f>
        <v>0.18435548465282919</v>
      </c>
      <c r="AX261" s="82">
        <f>IF(VLOOKUP($A261,raw_lb[],COLUMN(AX$1),FALSE)=0, VLOOKUP($D261, regions_lb[], COLUMN(AX$1), FALSE), VLOOKUP($A261,raw_lb[],COLUMN(AX$1),FALSE))</f>
        <v>57.501599999999996</v>
      </c>
      <c r="AY261" t="str">
        <f t="shared" si="8"/>
        <v>Yes</v>
      </c>
    </row>
    <row r="262" spans="1:51" x14ac:dyDescent="0.25">
      <c r="A262" s="53" t="s">
        <v>468</v>
      </c>
      <c r="B262" s="54" t="s">
        <v>469</v>
      </c>
      <c r="C262" s="54">
        <v>776</v>
      </c>
      <c r="D262" s="54" t="s">
        <v>260</v>
      </c>
      <c r="E262" s="54" t="s">
        <v>309</v>
      </c>
      <c r="F262" s="54" t="s">
        <v>262</v>
      </c>
      <c r="G262" s="54" t="s">
        <v>204</v>
      </c>
      <c r="H262" s="73"/>
      <c r="I262" s="73"/>
      <c r="J262" s="67">
        <f>IF(VLOOKUP($A262,raw_lb[],COLUMN(J$1),FALSE)=0, VLOOKUP($D262, regions_lb[], COLUMN(J$1), FALSE), VLOOKUP($A262,raw_lb[],COLUMN(J$1),FALSE))</f>
        <v>0.93099999999999994</v>
      </c>
      <c r="K262" s="77">
        <f>VLOOKUP($A262, raw_lb[], 11, FALSE)</f>
        <v>0.9405</v>
      </c>
      <c r="L262" s="77">
        <f>VLOOKUP($A262, raw_lb[], 12, FALSE)</f>
        <v>0.9405</v>
      </c>
      <c r="M262" s="77">
        <f>IF(VLOOKUP($A262,raw_lb[],COLUMN(M$1),FALSE)=0, VLOOKUP($D262, regions_lb[], COLUMN(M$1), FALSE), VLOOKUP($A262,raw_lb[],COLUMN(M$1),FALSE))</f>
        <v>7.8200000000000006E-2</v>
      </c>
      <c r="N262" s="68">
        <f>IF(VLOOKUP($A262,raw_lb[],COLUMN(N$1),FALSE)=0, VLOOKUP($D262, regions_lb[], COLUMN(N$1), FALSE), VLOOKUP($A262,raw_lb[],COLUMN(N$1),FALSE))</f>
        <v>0.1832</v>
      </c>
      <c r="O262" s="67">
        <f>IF(VLOOKUP($A262,raw_lb[],COLUMN(O$1),FALSE)=0, VLOOKUP($D262, regions_lb[], COLUMN(O$1), FALSE), VLOOKUP($A262,raw_lb[],COLUMN(O$1),FALSE))</f>
        <v>0.7</v>
      </c>
      <c r="P262" s="68">
        <f>IF(VLOOKUP($A262,raw_lb[],COLUMN(P$1),FALSE)=0, VLOOKUP($D262, regions_lb[], COLUMN(P$1), FALSE), VLOOKUP($A262,raw_lb[],COLUMN(P$1),FALSE))</f>
        <v>0.05</v>
      </c>
      <c r="Q262" s="70">
        <f>IF(VLOOKUP($A262,raw_lb[],COLUMN(Q$1),FALSE)=0, VLOOKUP($D262, regions_lb[], COLUMN(Q$1), FALSE), VLOOKUP($A262,raw_lb[],COLUMN(Q$1),FALSE))</f>
        <v>1.5725916666666702</v>
      </c>
      <c r="R262" s="70">
        <f>IF(VLOOKUP($A262,raw_lb[],COLUMN(R$1),FALSE)=0, VLOOKUP($D262, regions_lb[], COLUMN(R$1), FALSE), VLOOKUP($A262,raw_lb[],COLUMN(R$1),FALSE))</f>
        <v>8.6334916666666714</v>
      </c>
      <c r="S262" s="70">
        <f>IF(VLOOKUP($A262,raw_lb[],COLUMN(S$1),FALSE)=0, VLOOKUP($D262, regions_lb[], COLUMN(S$1), FALSE), VLOOKUP($A262,raw_lb[],COLUMN(S$1),FALSE))</f>
        <v>43.569510999595202</v>
      </c>
      <c r="T262" s="70">
        <f>IF(VLOOKUP($A262,raw_lb[],COLUMN(U$1)-COLUMN($A$1),FALSE)=0, VLOOKUP($D262, regions_lb[], COLUMN(U$1)-COLUMN($A$1), FALSE), VLOOKUP($A262,raw_lb[],COLUMN(U$1)-COLUMN($A$1),FALSE))</f>
        <v>46.544499280949864</v>
      </c>
      <c r="U262" s="70">
        <f>IF(VLOOKUP($A262,raw_lb[],COLUMN(V$1)-COLUMN($A$1),FALSE)=0, VLOOKUP($D262, regions_lb[], COLUMN(V$1)-COLUMN($A$1), FALSE), VLOOKUP($A262,raw_lb[],COLUMN(V$1)-COLUMN($A$1),FALSE))</f>
        <v>45.178447545393048</v>
      </c>
      <c r="V262" s="70">
        <f>IF(VLOOKUP($A262,raw_lb[],COLUMN(W$1)-COLUMN($A$1),FALSE)=0, VLOOKUP($D262, regions_lb[], COLUMN(W$1)-COLUMN($A$1), FALSE), VLOOKUP($A262,raw_lb[],COLUMN(W$1)-COLUMN($A$1),FALSE))</f>
        <v>3.0890574957293828</v>
      </c>
      <c r="W262" s="70">
        <f>IF(VLOOKUP($A262,raw_lb[],COLUMN(X$1)-COLUMN($A$1),FALSE)=0, VLOOKUP($D262, regions_lb[], COLUMN(X$1)-COLUMN($A$1), FALSE), VLOOKUP($A262,raw_lb[],COLUMN(X$1)-COLUMN($A$1),FALSE))</f>
        <v>3.6875574957293829</v>
      </c>
      <c r="X262" s="70">
        <f>IF(VLOOKUP($A262,raw_lb[],COLUMN(Y$1)-COLUMN($A$1),FALSE)=0, VLOOKUP($D262, regions_lb[], COLUMN(Y$1)-COLUMN($A$1), FALSE), VLOOKUP($A262,raw_lb[],COLUMN(Y$1)-COLUMN($A$1),FALSE))</f>
        <v>2.6154739125205517</v>
      </c>
      <c r="Y262" s="70">
        <f>IF(VLOOKUP($A262,raw_lb[],COLUMN(Z$1)-COLUMN($A$1),FALSE)=0, VLOOKUP($D262, regions_lb[], COLUMN(Z$1)-COLUMN($A$1), FALSE), VLOOKUP($A262,raw_lb[],COLUMN(Z$1)-COLUMN($A$1),FALSE))</f>
        <v>3.2139739125205518</v>
      </c>
      <c r="Z262" s="70">
        <f>IF(VLOOKUP($A262,raw_lb[],COLUMN(AA$1)-COLUMN($A$1),FALSE)=0, VLOOKUP($D262, regions_lb[], COLUMN(AA$1)-COLUMN($A$1), FALSE), VLOOKUP($A262,raw_lb[],COLUMN(AA$1)-COLUMN($A$1),FALSE))</f>
        <v>3.2105570975952751</v>
      </c>
      <c r="AA262" s="70">
        <f>IF(VLOOKUP($A262,raw_lb[],COLUMN(AB$1)-COLUMN($A$1),FALSE)=0, VLOOKUP($D262, regions_lb[], COLUMN(AB$1)-COLUMN($A$1), FALSE), VLOOKUP($A262,raw_lb[],COLUMN(AB$1)-COLUMN($A$1),FALSE))</f>
        <v>3.2412221556626641</v>
      </c>
      <c r="AB262" s="70">
        <f>IF(VLOOKUP($A262,raw_lb[],COLUMN(AC$1)-COLUMN($A$1),FALSE)=0, VLOOKUP($D262, regions_lb[], COLUMN(AC$1)-COLUMN($A$1), FALSE), VLOOKUP($A262,raw_lb[],COLUMN(AC$1)-COLUMN($A$1),FALSE))</f>
        <v>3.8397221556626642</v>
      </c>
      <c r="AC262" s="72">
        <f>IF(VLOOKUP($A262,raw_lb[],COLUMN(AD$1)-COLUMN($A$1),FALSE)=0, VLOOKUP($D262, regions_lb[], COLUMN(AD$1)-COLUMN($A$1), FALSE), VLOOKUP($A262,raw_lb[],COLUMN(AD$1)-COLUMN($A$1),FALSE))</f>
        <v>1.1890798500000004E-2</v>
      </c>
      <c r="AD262" s="72">
        <f>IF(VLOOKUP($A262,raw_lb[],COLUMN(AE$1)-COLUMN($A$1),FALSE)=0, VLOOKUP($D262, regions_lb[], COLUMN(AE$1)-COLUMN($A$1), FALSE), VLOOKUP($A262,raw_lb[],COLUMN(AE$1)-COLUMN($A$1),FALSE))</f>
        <v>7.4656826879019569E-4</v>
      </c>
      <c r="AE262" s="72">
        <f>IF(VLOOKUP($A262,raw_lb[],COLUMN(AF$1)-COLUMN($A$1),FALSE)=0, VLOOKUP($D262, regions_lb[], COLUMN(AF$1)-COLUMN($A$1), FALSE), VLOOKUP($A262,raw_lb[],COLUMN(AF$1)-COLUMN($A$1),FALSE))</f>
        <v>3.7820524196938127E-4</v>
      </c>
      <c r="AF262" s="72">
        <f>IF(VLOOKUP($A262,raw_lb[],COLUMN(AG$1)-COLUMN($A$1),FALSE)=0, VLOOKUP($D262, regions_lb[], COLUMN(AG$1)-COLUMN($A$1), FALSE), VLOOKUP($A262,raw_lb[],COLUMN(AG$1)-COLUMN($A$1),FALSE))</f>
        <v>3.5923084653595406E-4</v>
      </c>
      <c r="AG262" s="72">
        <f>IF(VLOOKUP($A262,raw_lb[],COLUMN(AH$1)-COLUMN($A$1),FALSE)=0, VLOOKUP($D262, regions_lb[], COLUMN(AH$1)-COLUMN($A$1), FALSE), VLOOKUP($A262,raw_lb[],COLUMN(AH$1)-COLUMN($A$1),FALSE))</f>
        <v>8.9760328960619066E-4</v>
      </c>
      <c r="AH262" s="72">
        <f>IF(VLOOKUP($A262,raw_lb[],COLUMN(AI$1)-COLUMN($A$1),FALSE)=0, VLOOKUP($D262, regions_lb[], COLUMN(AI$1)-COLUMN($A$1), FALSE), VLOOKUP($A262,raw_lb[],COLUMN(AI$1)-COLUMN($A$1),FALSE))</f>
        <v>1.3045643152506474E-3</v>
      </c>
      <c r="AI262" s="72">
        <f>IF(VLOOKUP($A262,raw_lb[],COLUMN(AJ$1)-COLUMN($A$1),FALSE)=0, VLOOKUP($D262, regions_lb[], COLUMN(AJ$1)-COLUMN($A$1), FALSE), VLOOKUP($A262,raw_lb[],COLUMN(AJ$1)-COLUMN($A$1),FALSE))</f>
        <v>1.4277741970396874E-3</v>
      </c>
      <c r="AJ262" s="72">
        <f>IF(VLOOKUP($A262,raw_lb[],COLUMN(AK$1)-COLUMN($A$1),FALSE)=0, VLOOKUP($D262, regions_lb[], COLUMN(AK$1)-COLUMN($A$1), FALSE), VLOOKUP($A262,raw_lb[],COLUMN(AK$1)-COLUMN($A$1),FALSE))</f>
        <v>1.7070112676730684E-3</v>
      </c>
      <c r="AK262" s="72">
        <f>IF(VLOOKUP($A262,raw_lb[],COLUMN(AL$1)-COLUMN($A$1),FALSE)=0, VLOOKUP($D262, regions_lb[], COLUMN(AL$1)-COLUMN($A$1), FALSE), VLOOKUP($A262,raw_lb[],COLUMN(AL$1)-COLUMN($A$1),FALSE))</f>
        <v>2.3007478154776439E-3</v>
      </c>
      <c r="AL262" s="72">
        <f>IF(VLOOKUP($A262,raw_lb[],COLUMN(AM$1)-COLUMN($A$1),FALSE)=0, VLOOKUP($D262, regions_lb[], COLUMN(AM$1)-COLUMN($A$1), FALSE), VLOOKUP($A262,raw_lb[],COLUMN(AM$1)-COLUMN($A$1),FALSE))</f>
        <v>3.3067611595702013E-3</v>
      </c>
      <c r="AM262" s="72">
        <f>IF(VLOOKUP($A262,raw_lb[],COLUMN(AN$1)-COLUMN($A$1),FALSE)=0, VLOOKUP($D262, regions_lb[], COLUMN(AN$1)-COLUMN($A$1), FALSE), VLOOKUP($A262,raw_lb[],COLUMN(AN$1)-COLUMN($A$1),FALSE))</f>
        <v>4.9702010836280208E-3</v>
      </c>
      <c r="AN262" s="72">
        <f>IF(VLOOKUP($A262,raw_lb[],COLUMN(AO$1)-COLUMN($A$1),FALSE)=0, VLOOKUP($D262, regions_lb[], COLUMN(AO$1)-COLUMN($A$1), FALSE), VLOOKUP($A262,raw_lb[],COLUMN(AO$1)-COLUMN($A$1),FALSE))</f>
        <v>7.5124637061862697E-3</v>
      </c>
      <c r="AO262" s="72">
        <f>IF(VLOOKUP($A262,raw_lb[],COLUMN(AP$1)-COLUMN($A$1),FALSE)=0, VLOOKUP($D262, regions_lb[], COLUMN(AP$1)-COLUMN($A$1), FALSE), VLOOKUP($A262,raw_lb[],COLUMN(AP$1)-COLUMN($A$1),FALSE))</f>
        <v>1.109370105787404E-2</v>
      </c>
      <c r="AP262" s="72">
        <f>IF(VLOOKUP($A262,raw_lb[],COLUMN(AQ$1)-COLUMN($A$1),FALSE)=0, VLOOKUP($D262, regions_lb[], COLUMN(AQ$1)-COLUMN($A$1), FALSE), VLOOKUP($A262,raw_lb[],COLUMN(AQ$1)-COLUMN($A$1),FALSE))</f>
        <v>1.7601659377743648E-2</v>
      </c>
      <c r="AQ262" s="72">
        <f>IF(VLOOKUP($A262,raw_lb[],COLUMN(AR$1)-COLUMN($A$1),FALSE)=0, VLOOKUP($D262, regions_lb[], COLUMN(AR$1)-COLUMN($A$1), FALSE), VLOOKUP($A262,raw_lb[],COLUMN(AR$1)-COLUMN($A$1),FALSE))</f>
        <v>2.8029534412279334E-2</v>
      </c>
      <c r="AR262" s="72">
        <f>IF(VLOOKUP($A262,raw_lb[],COLUMN(AS$1)-COLUMN($A$1),FALSE)=0, VLOOKUP($D262, regions_lb[], COLUMN(AS$1)-COLUMN($A$1), FALSE), VLOOKUP($A262,raw_lb[],COLUMN(AS$1)-COLUMN($A$1),FALSE))</f>
        <v>4.3460863658412376E-2</v>
      </c>
      <c r="AS262" s="82">
        <f>IF(VLOOKUP($A262,raw_lb[],COLUMN(AS$1),FALSE)=0, VLOOKUP($D262, regions_lb[], COLUMN(AS$1), FALSE), VLOOKUP($A262,raw_lb[],COLUMN(AS$1),FALSE))</f>
        <v>6.5360935881491E-2</v>
      </c>
      <c r="AT262" s="82">
        <f>IF(VLOOKUP($A262,raw_lb[],COLUMN(AT$1),FALSE)=0, VLOOKUP($D262, regions_lb[], COLUMN(AT$1), FALSE), VLOOKUP($A262,raw_lb[],COLUMN(AT$1),FALSE))</f>
        <v>9.4603362877106995E-2</v>
      </c>
      <c r="AU262" s="82">
        <f>IF(VLOOKUP($A262,raw_lb[],COLUMN(AU$1),FALSE)=0, VLOOKUP($D262, regions_lb[], COLUMN(AU$1), FALSE), VLOOKUP($A262,raw_lb[],COLUMN(AU$1),FALSE))</f>
        <v>0.12764772932279556</v>
      </c>
      <c r="AV262" s="82">
        <f>IF(VLOOKUP($A262,raw_lb[],COLUMN(AV$1),FALSE)=0, VLOOKUP($D262, regions_lb[], COLUMN(AV$1), FALSE), VLOOKUP($A262,raw_lb[],COLUMN(AV$1),FALSE))</f>
        <v>0.15569502839453303</v>
      </c>
      <c r="AW262" s="82">
        <f>IF(VLOOKUP($A262,raw_lb[],COLUMN(AW$1),FALSE)=0, VLOOKUP($D262, regions_lb[], COLUMN(AW$1), FALSE), VLOOKUP($A262,raw_lb[],COLUMN(AW$1),FALSE))</f>
        <v>0.17289009455463905</v>
      </c>
      <c r="AX262" s="82">
        <f>IF(VLOOKUP($A262,raw_lb[],COLUMN(AX$1),FALSE)=0, VLOOKUP($D262, regions_lb[], COLUMN(AX$1), FALSE), VLOOKUP($A262,raw_lb[],COLUMN(AX$1),FALSE))</f>
        <v>67.203949999999992</v>
      </c>
      <c r="AY262" t="str">
        <f t="shared" si="8"/>
        <v>No</v>
      </c>
    </row>
    <row r="263" spans="1:51" x14ac:dyDescent="0.25">
      <c r="A263" s="55" t="s">
        <v>470</v>
      </c>
      <c r="B263" s="56" t="s">
        <v>471</v>
      </c>
      <c r="C263" s="56">
        <v>788</v>
      </c>
      <c r="D263" s="56" t="s">
        <v>196</v>
      </c>
      <c r="E263" s="56" t="s">
        <v>197</v>
      </c>
      <c r="F263" s="56" t="s">
        <v>197</v>
      </c>
      <c r="G263" s="56" t="s">
        <v>212</v>
      </c>
      <c r="H263" s="74"/>
      <c r="I263" s="74"/>
      <c r="J263" s="67">
        <f>IF(VLOOKUP($A263,raw_lb[],COLUMN(J$1),FALSE)=0, VLOOKUP($D263, regions_lb[], COLUMN(J$1), FALSE), VLOOKUP($A263,raw_lb[],COLUMN(J$1),FALSE))</f>
        <v>0.94714999999999994</v>
      </c>
      <c r="K263" s="77">
        <f>VLOOKUP($A263, raw_lb[], 11, FALSE)</f>
        <v>0.70299999999999996</v>
      </c>
      <c r="L263" s="77">
        <f>VLOOKUP($A263, raw_lb[], 12, FALSE)</f>
        <v>0.874</v>
      </c>
      <c r="M263" s="77">
        <f>IF(VLOOKUP($A263,raw_lb[],COLUMN(M$1),FALSE)=0, VLOOKUP($D263, regions_lb[], COLUMN(M$1), FALSE), VLOOKUP($A263,raw_lb[],COLUMN(M$1),FALSE))</f>
        <v>2.4900000000000002E-2</v>
      </c>
      <c r="N263" s="68">
        <f>IF(VLOOKUP($A263,raw_lb[],COLUMN(N$1),FALSE)=0, VLOOKUP($D263, regions_lb[], COLUMN(N$1), FALSE), VLOOKUP($A263,raw_lb[],COLUMN(N$1),FALSE))</f>
        <v>0.14980000000000002</v>
      </c>
      <c r="O263" s="67">
        <f>IF(VLOOKUP($A263,raw_lb[],COLUMN(O$1),FALSE)=0, VLOOKUP($D263, regions_lb[], COLUMN(O$1), FALSE), VLOOKUP($A263,raw_lb[],COLUMN(O$1),FALSE))</f>
        <v>0.7</v>
      </c>
      <c r="P263" s="68">
        <f>IF(VLOOKUP($A263,raw_lb[],COLUMN(P$1),FALSE)=0, VLOOKUP($D263, regions_lb[], COLUMN(P$1), FALSE), VLOOKUP($A263,raw_lb[],COLUMN(P$1),FALSE))</f>
        <v>0.05</v>
      </c>
      <c r="Q263" s="70">
        <f>IF(VLOOKUP($A263,raw_lb[],COLUMN(Q$1),FALSE)=0, VLOOKUP($D263, regions_lb[], COLUMN(Q$1), FALSE), VLOOKUP($A263,raw_lb[],COLUMN(Q$1),FALSE))</f>
        <v>1.66251655716163</v>
      </c>
      <c r="R263" s="70">
        <f>IF(VLOOKUP($A263,raw_lb[],COLUMN(R$1),FALSE)=0, VLOOKUP($D263, regions_lb[], COLUMN(R$1), FALSE), VLOOKUP($A263,raw_lb[],COLUMN(R$1),FALSE))</f>
        <v>8.7234165571616309</v>
      </c>
      <c r="S263" s="70">
        <f>IF(VLOOKUP($A263,raw_lb[],COLUMN(S$1),FALSE)=0, VLOOKUP($D263, regions_lb[], COLUMN(S$1), FALSE), VLOOKUP($A263,raw_lb[],COLUMN(S$1),FALSE))</f>
        <v>45.904980187689063</v>
      </c>
      <c r="T263" s="70">
        <f>IF(VLOOKUP($A263,raw_lb[],COLUMN(U$1)-COLUMN($A$1),FALSE)=0, VLOOKUP($D263, regions_lb[], COLUMN(U$1)-COLUMN($A$1), FALSE), VLOOKUP($A263,raw_lb[],COLUMN(U$1)-COLUMN($A$1),FALSE))</f>
        <v>50.048695791594056</v>
      </c>
      <c r="U263" s="70">
        <f>IF(VLOOKUP($A263,raw_lb[],COLUMN(V$1)-COLUMN($A$1),FALSE)=0, VLOOKUP($D263, regions_lb[], COLUMN(V$1)-COLUMN($A$1), FALSE), VLOOKUP($A263,raw_lb[],COLUMN(V$1)-COLUMN($A$1),FALSE))</f>
        <v>48.145989173270578</v>
      </c>
      <c r="V263" s="70">
        <f>IF(VLOOKUP($A263,raw_lb[],COLUMN(W$1)-COLUMN($A$1),FALSE)=0, VLOOKUP($D263, regions_lb[], COLUMN(W$1)-COLUMN($A$1), FALSE), VLOOKUP($A263,raw_lb[],COLUMN(W$1)-COLUMN($A$1),FALSE))</f>
        <v>2.2407850209382336</v>
      </c>
      <c r="W263" s="70">
        <f>IF(VLOOKUP($A263,raw_lb[],COLUMN(X$1)-COLUMN($A$1),FALSE)=0, VLOOKUP($D263, regions_lb[], COLUMN(X$1)-COLUMN($A$1), FALSE), VLOOKUP($A263,raw_lb[],COLUMN(X$1)-COLUMN($A$1),FALSE))</f>
        <v>2.6967850209382336</v>
      </c>
      <c r="X263" s="70">
        <f>IF(VLOOKUP($A263,raw_lb[],COLUMN(Y$1)-COLUMN($A$1),FALSE)=0, VLOOKUP($D263, regions_lb[], COLUMN(Y$1)-COLUMN($A$1), FALSE), VLOOKUP($A263,raw_lb[],COLUMN(Y$1)-COLUMN($A$1),FALSE))</f>
        <v>1.764267397937523</v>
      </c>
      <c r="Y263" s="70">
        <f>IF(VLOOKUP($A263,raw_lb[],COLUMN(Z$1)-COLUMN($A$1),FALSE)=0, VLOOKUP($D263, regions_lb[], COLUMN(Z$1)-COLUMN($A$1), FALSE), VLOOKUP($A263,raw_lb[],COLUMN(Z$1)-COLUMN($A$1),FALSE))</f>
        <v>2.2202673979375227</v>
      </c>
      <c r="Z263" s="70">
        <f>IF(VLOOKUP($A263,raw_lb[],COLUMN(AA$1)-COLUMN($A$1),FALSE)=0, VLOOKUP($D263, regions_lb[], COLUMN(AA$1)-COLUMN($A$1), FALSE), VLOOKUP($A263,raw_lb[],COLUMN(AA$1)-COLUMN($A$1),FALSE))</f>
        <v>2.2145414665705303</v>
      </c>
      <c r="AA263" s="70">
        <f>IF(VLOOKUP($A263,raw_lb[],COLUMN(AB$1)-COLUMN($A$1),FALSE)=0, VLOOKUP($D263, regions_lb[], COLUMN(AB$1)-COLUMN($A$1), FALSE), VLOOKUP($A263,raw_lb[],COLUMN(AB$1)-COLUMN($A$1),FALSE))</f>
        <v>2.4020032893721721</v>
      </c>
      <c r="AB263" s="70">
        <f>IF(VLOOKUP($A263,raw_lb[],COLUMN(AC$1)-COLUMN($A$1),FALSE)=0, VLOOKUP($D263, regions_lb[], COLUMN(AC$1)-COLUMN($A$1), FALSE), VLOOKUP($A263,raw_lb[],COLUMN(AC$1)-COLUMN($A$1),FALSE))</f>
        <v>2.8580032893721721</v>
      </c>
      <c r="AC263" s="72">
        <f>IF(VLOOKUP($A263,raw_lb[],COLUMN(AD$1)-COLUMN($A$1),FALSE)=0, VLOOKUP($D263, regions_lb[], COLUMN(AD$1)-COLUMN($A$1), FALSE), VLOOKUP($A263,raw_lb[],COLUMN(AD$1)-COLUMN($A$1),FALSE))</f>
        <v>1.2043777000000032E-2</v>
      </c>
      <c r="AD263" s="72">
        <f>IF(VLOOKUP($A263,raw_lb[],COLUMN(AE$1)-COLUMN($A$1),FALSE)=0, VLOOKUP($D263, regions_lb[], COLUMN(AE$1)-COLUMN($A$1), FALSE), VLOOKUP($A263,raw_lb[],COLUMN(AE$1)-COLUMN($A$1),FALSE))</f>
        <v>1.8646202718354231E-4</v>
      </c>
      <c r="AE263" s="72">
        <f>IF(VLOOKUP($A263,raw_lb[],COLUMN(AF$1)-COLUMN($A$1),FALSE)=0, VLOOKUP($D263, regions_lb[], COLUMN(AF$1)-COLUMN($A$1), FALSE), VLOOKUP($A263,raw_lb[],COLUMN(AF$1)-COLUMN($A$1),FALSE))</f>
        <v>1.3802218624736555E-4</v>
      </c>
      <c r="AF263" s="72">
        <f>IF(VLOOKUP($A263,raw_lb[],COLUMN(AG$1)-COLUMN($A$1),FALSE)=0, VLOOKUP($D263, regions_lb[], COLUMN(AG$1)-COLUMN($A$1), FALSE), VLOOKUP($A263,raw_lb[],COLUMN(AG$1)-COLUMN($A$1),FALSE))</f>
        <v>2.3339325877846009E-4</v>
      </c>
      <c r="AG263" s="72">
        <f>IF(VLOOKUP($A263,raw_lb[],COLUMN(AH$1)-COLUMN($A$1),FALSE)=0, VLOOKUP($D263, regions_lb[], COLUMN(AH$1)-COLUMN($A$1), FALSE), VLOOKUP($A263,raw_lb[],COLUMN(AH$1)-COLUMN($A$1),FALSE))</f>
        <v>3.509874448460744E-4</v>
      </c>
      <c r="AH263" s="72">
        <f>IF(VLOOKUP($A263,raw_lb[],COLUMN(AI$1)-COLUMN($A$1),FALSE)=0, VLOOKUP($D263, regions_lb[], COLUMN(AI$1)-COLUMN($A$1), FALSE), VLOOKUP($A263,raw_lb[],COLUMN(AI$1)-COLUMN($A$1),FALSE))</f>
        <v>4.7707405894497669E-4</v>
      </c>
      <c r="AI263" s="72">
        <f>IF(VLOOKUP($A263,raw_lb[],COLUMN(AJ$1)-COLUMN($A$1),FALSE)=0, VLOOKUP($D263, regions_lb[], COLUMN(AJ$1)-COLUMN($A$1), FALSE), VLOOKUP($A263,raw_lb[],COLUMN(AJ$1)-COLUMN($A$1),FALSE))</f>
        <v>5.4175605424169871E-4</v>
      </c>
      <c r="AJ263" s="72">
        <f>IF(VLOOKUP($A263,raw_lb[],COLUMN(AK$1)-COLUMN($A$1),FALSE)=0, VLOOKUP($D263, regions_lb[], COLUMN(AK$1)-COLUMN($A$1), FALSE), VLOOKUP($A263,raw_lb[],COLUMN(AK$1)-COLUMN($A$1),FALSE))</f>
        <v>6.3528887470176644E-4</v>
      </c>
      <c r="AK263" s="72">
        <f>IF(VLOOKUP($A263,raw_lb[],COLUMN(AL$1)-COLUMN($A$1),FALSE)=0, VLOOKUP($D263, regions_lb[], COLUMN(AL$1)-COLUMN($A$1), FALSE), VLOOKUP($A263,raw_lb[],COLUMN(AL$1)-COLUMN($A$1),FALSE))</f>
        <v>8.9214680452671924E-4</v>
      </c>
      <c r="AL263" s="72">
        <f>IF(VLOOKUP($A263,raw_lb[],COLUMN(AM$1)-COLUMN($A$1),FALSE)=0, VLOOKUP($D263, regions_lb[], COLUMN(AM$1)-COLUMN($A$1), FALSE), VLOOKUP($A263,raw_lb[],COLUMN(AM$1)-COLUMN($A$1),FALSE))</f>
        <v>1.4209208890491481E-3</v>
      </c>
      <c r="AM263" s="72">
        <f>IF(VLOOKUP($A263,raw_lb[],COLUMN(AN$1)-COLUMN($A$1),FALSE)=0, VLOOKUP($D263, regions_lb[], COLUMN(AN$1)-COLUMN($A$1), FALSE), VLOOKUP($A263,raw_lb[],COLUMN(AN$1)-COLUMN($A$1),FALSE))</f>
        <v>2.3351041333832898E-3</v>
      </c>
      <c r="AN263" s="72">
        <f>IF(VLOOKUP($A263,raw_lb[],COLUMN(AO$1)-COLUMN($A$1),FALSE)=0, VLOOKUP($D263, regions_lb[], COLUMN(AO$1)-COLUMN($A$1), FALSE), VLOOKUP($A263,raw_lb[],COLUMN(AO$1)-COLUMN($A$1),FALSE))</f>
        <v>4.0036358811922418E-3</v>
      </c>
      <c r="AO263" s="72">
        <f>IF(VLOOKUP($A263,raw_lb[],COLUMN(AP$1)-COLUMN($A$1),FALSE)=0, VLOOKUP($D263, regions_lb[], COLUMN(AP$1)-COLUMN($A$1), FALSE), VLOOKUP($A263,raw_lb[],COLUMN(AP$1)-COLUMN($A$1),FALSE))</f>
        <v>6.7034351583899537E-3</v>
      </c>
      <c r="AP263" s="72">
        <f>IF(VLOOKUP($A263,raw_lb[],COLUMN(AQ$1)-COLUMN($A$1),FALSE)=0, VLOOKUP($D263, regions_lb[], COLUMN(AQ$1)-COLUMN($A$1), FALSE), VLOOKUP($A263,raw_lb[],COLUMN(AQ$1)-COLUMN($A$1),FALSE))</f>
        <v>1.0826943884477181E-2</v>
      </c>
      <c r="AQ263" s="72">
        <f>IF(VLOOKUP($A263,raw_lb[],COLUMN(AR$1)-COLUMN($A$1),FALSE)=0, VLOOKUP($D263, regions_lb[], COLUMN(AR$1)-COLUMN($A$1), FALSE), VLOOKUP($A263,raw_lb[],COLUMN(AR$1)-COLUMN($A$1),FALSE))</f>
        <v>1.7133976999965696E-2</v>
      </c>
      <c r="AR263" s="72">
        <f>IF(VLOOKUP($A263,raw_lb[],COLUMN(AS$1)-COLUMN($A$1),FALSE)=0, VLOOKUP($D263, regions_lb[], COLUMN(AS$1)-COLUMN($A$1), FALSE), VLOOKUP($A263,raw_lb[],COLUMN(AS$1)-COLUMN($A$1),FALSE))</f>
        <v>2.9380928920997477E-2</v>
      </c>
      <c r="AS263" s="82">
        <f>IF(VLOOKUP($A263,raw_lb[],COLUMN(AS$1),FALSE)=0, VLOOKUP($D263, regions_lb[], COLUMN(AS$1), FALSE), VLOOKUP($A263,raw_lb[],COLUMN(AS$1),FALSE))</f>
        <v>4.9030699027522745E-2</v>
      </c>
      <c r="AT263" s="82">
        <f>IF(VLOOKUP($A263,raw_lb[],COLUMN(AT$1),FALSE)=0, VLOOKUP($D263, regions_lb[], COLUMN(AT$1), FALSE), VLOOKUP($A263,raw_lb[],COLUMN(AT$1),FALSE))</f>
        <v>7.6322755424268973E-2</v>
      </c>
      <c r="AU263" s="82">
        <f>IF(VLOOKUP($A263,raw_lb[],COLUMN(AU$1),FALSE)=0, VLOOKUP($D263, regions_lb[], COLUMN(AU$1), FALSE), VLOOKUP($A263,raw_lb[],COLUMN(AU$1),FALSE))</f>
        <v>0.10814500264214966</v>
      </c>
      <c r="AV263" s="82">
        <f>IF(VLOOKUP($A263,raw_lb[],COLUMN(AV$1),FALSE)=0, VLOOKUP($D263, regions_lb[], COLUMN(AV$1), FALSE), VLOOKUP($A263,raw_lb[],COLUMN(AV$1),FALSE))</f>
        <v>0.13732782429761964</v>
      </c>
      <c r="AW263" s="82">
        <f>IF(VLOOKUP($A263,raw_lb[],COLUMN(AW$1),FALSE)=0, VLOOKUP($D263, regions_lb[], COLUMN(AW$1), FALSE), VLOOKUP($A263,raw_lb[],COLUMN(AW$1),FALSE))</f>
        <v>0.15926850294457592</v>
      </c>
      <c r="AX263" s="82">
        <f>IF(VLOOKUP($A263,raw_lb[],COLUMN(AX$1),FALSE)=0, VLOOKUP($D263, regions_lb[], COLUMN(AX$1), FALSE), VLOOKUP($A263,raw_lb[],COLUMN(AX$1),FALSE))</f>
        <v>72.591400000000007</v>
      </c>
      <c r="AY263" t="str">
        <f t="shared" si="8"/>
        <v>No</v>
      </c>
    </row>
    <row r="264" spans="1:51" x14ac:dyDescent="0.25">
      <c r="A264" s="53" t="s">
        <v>472</v>
      </c>
      <c r="B264" s="54" t="s">
        <v>473</v>
      </c>
      <c r="C264" s="54">
        <v>792</v>
      </c>
      <c r="D264" s="54" t="s">
        <v>201</v>
      </c>
      <c r="E264" s="54" t="s">
        <v>197</v>
      </c>
      <c r="F264" s="54" t="s">
        <v>197</v>
      </c>
      <c r="G264" s="54" t="s">
        <v>204</v>
      </c>
      <c r="H264" s="73"/>
      <c r="I264" s="73"/>
      <c r="J264" s="67">
        <f>IF(VLOOKUP($A264,raw_lb[],COLUMN(J$1),FALSE)=0, VLOOKUP($D264, regions_lb[], COLUMN(J$1), FALSE), VLOOKUP($A264,raw_lb[],COLUMN(J$1),FALSE))</f>
        <v>0.92339999999999989</v>
      </c>
      <c r="K264" s="77">
        <f>VLOOKUP($A264, raw_lb[], 11, FALSE)</f>
        <v>0.9405</v>
      </c>
      <c r="L264" s="77">
        <f>VLOOKUP($A264, raw_lb[], 12, FALSE)</f>
        <v>0.93099999999999994</v>
      </c>
      <c r="M264" s="77">
        <f>IF(VLOOKUP($A264,raw_lb[],COLUMN(M$1),FALSE)=0, VLOOKUP($D264, regions_lb[], COLUMN(M$1), FALSE), VLOOKUP($A264,raw_lb[],COLUMN(M$1),FALSE))</f>
        <v>3.0299999999999997E-2</v>
      </c>
      <c r="N264" s="68">
        <f>IF(VLOOKUP($A264,raw_lb[],COLUMN(N$1),FALSE)=0, VLOOKUP($D264, regions_lb[], COLUMN(N$1), FALSE), VLOOKUP($A264,raw_lb[],COLUMN(N$1),FALSE))</f>
        <v>0.14980000000000002</v>
      </c>
      <c r="O264" s="67">
        <f>IF(VLOOKUP($A264,raw_lb[],COLUMN(O$1),FALSE)=0, VLOOKUP($D264, regions_lb[], COLUMN(O$1), FALSE), VLOOKUP($A264,raw_lb[],COLUMN(O$1),FALSE))</f>
        <v>0.7</v>
      </c>
      <c r="P264" s="68">
        <f>IF(VLOOKUP($A264,raw_lb[],COLUMN(P$1),FALSE)=0, VLOOKUP($D264, regions_lb[], COLUMN(P$1), FALSE), VLOOKUP($A264,raw_lb[],COLUMN(P$1),FALSE))</f>
        <v>0.05</v>
      </c>
      <c r="Q264" s="70">
        <f>IF(VLOOKUP($A264,raw_lb[],COLUMN(Q$1),FALSE)=0, VLOOKUP($D264, regions_lb[], COLUMN(Q$1), FALSE), VLOOKUP($A264,raw_lb[],COLUMN(Q$1),FALSE))</f>
        <v>3.1322574109173602</v>
      </c>
      <c r="R264" s="70">
        <f>IF(VLOOKUP($A264,raw_lb[],COLUMN(R$1),FALSE)=0, VLOOKUP($D264, regions_lb[], COLUMN(R$1), FALSE), VLOOKUP($A264,raw_lb[],COLUMN(R$1),FALSE))</f>
        <v>10.193157410917362</v>
      </c>
      <c r="S264" s="70">
        <f>IF(VLOOKUP($A264,raw_lb[],COLUMN(S$1),FALSE)=0, VLOOKUP($D264, regions_lb[], COLUMN(S$1), FALSE), VLOOKUP($A264,raw_lb[],COLUMN(S$1),FALSE))</f>
        <v>61.343107453441633</v>
      </c>
      <c r="T264" s="70">
        <f>IF(VLOOKUP($A264,raw_lb[],COLUMN(U$1)-COLUMN($A$1),FALSE)=0, VLOOKUP($D264, regions_lb[], COLUMN(U$1)-COLUMN($A$1), FALSE), VLOOKUP($A264,raw_lb[],COLUMN(U$1)-COLUMN($A$1),FALSE))</f>
        <v>72.756879973657576</v>
      </c>
      <c r="U264" s="70">
        <f>IF(VLOOKUP($A264,raw_lb[],COLUMN(V$1)-COLUMN($A$1),FALSE)=0, VLOOKUP($D264, regions_lb[], COLUMN(V$1)-COLUMN($A$1), FALSE), VLOOKUP($A264,raw_lb[],COLUMN(V$1)-COLUMN($A$1),FALSE))</f>
        <v>67.515916888790571</v>
      </c>
      <c r="V264" s="70">
        <f>IF(VLOOKUP($A264,raw_lb[],COLUMN(W$1)-COLUMN($A$1),FALSE)=0, VLOOKUP($D264, regions_lb[], COLUMN(W$1)-COLUMN($A$1), FALSE), VLOOKUP($A264,raw_lb[],COLUMN(W$1)-COLUMN($A$1),FALSE))</f>
        <v>1.5357550960432662</v>
      </c>
      <c r="W264" s="70">
        <f>IF(VLOOKUP($A264,raw_lb[],COLUMN(X$1)-COLUMN($A$1),FALSE)=0, VLOOKUP($D264, regions_lb[], COLUMN(X$1)-COLUMN($A$1), FALSE), VLOOKUP($A264,raw_lb[],COLUMN(X$1)-COLUMN($A$1),FALSE))</f>
        <v>1.9917550960432662</v>
      </c>
      <c r="X264" s="70">
        <f>IF(VLOOKUP($A264,raw_lb[],COLUMN(Y$1)-COLUMN($A$1),FALSE)=0, VLOOKUP($D264, regions_lb[], COLUMN(Y$1)-COLUMN($A$1), FALSE), VLOOKUP($A264,raw_lb[],COLUMN(Y$1)-COLUMN($A$1),FALSE))</f>
        <v>1.0567322656463656</v>
      </c>
      <c r="Y264" s="70">
        <f>IF(VLOOKUP($A264,raw_lb[],COLUMN(Z$1)-COLUMN($A$1),FALSE)=0, VLOOKUP($D264, regions_lb[], COLUMN(Z$1)-COLUMN($A$1), FALSE), VLOOKUP($A264,raw_lb[],COLUMN(Z$1)-COLUMN($A$1),FALSE))</f>
        <v>1.5127322656463655</v>
      </c>
      <c r="Z264" s="70">
        <f>IF(VLOOKUP($A264,raw_lb[],COLUMN(AA$1)-COLUMN($A$1),FALSE)=0, VLOOKUP($D264, regions_lb[], COLUMN(AA$1)-COLUMN($A$1), FALSE), VLOOKUP($A264,raw_lb[],COLUMN(AA$1)-COLUMN($A$1),FALSE))</f>
        <v>1.5054687803360247</v>
      </c>
      <c r="AA264" s="70">
        <f>IF(VLOOKUP($A264,raw_lb[],COLUMN(AB$1)-COLUMN($A$1),FALSE)=0, VLOOKUP($D264, regions_lb[], COLUMN(AB$1)-COLUMN($A$1), FALSE), VLOOKUP($A264,raw_lb[],COLUMN(AB$1)-COLUMN($A$1),FALSE))</f>
        <v>1.7047037187283052</v>
      </c>
      <c r="AB264" s="70">
        <f>IF(VLOOKUP($A264,raw_lb[],COLUMN(AC$1)-COLUMN($A$1),FALSE)=0, VLOOKUP($D264, regions_lb[], COLUMN(AC$1)-COLUMN($A$1), FALSE), VLOOKUP($A264,raw_lb[],COLUMN(AC$1)-COLUMN($A$1),FALSE))</f>
        <v>2.1607037187283051</v>
      </c>
      <c r="AC264" s="72">
        <f>IF(VLOOKUP($A264,raw_lb[],COLUMN(AD$1)-COLUMN($A$1),FALSE)=0, VLOOKUP($D264, regions_lb[], COLUMN(AD$1)-COLUMN($A$1), FALSE), VLOOKUP($A264,raw_lb[],COLUMN(AD$1)-COLUMN($A$1),FALSE))</f>
        <v>8.4564249999999445E-3</v>
      </c>
      <c r="AD264" s="72">
        <f>IF(VLOOKUP($A264,raw_lb[],COLUMN(AE$1)-COLUMN($A$1),FALSE)=0, VLOOKUP($D264, regions_lb[], COLUMN(AE$1)-COLUMN($A$1), FALSE), VLOOKUP($A264,raw_lb[],COLUMN(AE$1)-COLUMN($A$1),FALSE))</f>
        <v>1.0421691184075087E-3</v>
      </c>
      <c r="AE264" s="72">
        <f>IF(VLOOKUP($A264,raw_lb[],COLUMN(AF$1)-COLUMN($A$1),FALSE)=0, VLOOKUP($D264, regions_lb[], COLUMN(AF$1)-COLUMN($A$1), FALSE), VLOOKUP($A264,raw_lb[],COLUMN(AF$1)-COLUMN($A$1),FALSE))</f>
        <v>6.4822045814506228E-4</v>
      </c>
      <c r="AF264" s="72">
        <f>IF(VLOOKUP($A264,raw_lb[],COLUMN(AG$1)-COLUMN($A$1),FALSE)=0, VLOOKUP($D264, regions_lb[], COLUMN(AG$1)-COLUMN($A$1), FALSE), VLOOKUP($A264,raw_lb[],COLUMN(AG$1)-COLUMN($A$1),FALSE))</f>
        <v>5.5379175763665565E-4</v>
      </c>
      <c r="AG264" s="72">
        <f>IF(VLOOKUP($A264,raw_lb[],COLUMN(AH$1)-COLUMN($A$1),FALSE)=0, VLOOKUP($D264, regions_lb[], COLUMN(AH$1)-COLUMN($A$1), FALSE), VLOOKUP($A264,raw_lb[],COLUMN(AH$1)-COLUMN($A$1),FALSE))</f>
        <v>6.5703029200704784E-4</v>
      </c>
      <c r="AH264" s="72">
        <f>IF(VLOOKUP($A264,raw_lb[],COLUMN(AI$1)-COLUMN($A$1),FALSE)=0, VLOOKUP($D264, regions_lb[], COLUMN(AI$1)-COLUMN($A$1), FALSE), VLOOKUP($A264,raw_lb[],COLUMN(AI$1)-COLUMN($A$1),FALSE))</f>
        <v>9.1296930510685625E-4</v>
      </c>
      <c r="AI264" s="72">
        <f>IF(VLOOKUP($A264,raw_lb[],COLUMN(AJ$1)-COLUMN($A$1),FALSE)=0, VLOOKUP($D264, regions_lb[], COLUMN(AJ$1)-COLUMN($A$1), FALSE), VLOOKUP($A264,raw_lb[],COLUMN(AJ$1)-COLUMN($A$1),FALSE))</f>
        <v>1.1156362199813777E-3</v>
      </c>
      <c r="AJ264" s="72">
        <f>IF(VLOOKUP($A264,raw_lb[],COLUMN(AK$1)-COLUMN($A$1),FALSE)=0, VLOOKUP($D264, regions_lb[], COLUMN(AK$1)-COLUMN($A$1), FALSE), VLOOKUP($A264,raw_lb[],COLUMN(AK$1)-COLUMN($A$1),FALSE))</f>
        <v>1.3084990666076151E-3</v>
      </c>
      <c r="AK264" s="72">
        <f>IF(VLOOKUP($A264,raw_lb[],COLUMN(AL$1)-COLUMN($A$1),FALSE)=0, VLOOKUP($D264, regions_lb[], COLUMN(AL$1)-COLUMN($A$1), FALSE), VLOOKUP($A264,raw_lb[],COLUMN(AL$1)-COLUMN($A$1),FALSE))</f>
        <v>1.5507449909580358E-3</v>
      </c>
      <c r="AL264" s="72">
        <f>IF(VLOOKUP($A264,raw_lb[],COLUMN(AM$1)-COLUMN($A$1),FALSE)=0, VLOOKUP($D264, regions_lb[], COLUMN(AM$1)-COLUMN($A$1), FALSE), VLOOKUP($A264,raw_lb[],COLUMN(AM$1)-COLUMN($A$1),FALSE))</f>
        <v>1.9034709217116033E-3</v>
      </c>
      <c r="AM264" s="72">
        <f>IF(VLOOKUP($A264,raw_lb[],COLUMN(AN$1)-COLUMN($A$1),FALSE)=0, VLOOKUP($D264, regions_lb[], COLUMN(AN$1)-COLUMN($A$1), FALSE), VLOOKUP($A264,raw_lb[],COLUMN(AN$1)-COLUMN($A$1),FALSE))</f>
        <v>2.4609762638277332E-3</v>
      </c>
      <c r="AN264" s="72">
        <f>IF(VLOOKUP($A264,raw_lb[],COLUMN(AO$1)-COLUMN($A$1),FALSE)=0, VLOOKUP($D264, regions_lb[], COLUMN(AO$1)-COLUMN($A$1), FALSE), VLOOKUP($A264,raw_lb[],COLUMN(AO$1)-COLUMN($A$1),FALSE))</f>
        <v>3.3569917204780315E-3</v>
      </c>
      <c r="AO264" s="72">
        <f>IF(VLOOKUP($A264,raw_lb[],COLUMN(AP$1)-COLUMN($A$1),FALSE)=0, VLOOKUP($D264, regions_lb[], COLUMN(AP$1)-COLUMN($A$1), FALSE), VLOOKUP($A264,raw_lb[],COLUMN(AP$1)-COLUMN($A$1),FALSE))</f>
        <v>4.9724966456522008E-3</v>
      </c>
      <c r="AP264" s="72">
        <f>IF(VLOOKUP($A264,raw_lb[],COLUMN(AQ$1)-COLUMN($A$1),FALSE)=0, VLOOKUP($D264, regions_lb[], COLUMN(AQ$1)-COLUMN($A$1), FALSE), VLOOKUP($A264,raw_lb[],COLUMN(AQ$1)-COLUMN($A$1),FALSE))</f>
        <v>7.7341605555831259E-3</v>
      </c>
      <c r="AQ264" s="72">
        <f>IF(VLOOKUP($A264,raw_lb[],COLUMN(AR$1)-COLUMN($A$1),FALSE)=0, VLOOKUP($D264, regions_lb[], COLUMN(AR$1)-COLUMN($A$1), FALSE), VLOOKUP($A264,raw_lb[],COLUMN(AR$1)-COLUMN($A$1),FALSE))</f>
        <v>1.2591020888198383E-2</v>
      </c>
      <c r="AR264" s="72">
        <f>IF(VLOOKUP($A264,raw_lb[],COLUMN(AS$1)-COLUMN($A$1),FALSE)=0, VLOOKUP($D264, regions_lb[], COLUMN(AS$1)-COLUMN($A$1), FALSE), VLOOKUP($A264,raw_lb[],COLUMN(AS$1)-COLUMN($A$1),FALSE))</f>
        <v>2.2501919797720666E-2</v>
      </c>
      <c r="AS264" s="82">
        <f>IF(VLOOKUP($A264,raw_lb[],COLUMN(AS$1),FALSE)=0, VLOOKUP($D264, regions_lb[], COLUMN(AS$1), FALSE), VLOOKUP($A264,raw_lb[],COLUMN(AS$1),FALSE))</f>
        <v>3.9819690670288843E-2</v>
      </c>
      <c r="AT264" s="82">
        <f>IF(VLOOKUP($A264,raw_lb[],COLUMN(AT$1),FALSE)=0, VLOOKUP($D264, regions_lb[], COLUMN(AT$1), FALSE), VLOOKUP($A264,raw_lb[],COLUMN(AT$1),FALSE))</f>
        <v>6.5836572399523716E-2</v>
      </c>
      <c r="AU264" s="82">
        <f>IF(VLOOKUP($A264,raw_lb[],COLUMN(AU$1),FALSE)=0, VLOOKUP($D264, regions_lb[], COLUMN(AU$1), FALSE), VLOOKUP($A264,raw_lb[],COLUMN(AU$1),FALSE))</f>
        <v>9.8746977446668258E-2</v>
      </c>
      <c r="AV264" s="82">
        <f>IF(VLOOKUP($A264,raw_lb[],COLUMN(AV$1),FALSE)=0, VLOOKUP($D264, regions_lb[], COLUMN(AV$1), FALSE), VLOOKUP($A264,raw_lb[],COLUMN(AV$1),FALSE))</f>
        <v>0.13286585200449091</v>
      </c>
      <c r="AW264" s="82">
        <f>IF(VLOOKUP($A264,raw_lb[],COLUMN(AW$1),FALSE)=0, VLOOKUP($D264, regions_lb[], COLUMN(AW$1), FALSE), VLOOKUP($A264,raw_lb[],COLUMN(AW$1),FALSE))</f>
        <v>0.15986247594708572</v>
      </c>
      <c r="AX264" s="82">
        <f>IF(VLOOKUP($A264,raw_lb[],COLUMN(AX$1),FALSE)=0, VLOOKUP($D264, regions_lb[], COLUMN(AX$1), FALSE), VLOOKUP($A264,raw_lb[],COLUMN(AX$1),FALSE))</f>
        <v>73.441649999999996</v>
      </c>
      <c r="AY264" t="str">
        <f t="shared" si="8"/>
        <v>No</v>
      </c>
    </row>
    <row r="265" spans="1:51" x14ac:dyDescent="0.25">
      <c r="A265" s="55" t="s">
        <v>474</v>
      </c>
      <c r="B265" s="56" t="s">
        <v>475</v>
      </c>
      <c r="C265" s="56">
        <v>795</v>
      </c>
      <c r="D265" s="56" t="s">
        <v>201</v>
      </c>
      <c r="E265" s="56" t="s">
        <v>220</v>
      </c>
      <c r="F265" s="56" t="s">
        <v>203</v>
      </c>
      <c r="G265" s="56" t="s">
        <v>204</v>
      </c>
      <c r="H265" s="74"/>
      <c r="I265" s="74"/>
      <c r="J265" s="67">
        <f>IF(VLOOKUP($A265,raw_lb[],COLUMN(J$1),FALSE)=0, VLOOKUP($D265, regions_lb[], COLUMN(J$1), FALSE), VLOOKUP($A265,raw_lb[],COLUMN(J$1),FALSE))</f>
        <v>0.94904999999999995</v>
      </c>
      <c r="K265" s="77">
        <f>VLOOKUP($A265, raw_lb[], 11, FALSE)</f>
        <v>0.9405</v>
      </c>
      <c r="L265" s="77">
        <f>VLOOKUP($A265, raw_lb[], 12, FALSE)</f>
        <v>0.9405</v>
      </c>
      <c r="M265" s="77">
        <f>IF(VLOOKUP($A265,raw_lb[],COLUMN(M$1),FALSE)=0, VLOOKUP($D265, regions_lb[], COLUMN(M$1), FALSE), VLOOKUP($A265,raw_lb[],COLUMN(M$1),FALSE))</f>
        <v>3.7000000000000002E-3</v>
      </c>
      <c r="N265" s="68">
        <f>IF(VLOOKUP($A265,raw_lb[],COLUMN(N$1),FALSE)=0, VLOOKUP($D265, regions_lb[], COLUMN(N$1), FALSE), VLOOKUP($A265,raw_lb[],COLUMN(N$1),FALSE))</f>
        <v>0.16309999999999999</v>
      </c>
      <c r="O265" s="67">
        <f>IF(VLOOKUP($A265,raw_lb[],COLUMN(O$1),FALSE)=0, VLOOKUP($D265, regions_lb[], COLUMN(O$1), FALSE), VLOOKUP($A265,raw_lb[],COLUMN(O$1),FALSE))</f>
        <v>0.7</v>
      </c>
      <c r="P265" s="68">
        <f>IF(VLOOKUP($A265,raw_lb[],COLUMN(P$1),FALSE)=0, VLOOKUP($D265, regions_lb[], COLUMN(P$1), FALSE), VLOOKUP($A265,raw_lb[],COLUMN(P$1),FALSE))</f>
        <v>0.05</v>
      </c>
      <c r="Q265" s="70">
        <f>IF(VLOOKUP($A265,raw_lb[],COLUMN(Q$1),FALSE)=0, VLOOKUP($D265, regions_lb[], COLUMN(Q$1), FALSE), VLOOKUP($A265,raw_lb[],COLUMN(Q$1),FALSE))</f>
        <v>1.51644948096886</v>
      </c>
      <c r="R265" s="70">
        <f>IF(VLOOKUP($A265,raw_lb[],COLUMN(R$1),FALSE)=0, VLOOKUP($D265, regions_lb[], COLUMN(R$1), FALSE), VLOOKUP($A265,raw_lb[],COLUMN(R$1),FALSE))</f>
        <v>8.5773494809688611</v>
      </c>
      <c r="S265" s="70">
        <f>IF(VLOOKUP($A265,raw_lb[],COLUMN(S$1),FALSE)=0, VLOOKUP($D265, regions_lb[], COLUMN(S$1), FALSE), VLOOKUP($A265,raw_lb[],COLUMN(S$1),FALSE))</f>
        <v>44.992970807513473</v>
      </c>
      <c r="T265" s="70">
        <f>IF(VLOOKUP($A265,raw_lb[],COLUMN(U$1)-COLUMN($A$1),FALSE)=0, VLOOKUP($D265, regions_lb[], COLUMN(U$1)-COLUMN($A$1), FALSE), VLOOKUP($A265,raw_lb[],COLUMN(U$1)-COLUMN($A$1),FALSE))</f>
        <v>48.738040212757831</v>
      </c>
      <c r="U265" s="70">
        <f>IF(VLOOKUP($A265,raw_lb[],COLUMN(V$1)-COLUMN($A$1),FALSE)=0, VLOOKUP($D265, regions_lb[], COLUMN(V$1)-COLUMN($A$1), FALSE), VLOOKUP($A265,raw_lb[],COLUMN(V$1)-COLUMN($A$1),FALSE))</f>
        <v>47.018383502552155</v>
      </c>
      <c r="V265" s="70">
        <f>IF(VLOOKUP($A265,raw_lb[],COLUMN(W$1)-COLUMN($A$1),FALSE)=0, VLOOKUP($D265, regions_lb[], COLUMN(W$1)-COLUMN($A$1), FALSE), VLOOKUP($A265,raw_lb[],COLUMN(W$1)-COLUMN($A$1),FALSE))</f>
        <v>3.0062451821332892</v>
      </c>
      <c r="W265" s="70">
        <f>IF(VLOOKUP($A265,raw_lb[],COLUMN(X$1)-COLUMN($A$1),FALSE)=0, VLOOKUP($D265, regions_lb[], COLUMN(X$1)-COLUMN($A$1), FALSE), VLOOKUP($A265,raw_lb[],COLUMN(X$1)-COLUMN($A$1),FALSE))</f>
        <v>6.8727451821332899</v>
      </c>
      <c r="X265" s="70">
        <f>IF(VLOOKUP($A265,raw_lb[],COLUMN(Y$1)-COLUMN($A$1),FALSE)=0, VLOOKUP($D265, regions_lb[], COLUMN(Y$1)-COLUMN($A$1), FALSE), VLOOKUP($A265,raw_lb[],COLUMN(Y$1)-COLUMN($A$1),FALSE))</f>
        <v>2.5285679633463793</v>
      </c>
      <c r="Y265" s="70">
        <f>IF(VLOOKUP($A265,raw_lb[],COLUMN(Z$1)-COLUMN($A$1),FALSE)=0, VLOOKUP($D265, regions_lb[], COLUMN(Z$1)-COLUMN($A$1), FALSE), VLOOKUP($A265,raw_lb[],COLUMN(Z$1)-COLUMN($A$1),FALSE))</f>
        <v>6.3950679633463796</v>
      </c>
      <c r="Z265" s="70">
        <f>IF(VLOOKUP($A265,raw_lb[],COLUMN(AA$1)-COLUMN($A$1),FALSE)=0, VLOOKUP($D265, regions_lb[], COLUMN(AA$1)-COLUMN($A$1), FALSE), VLOOKUP($A265,raw_lb[],COLUMN(AA$1)-COLUMN($A$1),FALSE))</f>
        <v>6.3887995291158362</v>
      </c>
      <c r="AA265" s="70">
        <f>IF(VLOOKUP($A265,raw_lb[],COLUMN(AB$1)-COLUMN($A$1),FALSE)=0, VLOOKUP($D265, regions_lb[], COLUMN(AB$1)-COLUMN($A$1), FALSE), VLOOKUP($A265,raw_lb[],COLUMN(AB$1)-COLUMN($A$1),FALSE))</f>
        <v>3.1710416318503576</v>
      </c>
      <c r="AB265" s="70">
        <f>IF(VLOOKUP($A265,raw_lb[],COLUMN(AC$1)-COLUMN($A$1),FALSE)=0, VLOOKUP($D265, regions_lb[], COLUMN(AC$1)-COLUMN($A$1), FALSE), VLOOKUP($A265,raw_lb[],COLUMN(AC$1)-COLUMN($A$1),FALSE))</f>
        <v>7.0375416318503579</v>
      </c>
      <c r="AC265" s="72">
        <f>IF(VLOOKUP($A265,raw_lb[],COLUMN(AD$1)-COLUMN($A$1),FALSE)=0, VLOOKUP($D265, regions_lb[], COLUMN(AD$1)-COLUMN($A$1), FALSE), VLOOKUP($A265,raw_lb[],COLUMN(AD$1)-COLUMN($A$1),FALSE))</f>
        <v>4.1146637500000055E-2</v>
      </c>
      <c r="AD265" s="72">
        <f>IF(VLOOKUP($A265,raw_lb[],COLUMN(AE$1)-COLUMN($A$1),FALSE)=0, VLOOKUP($D265, regions_lb[], COLUMN(AE$1)-COLUMN($A$1), FALSE), VLOOKUP($A265,raw_lb[],COLUMN(AE$1)-COLUMN($A$1),FALSE))</f>
        <v>2.0232443919136513E-3</v>
      </c>
      <c r="AE265" s="72">
        <f>IF(VLOOKUP($A265,raw_lb[],COLUMN(AF$1)-COLUMN($A$1),FALSE)=0, VLOOKUP($D265, regions_lb[], COLUMN(AF$1)-COLUMN($A$1), FALSE), VLOOKUP($A265,raw_lb[],COLUMN(AF$1)-COLUMN($A$1),FALSE))</f>
        <v>3.6683862256201558E-4</v>
      </c>
      <c r="AF265" s="72">
        <f>IF(VLOOKUP($A265,raw_lb[],COLUMN(AG$1)-COLUMN($A$1),FALSE)=0, VLOOKUP($D265, regions_lb[], COLUMN(AG$1)-COLUMN($A$1), FALSE), VLOOKUP($A265,raw_lb[],COLUMN(AG$1)-COLUMN($A$1),FALSE))</f>
        <v>3.5962278190081567E-4</v>
      </c>
      <c r="AG265" s="72">
        <f>IF(VLOOKUP($A265,raw_lb[],COLUMN(AH$1)-COLUMN($A$1),FALSE)=0, VLOOKUP($D265, regions_lb[], COLUMN(AH$1)-COLUMN($A$1), FALSE), VLOOKUP($A265,raw_lb[],COLUMN(AH$1)-COLUMN($A$1),FALSE))</f>
        <v>8.2895749673871566E-4</v>
      </c>
      <c r="AH265" s="72">
        <f>IF(VLOOKUP($A265,raw_lb[],COLUMN(AI$1)-COLUMN($A$1),FALSE)=0, VLOOKUP($D265, regions_lb[], COLUMN(AI$1)-COLUMN($A$1), FALSE), VLOOKUP($A265,raw_lb[],COLUMN(AI$1)-COLUMN($A$1),FALSE))</f>
        <v>1.1107501504450845E-3</v>
      </c>
      <c r="AI265" s="72">
        <f>IF(VLOOKUP($A265,raw_lb[],COLUMN(AJ$1)-COLUMN($A$1),FALSE)=0, VLOOKUP($D265, regions_lb[], COLUMN(AJ$1)-COLUMN($A$1), FALSE), VLOOKUP($A265,raw_lb[],COLUMN(AJ$1)-COLUMN($A$1),FALSE))</f>
        <v>1.4327499401443626E-3</v>
      </c>
      <c r="AJ265" s="72">
        <f>IF(VLOOKUP($A265,raw_lb[],COLUMN(AK$1)-COLUMN($A$1),FALSE)=0, VLOOKUP($D265, regions_lb[], COLUMN(AK$1)-COLUMN($A$1), FALSE), VLOOKUP($A265,raw_lb[],COLUMN(AK$1)-COLUMN($A$1),FALSE))</f>
        <v>1.9559287299645146E-3</v>
      </c>
      <c r="AK265" s="72">
        <f>IF(VLOOKUP($A265,raw_lb[],COLUMN(AL$1)-COLUMN($A$1),FALSE)=0, VLOOKUP($D265, regions_lb[], COLUMN(AL$1)-COLUMN($A$1), FALSE), VLOOKUP($A265,raw_lb[],COLUMN(AL$1)-COLUMN($A$1),FALSE))</f>
        <v>2.7638307797736229E-3</v>
      </c>
      <c r="AL265" s="72">
        <f>IF(VLOOKUP($A265,raw_lb[],COLUMN(AM$1)-COLUMN($A$1),FALSE)=0, VLOOKUP($D265, regions_lb[], COLUMN(AM$1)-COLUMN($A$1), FALSE), VLOOKUP($A265,raw_lb[],COLUMN(AM$1)-COLUMN($A$1),FALSE))</f>
        <v>3.8999405679726704E-3</v>
      </c>
      <c r="AM265" s="72">
        <f>IF(VLOOKUP($A265,raw_lb[],COLUMN(AN$1)-COLUMN($A$1),FALSE)=0, VLOOKUP($D265, regions_lb[], COLUMN(AN$1)-COLUMN($A$1), FALSE), VLOOKUP($A265,raw_lb[],COLUMN(AN$1)-COLUMN($A$1),FALSE))</f>
        <v>5.4123785357637249E-3</v>
      </c>
      <c r="AN265" s="72">
        <f>IF(VLOOKUP($A265,raw_lb[],COLUMN(AO$1)-COLUMN($A$1),FALSE)=0, VLOOKUP($D265, regions_lb[], COLUMN(AO$1)-COLUMN($A$1), FALSE), VLOOKUP($A265,raw_lb[],COLUMN(AO$1)-COLUMN($A$1),FALSE))</f>
        <v>8.4984812779280924E-3</v>
      </c>
      <c r="AO265" s="72">
        <f>IF(VLOOKUP($A265,raw_lb[],COLUMN(AP$1)-COLUMN($A$1),FALSE)=0, VLOOKUP($D265, regions_lb[], COLUMN(AP$1)-COLUMN($A$1), FALSE), VLOOKUP($A265,raw_lb[],COLUMN(AP$1)-COLUMN($A$1),FALSE))</f>
        <v>1.2486325842538124E-2</v>
      </c>
      <c r="AP265" s="72">
        <f>IF(VLOOKUP($A265,raw_lb[],COLUMN(AQ$1)-COLUMN($A$1),FALSE)=0, VLOOKUP($D265, regions_lb[], COLUMN(AQ$1)-COLUMN($A$1), FALSE), VLOOKUP($A265,raw_lb[],COLUMN(AQ$1)-COLUMN($A$1),FALSE))</f>
        <v>2.0551613239709342E-2</v>
      </c>
      <c r="AQ265" s="72">
        <f>IF(VLOOKUP($A265,raw_lb[],COLUMN(AR$1)-COLUMN($A$1),FALSE)=0, VLOOKUP($D265, regions_lb[], COLUMN(AR$1)-COLUMN($A$1), FALSE), VLOOKUP($A265,raw_lb[],COLUMN(AR$1)-COLUMN($A$1),FALSE))</f>
        <v>2.648432416332043E-2</v>
      </c>
      <c r="AR265" s="72">
        <f>IF(VLOOKUP($A265,raw_lb[],COLUMN(AS$1)-COLUMN($A$1),FALSE)=0, VLOOKUP($D265, regions_lb[], COLUMN(AS$1)-COLUMN($A$1), FALSE), VLOOKUP($A265,raw_lb[],COLUMN(AS$1)-COLUMN($A$1),FALSE))</f>
        <v>4.7713939265110396E-2</v>
      </c>
      <c r="AS265" s="82">
        <f>IF(VLOOKUP($A265,raw_lb[],COLUMN(AS$1),FALSE)=0, VLOOKUP($D265, regions_lb[], COLUMN(AS$1), FALSE), VLOOKUP($A265,raw_lb[],COLUMN(AS$1),FALSE))</f>
        <v>5.2015902340051323E-2</v>
      </c>
      <c r="AT265" s="82">
        <f>IF(VLOOKUP($A265,raw_lb[],COLUMN(AT$1),FALSE)=0, VLOOKUP($D265, regions_lb[], COLUMN(AT$1), FALSE), VLOOKUP($A265,raw_lb[],COLUMN(AT$1),FALSE))</f>
        <v>8.5331656192873709E-2</v>
      </c>
      <c r="AU265" s="82">
        <f>IF(VLOOKUP($A265,raw_lb[],COLUMN(AU$1),FALSE)=0, VLOOKUP($D265, regions_lb[], COLUMN(AU$1), FALSE), VLOOKUP($A265,raw_lb[],COLUMN(AU$1),FALSE))</f>
        <v>0.11309996437800535</v>
      </c>
      <c r="AV265" s="82">
        <f>IF(VLOOKUP($A265,raw_lb[],COLUMN(AV$1),FALSE)=0, VLOOKUP($D265, regions_lb[], COLUMN(AV$1), FALSE), VLOOKUP($A265,raw_lb[],COLUMN(AV$1),FALSE))</f>
        <v>0.13985670337863501</v>
      </c>
      <c r="AW265" s="82">
        <f>IF(VLOOKUP($A265,raw_lb[],COLUMN(AW$1),FALSE)=0, VLOOKUP($D265, regions_lb[], COLUMN(AW$1), FALSE), VLOOKUP($A265,raw_lb[],COLUMN(AW$1),FALSE))</f>
        <v>0.16040722950004987</v>
      </c>
      <c r="AX265" s="82">
        <f>IF(VLOOKUP($A265,raw_lb[],COLUMN(AX$1),FALSE)=0, VLOOKUP($D265, regions_lb[], COLUMN(AX$1), FALSE), VLOOKUP($A265,raw_lb[],COLUMN(AX$1),FALSE))</f>
        <v>64.583849999999998</v>
      </c>
      <c r="AY265" t="str">
        <f t="shared" si="8"/>
        <v>No</v>
      </c>
    </row>
    <row r="266" spans="1:51" x14ac:dyDescent="0.25">
      <c r="A266" s="53" t="s">
        <v>476</v>
      </c>
      <c r="B266" s="54" t="s">
        <v>477</v>
      </c>
      <c r="C266" s="54">
        <v>798</v>
      </c>
      <c r="D266" s="54" t="s">
        <v>260</v>
      </c>
      <c r="E266" s="54" t="s">
        <v>309</v>
      </c>
      <c r="F266" s="54" t="s">
        <v>262</v>
      </c>
      <c r="G266" s="54" t="s">
        <v>204</v>
      </c>
      <c r="H266" s="73"/>
      <c r="I266" s="73"/>
      <c r="J266" s="67">
        <f>IF(VLOOKUP($A266,raw_lb[],COLUMN(J$1),FALSE)=0, VLOOKUP($D266, regions_lb[], COLUMN(J$1), FALSE), VLOOKUP($A266,raw_lb[],COLUMN(J$1),FALSE))</f>
        <v>0.88349999999999995</v>
      </c>
      <c r="K266" s="77">
        <f>VLOOKUP($A266, raw_lb[], 11, FALSE)</f>
        <v>0.9405</v>
      </c>
      <c r="L266" s="77">
        <f>VLOOKUP($A266, raw_lb[], 12, FALSE)</f>
        <v>0.88349999999999995</v>
      </c>
      <c r="M266" s="77">
        <f>IF(VLOOKUP($A266,raw_lb[],COLUMN(M$1),FALSE)=0, VLOOKUP($D266, regions_lb[], COLUMN(M$1), FALSE), VLOOKUP($A266,raw_lb[],COLUMN(M$1),FALSE))</f>
        <v>4.0599999999999997E-2</v>
      </c>
      <c r="N266" s="68">
        <f>IF(VLOOKUP($A266,raw_lb[],COLUMN(N$1),FALSE)=0, VLOOKUP($D266, regions_lb[], COLUMN(N$1), FALSE), VLOOKUP($A266,raw_lb[],COLUMN(N$1),FALSE))</f>
        <v>0.18286915583064589</v>
      </c>
      <c r="O266" s="67">
        <f>IF(VLOOKUP($A266,raw_lb[],COLUMN(O$1),FALSE)=0, VLOOKUP($D266, regions_lb[], COLUMN(O$1), FALSE), VLOOKUP($A266,raw_lb[],COLUMN(O$1),FALSE))</f>
        <v>0.7</v>
      </c>
      <c r="P266" s="68">
        <f>IF(VLOOKUP($A266,raw_lb[],COLUMN(P$1),FALSE)=0, VLOOKUP($D266, regions_lb[], COLUMN(P$1), FALSE), VLOOKUP($A266,raw_lb[],COLUMN(P$1),FALSE))</f>
        <v>0.05</v>
      </c>
      <c r="Q266" s="70">
        <f>IF(VLOOKUP($A266,raw_lb[],COLUMN(Q$1),FALSE)=0, VLOOKUP($D266, regions_lb[], COLUMN(Q$1), FALSE), VLOOKUP($A266,raw_lb[],COLUMN(Q$1),FALSE))</f>
        <v>1.4073440172616711</v>
      </c>
      <c r="R266" s="70">
        <f>IF(VLOOKUP($A266,raw_lb[],COLUMN(R$1),FALSE)=0, VLOOKUP($D266, regions_lb[], COLUMN(R$1), FALSE), VLOOKUP($A266,raw_lb[],COLUMN(R$1),FALSE))</f>
        <v>8.4682440172616715</v>
      </c>
      <c r="S266" s="70">
        <f>IF(VLOOKUP($A266,raw_lb[],COLUMN(S$1),FALSE)=0, VLOOKUP($D266, regions_lb[], COLUMN(S$1), FALSE), VLOOKUP($A266,raw_lb[],COLUMN(S$1),FALSE))</f>
        <v>42.079815146787112</v>
      </c>
      <c r="T266" s="70">
        <f>IF(VLOOKUP($A266,raw_lb[],COLUMN(U$1)-COLUMN($A$1),FALSE)=0, VLOOKUP($D266, regions_lb[], COLUMN(U$1)-COLUMN($A$1), FALSE), VLOOKUP($A266,raw_lb[],COLUMN(U$1)-COLUMN($A$1),FALSE))</f>
        <v>44.365474429254938</v>
      </c>
      <c r="U266" s="70">
        <f>IF(VLOOKUP($A266,raw_lb[],COLUMN(V$1)-COLUMN($A$1),FALSE)=0, VLOOKUP($D266, regions_lb[], COLUMN(V$1)-COLUMN($A$1), FALSE), VLOOKUP($A266,raw_lb[],COLUMN(V$1)-COLUMN($A$1),FALSE))</f>
        <v>43.31594799942814</v>
      </c>
      <c r="V266" s="70">
        <f>IF(VLOOKUP($A266,raw_lb[],COLUMN(W$1)-COLUMN($A$1),FALSE)=0, VLOOKUP($D266, regions_lb[], COLUMN(W$1)-COLUMN($A$1), FALSE), VLOOKUP($A266,raw_lb[],COLUMN(W$1)-COLUMN($A$1),FALSE))</f>
        <v>5.0356314562934079</v>
      </c>
      <c r="W266" s="70">
        <f>IF(VLOOKUP($A266,raw_lb[],COLUMN(X$1)-COLUMN($A$1),FALSE)=0, VLOOKUP($D266, regions_lb[], COLUMN(X$1)-COLUMN($A$1), FALSE), VLOOKUP($A266,raw_lb[],COLUMN(X$1)-COLUMN($A$1),FALSE))</f>
        <v>5.6341314562934075</v>
      </c>
      <c r="X266" s="70">
        <f>IF(VLOOKUP($A266,raw_lb[],COLUMN(Y$1)-COLUMN($A$1),FALSE)=0, VLOOKUP($D266, regions_lb[], COLUMN(Y$1)-COLUMN($A$1), FALSE), VLOOKUP($A266,raw_lb[],COLUMN(Y$1)-COLUMN($A$1),FALSE))</f>
        <v>4.5625667128523313</v>
      </c>
      <c r="Y266" s="70">
        <f>IF(VLOOKUP($A266,raw_lb[],COLUMN(Z$1)-COLUMN($A$1),FALSE)=0, VLOOKUP($D266, regions_lb[], COLUMN(Z$1)-COLUMN($A$1), FALSE), VLOOKUP($A266,raw_lb[],COLUMN(Z$1)-COLUMN($A$1),FALSE))</f>
        <v>5.1610667128523309</v>
      </c>
      <c r="Z266" s="70">
        <f>IF(VLOOKUP($A266,raw_lb[],COLUMN(AA$1)-COLUMN($A$1),FALSE)=0, VLOOKUP($D266, regions_lb[], COLUMN(AA$1)-COLUMN($A$1), FALSE), VLOOKUP($A266,raw_lb[],COLUMN(AA$1)-COLUMN($A$1),FALSE))</f>
        <v>5.1579078971284087</v>
      </c>
      <c r="AA266" s="70">
        <f>IF(VLOOKUP($A266,raw_lb[],COLUMN(AB$1)-COLUMN($A$1),FALSE)=0, VLOOKUP($D266, regions_lb[], COLUMN(AB$1)-COLUMN($A$1), FALSE), VLOOKUP($A266,raw_lb[],COLUMN(AB$1)-COLUMN($A$1),FALSE))</f>
        <v>5.1861951249433345</v>
      </c>
      <c r="AB266" s="70">
        <f>IF(VLOOKUP($A266,raw_lb[],COLUMN(AC$1)-COLUMN($A$1),FALSE)=0, VLOOKUP($D266, regions_lb[], COLUMN(AC$1)-COLUMN($A$1), FALSE), VLOOKUP($A266,raw_lb[],COLUMN(AC$1)-COLUMN($A$1),FALSE))</f>
        <v>5.784695124943334</v>
      </c>
      <c r="AC266" s="72">
        <f>IF(VLOOKUP($A266,raw_lb[],COLUMN(AD$1)-COLUMN($A$1),FALSE)=0, VLOOKUP($D266, regions_lb[], COLUMN(AD$1)-COLUMN($A$1), FALSE), VLOOKUP($A266,raw_lb[],COLUMN(AD$1)-COLUMN($A$1),FALSE))</f>
        <v>1.1523742726354593E-2</v>
      </c>
      <c r="AD266" s="72">
        <f>IF(VLOOKUP($A266,raw_lb[],COLUMN(AE$1)-COLUMN($A$1),FALSE)=0, VLOOKUP($D266, regions_lb[], COLUMN(AE$1)-COLUMN($A$1), FALSE), VLOOKUP($A266,raw_lb[],COLUMN(AE$1)-COLUMN($A$1),FALSE))</f>
        <v>6.4416826181326646E-4</v>
      </c>
      <c r="AE266" s="72">
        <f>IF(VLOOKUP($A266,raw_lb[],COLUMN(AF$1)-COLUMN($A$1),FALSE)=0, VLOOKUP($D266, regions_lb[], COLUMN(AF$1)-COLUMN($A$1), FALSE), VLOOKUP($A266,raw_lb[],COLUMN(AF$1)-COLUMN($A$1),FALSE))</f>
        <v>3.7184834738016075E-4</v>
      </c>
      <c r="AF266" s="72">
        <f>IF(VLOOKUP($A266,raw_lb[],COLUMN(AG$1)-COLUMN($A$1),FALSE)=0, VLOOKUP($D266, regions_lb[], COLUMN(AG$1)-COLUMN($A$1), FALSE), VLOOKUP($A266,raw_lb[],COLUMN(AG$1)-COLUMN($A$1),FALSE))</f>
        <v>2.9295441530775515E-4</v>
      </c>
      <c r="AG266" s="72">
        <f>IF(VLOOKUP($A266,raw_lb[],COLUMN(AH$1)-COLUMN($A$1),FALSE)=0, VLOOKUP($D266, regions_lb[], COLUMN(AH$1)-COLUMN($A$1), FALSE), VLOOKUP($A266,raw_lb[],COLUMN(AH$1)-COLUMN($A$1),FALSE))</f>
        <v>4.6602766282551099E-4</v>
      </c>
      <c r="AH266" s="72">
        <f>IF(VLOOKUP($A266,raw_lb[],COLUMN(AI$1)-COLUMN($A$1),FALSE)=0, VLOOKUP($D266, regions_lb[], COLUMN(AI$1)-COLUMN($A$1), FALSE), VLOOKUP($A266,raw_lb[],COLUMN(AI$1)-COLUMN($A$1),FALSE))</f>
        <v>6.483356200326166E-4</v>
      </c>
      <c r="AI266" s="72">
        <f>IF(VLOOKUP($A266,raw_lb[],COLUMN(AJ$1)-COLUMN($A$1),FALSE)=0, VLOOKUP($D266, regions_lb[], COLUMN(AJ$1)-COLUMN($A$1), FALSE), VLOOKUP($A266,raw_lb[],COLUMN(AJ$1)-COLUMN($A$1),FALSE))</f>
        <v>8.0918790417641435E-4</v>
      </c>
      <c r="AJ266" s="72">
        <f>IF(VLOOKUP($A266,raw_lb[],COLUMN(AK$1)-COLUMN($A$1),FALSE)=0, VLOOKUP($D266, regions_lb[], COLUMN(AK$1)-COLUMN($A$1), FALSE), VLOOKUP($A266,raw_lb[],COLUMN(AK$1)-COLUMN($A$1),FALSE))</f>
        <v>1.0072409527763799E-3</v>
      </c>
      <c r="AK266" s="72">
        <f>IF(VLOOKUP($A266,raw_lb[],COLUMN(AL$1)-COLUMN($A$1),FALSE)=0, VLOOKUP($D266, regions_lb[], COLUMN(AL$1)-COLUMN($A$1), FALSE), VLOOKUP($A266,raw_lb[],COLUMN(AL$1)-COLUMN($A$1),FALSE))</f>
        <v>1.2939239518039061E-3</v>
      </c>
      <c r="AL266" s="72">
        <f>IF(VLOOKUP($A266,raw_lb[],COLUMN(AM$1)-COLUMN($A$1),FALSE)=0, VLOOKUP($D266, regions_lb[], COLUMN(AM$1)-COLUMN($A$1), FALSE), VLOOKUP($A266,raw_lb[],COLUMN(AM$1)-COLUMN($A$1),FALSE))</f>
        <v>1.8212620564475456E-3</v>
      </c>
      <c r="AM266" s="72">
        <f>IF(VLOOKUP($A266,raw_lb[],COLUMN(AN$1)-COLUMN($A$1),FALSE)=0, VLOOKUP($D266, regions_lb[], COLUMN(AN$1)-COLUMN($A$1), FALSE), VLOOKUP($A266,raw_lb[],COLUMN(AN$1)-COLUMN($A$1),FALSE))</f>
        <v>2.6694380894867909E-3</v>
      </c>
      <c r="AN266" s="72">
        <f>IF(VLOOKUP($A266,raw_lb[],COLUMN(AO$1)-COLUMN($A$1),FALSE)=0, VLOOKUP($D266, regions_lb[], COLUMN(AO$1)-COLUMN($A$1), FALSE), VLOOKUP($A266,raw_lb[],COLUMN(AO$1)-COLUMN($A$1),FALSE))</f>
        <v>4.250414821637633E-3</v>
      </c>
      <c r="AO266" s="72">
        <f>IF(VLOOKUP($A266,raw_lb[],COLUMN(AP$1)-COLUMN($A$1),FALSE)=0, VLOOKUP($D266, regions_lb[], COLUMN(AP$1)-COLUMN($A$1), FALSE), VLOOKUP($A266,raw_lb[],COLUMN(AP$1)-COLUMN($A$1),FALSE))</f>
        <v>6.8007185670634117E-3</v>
      </c>
      <c r="AP266" s="72">
        <f>IF(VLOOKUP($A266,raw_lb[],COLUMN(AQ$1)-COLUMN($A$1),FALSE)=0, VLOOKUP($D266, regions_lb[], COLUMN(AQ$1)-COLUMN($A$1), FALSE), VLOOKUP($A266,raw_lb[],COLUMN(AQ$1)-COLUMN($A$1),FALSE))</f>
        <v>1.152568966710163E-2</v>
      </c>
      <c r="AQ266" s="72">
        <f>IF(VLOOKUP($A266,raw_lb[],COLUMN(AR$1)-COLUMN($A$1),FALSE)=0, VLOOKUP($D266, regions_lb[], COLUMN(AR$1)-COLUMN($A$1), FALSE), VLOOKUP($A266,raw_lb[],COLUMN(AR$1)-COLUMN($A$1),FALSE))</f>
        <v>1.9372590142895035E-2</v>
      </c>
      <c r="AR266" s="72">
        <f>IF(VLOOKUP($A266,raw_lb[],COLUMN(AS$1)-COLUMN($A$1),FALSE)=0, VLOOKUP($D266, regions_lb[], COLUMN(AS$1)-COLUMN($A$1), FALSE), VLOOKUP($A266,raw_lb[],COLUMN(AS$1)-COLUMN($A$1),FALSE))</f>
        <v>3.2703199461531267E-2</v>
      </c>
      <c r="AS266" s="82">
        <f>IF(VLOOKUP($A266,raw_lb[],COLUMN(AS$1),FALSE)=0, VLOOKUP($D266, regions_lb[], COLUMN(AS$1), FALSE), VLOOKUP($A266,raw_lb[],COLUMN(AS$1),FALSE))</f>
        <v>5.1174212083972055E-2</v>
      </c>
      <c r="AT266" s="82">
        <f>IF(VLOOKUP($A266,raw_lb[],COLUMN(AT$1),FALSE)=0, VLOOKUP($D266, regions_lb[], COLUMN(AT$1), FALSE), VLOOKUP($A266,raw_lb[],COLUMN(AT$1),FALSE))</f>
        <v>7.2985218965190946E-2</v>
      </c>
      <c r="AU266" s="82">
        <f>IF(VLOOKUP($A266,raw_lb[],COLUMN(AU$1),FALSE)=0, VLOOKUP($D266, regions_lb[], COLUMN(AU$1), FALSE), VLOOKUP($A266,raw_lb[],COLUMN(AU$1),FALSE))</f>
        <v>0.10061158165397555</v>
      </c>
      <c r="AV266" s="82">
        <f>IF(VLOOKUP($A266,raw_lb[],COLUMN(AV$1),FALSE)=0, VLOOKUP($D266, regions_lb[], COLUMN(AV$1), FALSE), VLOOKUP($A266,raw_lb[],COLUMN(AV$1),FALSE))</f>
        <v>0.12550745881240277</v>
      </c>
      <c r="AW266" s="82">
        <f>IF(VLOOKUP($A266,raw_lb[],COLUMN(AW$1),FALSE)=0, VLOOKUP($D266, regions_lb[], COLUMN(AW$1), FALSE), VLOOKUP($A266,raw_lb[],COLUMN(AW$1),FALSE))</f>
        <v>0.14642775941331135</v>
      </c>
      <c r="AX266" s="82">
        <f>IF(VLOOKUP($A266,raw_lb[],COLUMN(AX$1),FALSE)=0, VLOOKUP($D266, regions_lb[], COLUMN(AX$1), FALSE), VLOOKUP($A266,raw_lb[],COLUMN(AX$1),FALSE))</f>
        <v>71.800592147312173</v>
      </c>
      <c r="AY266" t="str">
        <f t="shared" si="8"/>
        <v>No</v>
      </c>
    </row>
    <row r="267" spans="1:51" x14ac:dyDescent="0.25">
      <c r="A267" s="55" t="s">
        <v>478</v>
      </c>
      <c r="B267" s="56" t="s">
        <v>479</v>
      </c>
      <c r="C267" s="56">
        <v>800</v>
      </c>
      <c r="D267" s="56" t="s">
        <v>207</v>
      </c>
      <c r="E267" s="56" t="s">
        <v>255</v>
      </c>
      <c r="F267" s="56" t="s">
        <v>211</v>
      </c>
      <c r="G267" s="56" t="s">
        <v>198</v>
      </c>
      <c r="H267" s="74"/>
      <c r="I267" s="74"/>
      <c r="J267" s="67">
        <f>IF(VLOOKUP($A267,raw_lb[],COLUMN(J$1),FALSE)=0, VLOOKUP($D267, regions_lb[], COLUMN(J$1), FALSE), VLOOKUP($A267,raw_lb[],COLUMN(J$1),FALSE))</f>
        <v>0.69730000000000003</v>
      </c>
      <c r="K267" s="77">
        <f>VLOOKUP($A267, raw_lb[], 11, FALSE)</f>
        <v>0</v>
      </c>
      <c r="L267" s="77">
        <f>VLOOKUP($A267, raw_lb[], 12, FALSE)</f>
        <v>0.84549999999999992</v>
      </c>
      <c r="M267" s="77">
        <f>IF(VLOOKUP($A267,raw_lb[],COLUMN(M$1),FALSE)=0, VLOOKUP($D267, regions_lb[], COLUMN(M$1), FALSE), VLOOKUP($A267,raw_lb[],COLUMN(M$1),FALSE))</f>
        <v>3.1300000000000001E-2</v>
      </c>
      <c r="N267" s="68">
        <f>IF(VLOOKUP($A267,raw_lb[],COLUMN(N$1),FALSE)=0, VLOOKUP($D267, regions_lb[], COLUMN(N$1), FALSE), VLOOKUP($A267,raw_lb[],COLUMN(N$1),FALSE))</f>
        <v>0.15560000000000002</v>
      </c>
      <c r="O267" s="67">
        <f>IF(VLOOKUP($A267,raw_lb[],COLUMN(O$1),FALSE)=0, VLOOKUP($D267, regions_lb[], COLUMN(O$1), FALSE), VLOOKUP($A267,raw_lb[],COLUMN(O$1),FALSE))</f>
        <v>7.0000000000000007E-2</v>
      </c>
      <c r="P267" s="68">
        <f>IF(VLOOKUP($A267,raw_lb[],COLUMN(P$1),FALSE)=0, VLOOKUP($D267, regions_lb[], COLUMN(P$1), FALSE), VLOOKUP($A267,raw_lb[],COLUMN(P$1),FALSE))</f>
        <v>1E-3</v>
      </c>
      <c r="Q267" s="70">
        <f>IF(VLOOKUP($A267,raw_lb[],COLUMN(Q$1),FALSE)=0, VLOOKUP($D267, regions_lb[], COLUMN(Q$1), FALSE), VLOOKUP($A267,raw_lb[],COLUMN(Q$1),FALSE))</f>
        <v>0.65608536585365906</v>
      </c>
      <c r="R267" s="70">
        <f>IF(VLOOKUP($A267,raw_lb[],COLUMN(R$1),FALSE)=0, VLOOKUP($D267, regions_lb[], COLUMN(R$1), FALSE), VLOOKUP($A267,raw_lb[],COLUMN(R$1),FALSE))</f>
        <v>7.7169853658536596</v>
      </c>
      <c r="S267" s="70">
        <f>IF(VLOOKUP($A267,raw_lb[],COLUMN(S$1),FALSE)=0, VLOOKUP($D267, regions_lb[], COLUMN(S$1), FALSE), VLOOKUP($A267,raw_lb[],COLUMN(S$1),FALSE))</f>
        <v>37.519478848360727</v>
      </c>
      <c r="T267" s="70">
        <f>IF(VLOOKUP($A267,raw_lb[],COLUMN(U$1)-COLUMN($A$1),FALSE)=0, VLOOKUP($D267, regions_lb[], COLUMN(U$1)-COLUMN($A$1), FALSE), VLOOKUP($A267,raw_lb[],COLUMN(U$1)-COLUMN($A$1),FALSE))</f>
        <v>37.822646347190044</v>
      </c>
      <c r="U267" s="70">
        <f>IF(VLOOKUP($A267,raw_lb[],COLUMN(V$1)-COLUMN($A$1),FALSE)=0, VLOOKUP($D267, regions_lb[], COLUMN(V$1)-COLUMN($A$1), FALSE), VLOOKUP($A267,raw_lb[],COLUMN(V$1)-COLUMN($A$1),FALSE))</f>
        <v>37.683438239872181</v>
      </c>
      <c r="V267" s="70">
        <f>IF(VLOOKUP($A267,raw_lb[],COLUMN(W$1)-COLUMN($A$1),FALSE)=0, VLOOKUP($D267, regions_lb[], COLUMN(W$1)-COLUMN($A$1), FALSE), VLOOKUP($A267,raw_lb[],COLUMN(W$1)-COLUMN($A$1),FALSE))</f>
        <v>1.0933857950715651</v>
      </c>
      <c r="W267" s="70">
        <f>IF(VLOOKUP($A267,raw_lb[],COLUMN(X$1)-COLUMN($A$1),FALSE)=0, VLOOKUP($D267, regions_lb[], COLUMN(X$1)-COLUMN($A$1), FALSE), VLOOKUP($A267,raw_lb[],COLUMN(X$1)-COLUMN($A$1),FALSE))</f>
        <v>5.6818857950715653</v>
      </c>
      <c r="X267" s="70">
        <f>IF(VLOOKUP($A267,raw_lb[],COLUMN(Y$1)-COLUMN($A$1),FALSE)=0, VLOOKUP($D267, regions_lb[], COLUMN(Y$1)-COLUMN($A$1), FALSE), VLOOKUP($A267,raw_lb[],COLUMN(Y$1)-COLUMN($A$1),FALSE))</f>
        <v>0.62252550036889442</v>
      </c>
      <c r="Y267" s="70">
        <f>IF(VLOOKUP($A267,raw_lb[],COLUMN(Z$1)-COLUMN($A$1),FALSE)=0, VLOOKUP($D267, regions_lb[], COLUMN(Z$1)-COLUMN($A$1), FALSE), VLOOKUP($A267,raw_lb[],COLUMN(Z$1)-COLUMN($A$1),FALSE))</f>
        <v>5.2110255003688941</v>
      </c>
      <c r="Z267" s="70">
        <f>IF(VLOOKUP($A267,raw_lb[],COLUMN(AA$1)-COLUMN($A$1),FALSE)=0, VLOOKUP($D267, regions_lb[], COLUMN(AA$1)-COLUMN($A$1), FALSE), VLOOKUP($A267,raw_lb[],COLUMN(AA$1)-COLUMN($A$1),FALSE))</f>
        <v>5.2092068382883232</v>
      </c>
      <c r="AA267" s="70">
        <f>IF(VLOOKUP($A267,raw_lb[],COLUMN(AB$1)-COLUMN($A$1),FALSE)=0, VLOOKUP($D267, regions_lb[], COLUMN(AB$1)-COLUMN($A$1), FALSE), VLOOKUP($A267,raw_lb[],COLUMN(AB$1)-COLUMN($A$1),FALSE))</f>
        <v>1.237147164757266</v>
      </c>
      <c r="AB267" s="70">
        <f>IF(VLOOKUP($A267,raw_lb[],COLUMN(AC$1)-COLUMN($A$1),FALSE)=0, VLOOKUP($D267, regions_lb[], COLUMN(AC$1)-COLUMN($A$1), FALSE), VLOOKUP($A267,raw_lb[],COLUMN(AC$1)-COLUMN($A$1),FALSE))</f>
        <v>5.8256471647572656</v>
      </c>
      <c r="AC267" s="72">
        <f>IF(VLOOKUP($A267,raw_lb[],COLUMN(AD$1)-COLUMN($A$1),FALSE)=0, VLOOKUP($D267, regions_lb[], COLUMN(AD$1)-COLUMN($A$1), FALSE), VLOOKUP($A267,raw_lb[],COLUMN(AD$1)-COLUMN($A$1),FALSE))</f>
        <v>4.3842291000000026E-2</v>
      </c>
      <c r="AD267" s="72">
        <f>IF(VLOOKUP($A267,raw_lb[],COLUMN(AE$1)-COLUMN($A$1),FALSE)=0, VLOOKUP($D267, regions_lb[], COLUMN(AE$1)-COLUMN($A$1), FALSE), VLOOKUP($A267,raw_lb[],COLUMN(AE$1)-COLUMN($A$1),FALSE))</f>
        <v>4.1483348664531263E-3</v>
      </c>
      <c r="AE267" s="72">
        <f>IF(VLOOKUP($A267,raw_lb[],COLUMN(AF$1)-COLUMN($A$1),FALSE)=0, VLOOKUP($D267, regions_lb[], COLUMN(AF$1)-COLUMN($A$1), FALSE), VLOOKUP($A267,raw_lb[],COLUMN(AF$1)-COLUMN($A$1),FALSE))</f>
        <v>1.4087058346985977E-3</v>
      </c>
      <c r="AF267" s="72">
        <f>IF(VLOOKUP($A267,raw_lb[],COLUMN(AG$1)-COLUMN($A$1),FALSE)=0, VLOOKUP($D267, regions_lb[], COLUMN(AG$1)-COLUMN($A$1), FALSE), VLOOKUP($A267,raw_lb[],COLUMN(AG$1)-COLUMN($A$1),FALSE))</f>
        <v>1.0569370898993171E-3</v>
      </c>
      <c r="AG267" s="72">
        <f>IF(VLOOKUP($A267,raw_lb[],COLUMN(AH$1)-COLUMN($A$1),FALSE)=0, VLOOKUP($D267, regions_lb[], COLUMN(AH$1)-COLUMN($A$1), FALSE), VLOOKUP($A267,raw_lb[],COLUMN(AH$1)-COLUMN($A$1),FALSE))</f>
        <v>1.7306198298368213E-3</v>
      </c>
      <c r="AH267" s="72">
        <f>IF(VLOOKUP($A267,raw_lb[],COLUMN(AI$1)-COLUMN($A$1),FALSE)=0, VLOOKUP($D267, regions_lb[], COLUMN(AI$1)-COLUMN($A$1), FALSE), VLOOKUP($A267,raw_lb[],COLUMN(AI$1)-COLUMN($A$1),FALSE))</f>
        <v>2.6646276044239663E-3</v>
      </c>
      <c r="AI267" s="72">
        <f>IF(VLOOKUP($A267,raw_lb[],COLUMN(AJ$1)-COLUMN($A$1),FALSE)=0, VLOOKUP($D267, regions_lb[], COLUMN(AJ$1)-COLUMN($A$1), FALSE), VLOOKUP($A267,raw_lb[],COLUMN(AJ$1)-COLUMN($A$1),FALSE))</f>
        <v>3.4591000030173031E-3</v>
      </c>
      <c r="AJ267" s="72">
        <f>IF(VLOOKUP($A267,raw_lb[],COLUMN(AK$1)-COLUMN($A$1),FALSE)=0, VLOOKUP($D267, regions_lb[], COLUMN(AK$1)-COLUMN($A$1), FALSE), VLOOKUP($A267,raw_lb[],COLUMN(AK$1)-COLUMN($A$1),FALSE))</f>
        <v>4.3139011127201615E-3</v>
      </c>
      <c r="AK267" s="72">
        <f>IF(VLOOKUP($A267,raw_lb[],COLUMN(AL$1)-COLUMN($A$1),FALSE)=0, VLOOKUP($D267, regions_lb[], COLUMN(AL$1)-COLUMN($A$1), FALSE), VLOOKUP($A267,raw_lb[],COLUMN(AL$1)-COLUMN($A$1),FALSE))</f>
        <v>5.5143766499736952E-3</v>
      </c>
      <c r="AL267" s="72">
        <f>IF(VLOOKUP($A267,raw_lb[],COLUMN(AM$1)-COLUMN($A$1),FALSE)=0, VLOOKUP($D267, regions_lb[], COLUMN(AM$1)-COLUMN($A$1), FALSE), VLOOKUP($A267,raw_lb[],COLUMN(AM$1)-COLUMN($A$1),FALSE))</f>
        <v>6.8057453827152243E-3</v>
      </c>
      <c r="AM267" s="72">
        <f>IF(VLOOKUP($A267,raw_lb[],COLUMN(AN$1)-COLUMN($A$1),FALSE)=0, VLOOKUP($D267, regions_lb[], COLUMN(AN$1)-COLUMN($A$1), FALSE), VLOOKUP($A267,raw_lb[],COLUMN(AN$1)-COLUMN($A$1),FALSE))</f>
        <v>8.4053673610762335E-3</v>
      </c>
      <c r="AN267" s="72">
        <f>IF(VLOOKUP($A267,raw_lb[],COLUMN(AO$1)-COLUMN($A$1),FALSE)=0, VLOOKUP($D267, regions_lb[], COLUMN(AO$1)-COLUMN($A$1), FALSE), VLOOKUP($A267,raw_lb[],COLUMN(AO$1)-COLUMN($A$1),FALSE))</f>
        <v>1.1264111727648114E-2</v>
      </c>
      <c r="AO267" s="72">
        <f>IF(VLOOKUP($A267,raw_lb[],COLUMN(AP$1)-COLUMN($A$1),FALSE)=0, VLOOKUP($D267, regions_lb[], COLUMN(AP$1)-COLUMN($A$1), FALSE), VLOOKUP($A267,raw_lb[],COLUMN(AP$1)-COLUMN($A$1),FALSE))</f>
        <v>1.4520928611650177E-2</v>
      </c>
      <c r="AP267" s="72">
        <f>IF(VLOOKUP($A267,raw_lb[],COLUMN(AQ$1)-COLUMN($A$1),FALSE)=0, VLOOKUP($D267, regions_lb[], COLUMN(AQ$1)-COLUMN($A$1), FALSE), VLOOKUP($A267,raw_lb[],COLUMN(AQ$1)-COLUMN($A$1),FALSE))</f>
        <v>2.0725823477780011E-2</v>
      </c>
      <c r="AQ267" s="72">
        <f>IF(VLOOKUP($A267,raw_lb[],COLUMN(AR$1)-COLUMN($A$1),FALSE)=0, VLOOKUP($D267, regions_lb[], COLUMN(AR$1)-COLUMN($A$1), FALSE), VLOOKUP($A267,raw_lb[],COLUMN(AR$1)-COLUMN($A$1),FALSE))</f>
        <v>3.0745960608434694E-2</v>
      </c>
      <c r="AR267" s="72">
        <f>IF(VLOOKUP($A267,raw_lb[],COLUMN(AS$1)-COLUMN($A$1),FALSE)=0, VLOOKUP($D267, regions_lb[], COLUMN(AS$1)-COLUMN($A$1), FALSE), VLOOKUP($A267,raw_lb[],COLUMN(AS$1)-COLUMN($A$1),FALSE))</f>
        <v>4.6342711284988805E-2</v>
      </c>
      <c r="AS267" s="82">
        <f>IF(VLOOKUP($A267,raw_lb[],COLUMN(AS$1),FALSE)=0, VLOOKUP($D267, regions_lb[], COLUMN(AS$1), FALSE), VLOOKUP($A267,raw_lb[],COLUMN(AS$1),FALSE))</f>
        <v>6.922120765663406E-2</v>
      </c>
      <c r="AT267" s="82">
        <f>IF(VLOOKUP($A267,raw_lb[],COLUMN(AT$1),FALSE)=0, VLOOKUP($D267, regions_lb[], COLUMN(AT$1), FALSE), VLOOKUP($A267,raw_lb[],COLUMN(AT$1),FALSE))</f>
        <v>0.10195471542840176</v>
      </c>
      <c r="AU267" s="82">
        <f>IF(VLOOKUP($A267,raw_lb[],COLUMN(AU$1),FALSE)=0, VLOOKUP($D267, regions_lb[], COLUMN(AU$1), FALSE), VLOOKUP($A267,raw_lb[],COLUMN(AU$1),FALSE))</f>
        <v>0.13948640334917306</v>
      </c>
      <c r="AV267" s="82">
        <f>IF(VLOOKUP($A267,raw_lb[],COLUMN(AV$1),FALSE)=0, VLOOKUP($D267, regions_lb[], COLUMN(AV$1), FALSE), VLOOKUP($A267,raw_lb[],COLUMN(AV$1),FALSE))</f>
        <v>0.16968953165114517</v>
      </c>
      <c r="AW267" s="82">
        <f>IF(VLOOKUP($A267,raw_lb[],COLUMN(AW$1),FALSE)=0, VLOOKUP($D267, regions_lb[], COLUMN(AW$1), FALSE), VLOOKUP($A267,raw_lb[],COLUMN(AW$1),FALSE))</f>
        <v>0.17951145852260728</v>
      </c>
      <c r="AX267" s="82">
        <f>IF(VLOOKUP($A267,raw_lb[],COLUMN(AX$1),FALSE)=0, VLOOKUP($D267, regions_lb[], COLUMN(AX$1), FALSE), VLOOKUP($A267,raw_lb[],COLUMN(AX$1),FALSE))</f>
        <v>59.618199999999995</v>
      </c>
      <c r="AY267" t="str">
        <f t="shared" si="8"/>
        <v>Yes</v>
      </c>
    </row>
    <row r="268" spans="1:51" x14ac:dyDescent="0.25">
      <c r="A268" s="53" t="s">
        <v>480</v>
      </c>
      <c r="B268" s="54" t="s">
        <v>481</v>
      </c>
      <c r="C268" s="54">
        <v>804</v>
      </c>
      <c r="D268" s="54" t="s">
        <v>201</v>
      </c>
      <c r="E268" s="54" t="s">
        <v>229</v>
      </c>
      <c r="F268" s="54" t="s">
        <v>203</v>
      </c>
      <c r="G268" s="54" t="s">
        <v>212</v>
      </c>
      <c r="H268" s="73"/>
      <c r="I268" s="73"/>
      <c r="J268" s="67">
        <f>IF(VLOOKUP($A268,raw_lb[],COLUMN(J$1),FALSE)=0, VLOOKUP($D268, regions_lb[], COLUMN(J$1), FALSE), VLOOKUP($A268,raw_lb[],COLUMN(J$1),FALSE))</f>
        <v>0.93955000000000011</v>
      </c>
      <c r="K268" s="77">
        <f>VLOOKUP($A268, raw_lb[], 11, FALSE)</f>
        <v>0.65549999999999997</v>
      </c>
      <c r="L268" s="77">
        <f>VLOOKUP($A268, raw_lb[], 12, FALSE)</f>
        <v>0.76949999999999996</v>
      </c>
      <c r="M268" s="77">
        <f>IF(VLOOKUP($A268,raw_lb[],COLUMN(M$1),FALSE)=0, VLOOKUP($D268, regions_lb[], COLUMN(M$1), FALSE), VLOOKUP($A268,raw_lb[],COLUMN(M$1),FALSE))</f>
        <v>8.3000000000000001E-3</v>
      </c>
      <c r="N268" s="68">
        <f>IF(VLOOKUP($A268,raw_lb[],COLUMN(N$1),FALSE)=0, VLOOKUP($D268, regions_lb[], COLUMN(N$1), FALSE), VLOOKUP($A268,raw_lb[],COLUMN(N$1),FALSE))</f>
        <v>0.16339999999999999</v>
      </c>
      <c r="O268" s="67">
        <f>IF(VLOOKUP($A268,raw_lb[],COLUMN(O$1),FALSE)=0, VLOOKUP($D268, regions_lb[], COLUMN(O$1), FALSE), VLOOKUP($A268,raw_lb[],COLUMN(O$1),FALSE))</f>
        <v>0.7</v>
      </c>
      <c r="P268" s="68">
        <f>IF(VLOOKUP($A268,raw_lb[],COLUMN(P$1),FALSE)=0, VLOOKUP($D268, regions_lb[], COLUMN(P$1), FALSE), VLOOKUP($A268,raw_lb[],COLUMN(P$1),FALSE))</f>
        <v>0.05</v>
      </c>
      <c r="Q268" s="70">
        <f>IF(VLOOKUP($A268,raw_lb[],COLUMN(Q$1),FALSE)=0, VLOOKUP($D268, regions_lb[], COLUMN(Q$1), FALSE), VLOOKUP($A268,raw_lb[],COLUMN(Q$1),FALSE))</f>
        <v>1.2612465689540311</v>
      </c>
      <c r="R268" s="70">
        <f>IF(VLOOKUP($A268,raw_lb[],COLUMN(R$1),FALSE)=0, VLOOKUP($D268, regions_lb[], COLUMN(R$1), FALSE), VLOOKUP($A268,raw_lb[],COLUMN(R$1),FALSE))</f>
        <v>8.3221465689540324</v>
      </c>
      <c r="S268" s="70">
        <f>IF(VLOOKUP($A268,raw_lb[],COLUMN(S$1),FALSE)=0, VLOOKUP($D268, regions_lb[], COLUMN(S$1), FALSE), VLOOKUP($A268,raw_lb[],COLUMN(S$1),FALSE))</f>
        <v>42.35631811778498</v>
      </c>
      <c r="T268" s="70">
        <f>IF(VLOOKUP($A268,raw_lb[],COLUMN(U$1)-COLUMN($A$1),FALSE)=0, VLOOKUP($D268, regions_lb[], COLUMN(U$1)-COLUMN($A$1), FALSE), VLOOKUP($A268,raw_lb[],COLUMN(U$1)-COLUMN($A$1),FALSE))</f>
        <v>44.861926148131737</v>
      </c>
      <c r="U268" s="70">
        <f>IF(VLOOKUP($A268,raw_lb[],COLUMN(V$1)-COLUMN($A$1),FALSE)=0, VLOOKUP($D268, regions_lb[], COLUMN(V$1)-COLUMN($A$1), FALSE), VLOOKUP($A268,raw_lb[],COLUMN(V$1)-COLUMN($A$1),FALSE))</f>
        <v>43.711403902403184</v>
      </c>
      <c r="V268" s="70">
        <f>IF(VLOOKUP($A268,raw_lb[],COLUMN(W$1)-COLUMN($A$1),FALSE)=0, VLOOKUP($D268, regions_lb[], COLUMN(W$1)-COLUMN($A$1), FALSE), VLOOKUP($A268,raw_lb[],COLUMN(W$1)-COLUMN($A$1),FALSE))</f>
        <v>0.62381880816729574</v>
      </c>
      <c r="W268" s="70">
        <f>IF(VLOOKUP($A268,raw_lb[],COLUMN(X$1)-COLUMN($A$1),FALSE)=0, VLOOKUP($D268, regions_lb[], COLUMN(X$1)-COLUMN($A$1), FALSE), VLOOKUP($A268,raw_lb[],COLUMN(X$1)-COLUMN($A$1),FALSE))</f>
        <v>4.490318808167296</v>
      </c>
      <c r="X268" s="70">
        <f>IF(VLOOKUP($A268,raw_lb[],COLUMN(Y$1)-COLUMN($A$1),FALSE)=0, VLOOKUP($D268, regions_lb[], COLUMN(Y$1)-COLUMN($A$1), FALSE), VLOOKUP($A268,raw_lb[],COLUMN(Y$1)-COLUMN($A$1),FALSE))</f>
        <v>0.14685821395461843</v>
      </c>
      <c r="Y268" s="70">
        <f>IF(VLOOKUP($A268,raw_lb[],COLUMN(Z$1)-COLUMN($A$1),FALSE)=0, VLOOKUP($D268, regions_lb[], COLUMN(Z$1)-COLUMN($A$1), FALSE), VLOOKUP($A268,raw_lb[],COLUMN(Z$1)-COLUMN($A$1),FALSE))</f>
        <v>4.0133582139546187</v>
      </c>
      <c r="Z268" s="70">
        <f>IF(VLOOKUP($A268,raw_lb[],COLUMN(AA$1)-COLUMN($A$1),FALSE)=0, VLOOKUP($D268, regions_lb[], COLUMN(AA$1)-COLUMN($A$1), FALSE), VLOOKUP($A268,raw_lb[],COLUMN(AA$1)-COLUMN($A$1),FALSE))</f>
        <v>4.0073797169432792</v>
      </c>
      <c r="AA268" s="70">
        <f>IF(VLOOKUP($A268,raw_lb[],COLUMN(AB$1)-COLUMN($A$1),FALSE)=0, VLOOKUP($D268, regions_lb[], COLUMN(AB$1)-COLUMN($A$1), FALSE), VLOOKUP($A268,raw_lb[],COLUMN(AB$1)-COLUMN($A$1),FALSE))</f>
        <v>0.78640395919816042</v>
      </c>
      <c r="AB268" s="70">
        <f>IF(VLOOKUP($A268,raw_lb[],COLUMN(AC$1)-COLUMN($A$1),FALSE)=0, VLOOKUP($D268, regions_lb[], COLUMN(AC$1)-COLUMN($A$1), FALSE), VLOOKUP($A268,raw_lb[],COLUMN(AC$1)-COLUMN($A$1),FALSE))</f>
        <v>4.6529039591981611</v>
      </c>
      <c r="AC268" s="72">
        <f>IF(VLOOKUP($A268,raw_lb[],COLUMN(AD$1)-COLUMN($A$1),FALSE)=0, VLOOKUP($D268, regions_lb[], COLUMN(AD$1)-COLUMN($A$1), FALSE), VLOOKUP($A268,raw_lb[],COLUMN(AD$1)-COLUMN($A$1),FALSE))</f>
        <v>6.8388789999999791E-3</v>
      </c>
      <c r="AD268" s="72">
        <f>IF(VLOOKUP($A268,raw_lb[],COLUMN(AE$1)-COLUMN($A$1),FALSE)=0, VLOOKUP($D268, regions_lb[], COLUMN(AE$1)-COLUMN($A$1), FALSE), VLOOKUP($A268,raw_lb[],COLUMN(AE$1)-COLUMN($A$1),FALSE))</f>
        <v>3.2875338645348509E-4</v>
      </c>
      <c r="AE268" s="72">
        <f>IF(VLOOKUP($A268,raw_lb[],COLUMN(AF$1)-COLUMN($A$1),FALSE)=0, VLOOKUP($D268, regions_lb[], COLUMN(AF$1)-COLUMN($A$1), FALSE), VLOOKUP($A268,raw_lb[],COLUMN(AF$1)-COLUMN($A$1),FALSE))</f>
        <v>1.9368013529427852E-4</v>
      </c>
      <c r="AF268" s="72">
        <f>IF(VLOOKUP($A268,raw_lb[],COLUMN(AG$1)-COLUMN($A$1),FALSE)=0, VLOOKUP($D268, regions_lb[], COLUMN(AG$1)-COLUMN($A$1), FALSE), VLOOKUP($A268,raw_lb[],COLUMN(AG$1)-COLUMN($A$1),FALSE))</f>
        <v>2.3745197082734122E-4</v>
      </c>
      <c r="AG268" s="72">
        <f>IF(VLOOKUP($A268,raw_lb[],COLUMN(AH$1)-COLUMN($A$1),FALSE)=0, VLOOKUP($D268, regions_lb[], COLUMN(AH$1)-COLUMN($A$1), FALSE), VLOOKUP($A268,raw_lb[],COLUMN(AH$1)-COLUMN($A$1),FALSE))</f>
        <v>4.6952070896160521E-4</v>
      </c>
      <c r="AH268" s="72">
        <f>IF(VLOOKUP($A268,raw_lb[],COLUMN(AI$1)-COLUMN($A$1),FALSE)=0, VLOOKUP($D268, regions_lb[], COLUMN(AI$1)-COLUMN($A$1), FALSE), VLOOKUP($A268,raw_lb[],COLUMN(AI$1)-COLUMN($A$1),FALSE))</f>
        <v>8.6812191855941952E-4</v>
      </c>
      <c r="AI268" s="72">
        <f>IF(VLOOKUP($A268,raw_lb[],COLUMN(AJ$1)-COLUMN($A$1),FALSE)=0, VLOOKUP($D268, regions_lb[], COLUMN(AJ$1)-COLUMN($A$1), FALSE), VLOOKUP($A268,raw_lb[],COLUMN(AJ$1)-COLUMN($A$1),FALSE))</f>
        <v>1.4095051376432689E-3</v>
      </c>
      <c r="AJ268" s="72">
        <f>IF(VLOOKUP($A268,raw_lb[],COLUMN(AK$1)-COLUMN($A$1),FALSE)=0, VLOOKUP($D268, regions_lb[], COLUMN(AK$1)-COLUMN($A$1), FALSE), VLOOKUP($A268,raw_lb[],COLUMN(AK$1)-COLUMN($A$1),FALSE))</f>
        <v>2.4106719039444424E-3</v>
      </c>
      <c r="AK268" s="72">
        <f>IF(VLOOKUP($A268,raw_lb[],COLUMN(AL$1)-COLUMN($A$1),FALSE)=0, VLOOKUP($D268, regions_lb[], COLUMN(AL$1)-COLUMN($A$1), FALSE), VLOOKUP($A268,raw_lb[],COLUMN(AL$1)-COLUMN($A$1),FALSE))</f>
        <v>3.3467122491172775E-3</v>
      </c>
      <c r="AL268" s="72">
        <f>IF(VLOOKUP($A268,raw_lb[],COLUMN(AM$1)-COLUMN($A$1),FALSE)=0, VLOOKUP($D268, regions_lb[], COLUMN(AM$1)-COLUMN($A$1), FALSE), VLOOKUP($A268,raw_lb[],COLUMN(AM$1)-COLUMN($A$1),FALSE))</f>
        <v>4.3115804337650115E-3</v>
      </c>
      <c r="AM268" s="72">
        <f>IF(VLOOKUP($A268,raw_lb[],COLUMN(AN$1)-COLUMN($A$1),FALSE)=0, VLOOKUP($D268, regions_lb[], COLUMN(AN$1)-COLUMN($A$1), FALSE), VLOOKUP($A268,raw_lb[],COLUMN(AN$1)-COLUMN($A$1),FALSE))</f>
        <v>5.872272919654661E-3</v>
      </c>
      <c r="AN268" s="72">
        <f>IF(VLOOKUP($A268,raw_lb[],COLUMN(AO$1)-COLUMN($A$1),FALSE)=0, VLOOKUP($D268, regions_lb[], COLUMN(AO$1)-COLUMN($A$1), FALSE), VLOOKUP($A268,raw_lb[],COLUMN(AO$1)-COLUMN($A$1),FALSE))</f>
        <v>8.2989673449220622E-3</v>
      </c>
      <c r="AO268" s="72">
        <f>IF(VLOOKUP($A268,raw_lb[],COLUMN(AP$1)-COLUMN($A$1),FALSE)=0, VLOOKUP($D268, regions_lb[], COLUMN(AP$1)-COLUMN($A$1), FALSE), VLOOKUP($A268,raw_lb[],COLUMN(AP$1)-COLUMN($A$1),FALSE))</f>
        <v>1.1992685459986205E-2</v>
      </c>
      <c r="AP268" s="72">
        <f>IF(VLOOKUP($A268,raw_lb[],COLUMN(AQ$1)-COLUMN($A$1),FALSE)=0, VLOOKUP($D268, regions_lb[], COLUMN(AQ$1)-COLUMN($A$1), FALSE), VLOOKUP($A268,raw_lb[],COLUMN(AQ$1)-COLUMN($A$1),FALSE))</f>
        <v>1.7456227903493229E-2</v>
      </c>
      <c r="AQ268" s="72">
        <f>IF(VLOOKUP($A268,raw_lb[],COLUMN(AR$1)-COLUMN($A$1),FALSE)=0, VLOOKUP($D268, regions_lb[], COLUMN(AR$1)-COLUMN($A$1), FALSE), VLOOKUP($A268,raw_lb[],COLUMN(AR$1)-COLUMN($A$1),FALSE))</f>
        <v>2.3823510332479265E-2</v>
      </c>
      <c r="AR268" s="72">
        <f>IF(VLOOKUP($A268,raw_lb[],COLUMN(AS$1)-COLUMN($A$1),FALSE)=0, VLOOKUP($D268, regions_lb[], COLUMN(AS$1)-COLUMN($A$1), FALSE), VLOOKUP($A268,raw_lb[],COLUMN(AS$1)-COLUMN($A$1),FALSE))</f>
        <v>3.666126711416455E-2</v>
      </c>
      <c r="AS268" s="82">
        <f>IF(VLOOKUP($A268,raw_lb[],COLUMN(AS$1),FALSE)=0, VLOOKUP($D268, regions_lb[], COLUMN(AS$1), FALSE), VLOOKUP($A268,raw_lb[],COLUMN(AS$1),FALSE))</f>
        <v>5.5510789635308706E-2</v>
      </c>
      <c r="AT268" s="82">
        <f>IF(VLOOKUP($A268,raw_lb[],COLUMN(AT$1),FALSE)=0, VLOOKUP($D268, regions_lb[], COLUMN(AT$1), FALSE), VLOOKUP($A268,raw_lb[],COLUMN(AT$1),FALSE))</f>
        <v>8.0809241969243176E-2</v>
      </c>
      <c r="AU268" s="82">
        <f>IF(VLOOKUP($A268,raw_lb[],COLUMN(AU$1),FALSE)=0, VLOOKUP($D268, regions_lb[], COLUMN(AU$1), FALSE), VLOOKUP($A268,raw_lb[],COLUMN(AU$1),FALSE))</f>
        <v>0.11117845607389515</v>
      </c>
      <c r="AV268" s="82">
        <f>IF(VLOOKUP($A268,raw_lb[],COLUMN(AV$1),FALSE)=0, VLOOKUP($D268, regions_lb[], COLUMN(AV$1), FALSE), VLOOKUP($A268,raw_lb[],COLUMN(AV$1),FALSE))</f>
        <v>0.14213891888752622</v>
      </c>
      <c r="AW268" s="82">
        <f>IF(VLOOKUP($A268,raw_lb[],COLUMN(AW$1),FALSE)=0, VLOOKUP($D268, regions_lb[], COLUMN(AW$1), FALSE), VLOOKUP($A268,raw_lb[],COLUMN(AW$1),FALSE))</f>
        <v>0.16494702161247052</v>
      </c>
      <c r="AX268" s="82">
        <f>IF(VLOOKUP($A268,raw_lb[],COLUMN(AX$1),FALSE)=0, VLOOKUP($D268, regions_lb[], COLUMN(AX$1), FALSE), VLOOKUP($A268,raw_lb[],COLUMN(AX$1),FALSE))</f>
        <v>68.228049999999996</v>
      </c>
      <c r="AY268" t="str">
        <f t="shared" ref="AY268:AY275" si="9">IF($K268=0,"Yes", "No")</f>
        <v>No</v>
      </c>
    </row>
    <row r="269" spans="1:51" x14ac:dyDescent="0.25">
      <c r="A269" s="55" t="s">
        <v>482</v>
      </c>
      <c r="B269" s="56" t="s">
        <v>483</v>
      </c>
      <c r="C269" s="56">
        <v>860</v>
      </c>
      <c r="D269" s="56" t="s">
        <v>201</v>
      </c>
      <c r="E269" s="56" t="s">
        <v>220</v>
      </c>
      <c r="F269" s="56" t="s">
        <v>203</v>
      </c>
      <c r="G269" s="56" t="s">
        <v>212</v>
      </c>
      <c r="H269" s="74"/>
      <c r="I269" s="74"/>
      <c r="J269" s="67">
        <f>IF(VLOOKUP($A269,raw_lb[],COLUMN(J$1),FALSE)=0, VLOOKUP($D269, regions_lb[], COLUMN(J$1), FALSE), VLOOKUP($A269,raw_lb[],COLUMN(J$1),FALSE))</f>
        <v>0.94619999999999993</v>
      </c>
      <c r="K269" s="77">
        <f>VLOOKUP($A269, raw_lb[], 11, FALSE)</f>
        <v>0.92149999999999999</v>
      </c>
      <c r="L269" s="77">
        <f>VLOOKUP($A269, raw_lb[], 12, FALSE)</f>
        <v>0.90249999999999997</v>
      </c>
      <c r="M269" s="77">
        <f>IF(VLOOKUP($A269,raw_lb[],COLUMN(M$1),FALSE)=0, VLOOKUP($D269, regions_lb[], COLUMN(M$1), FALSE), VLOOKUP($A269,raw_lb[],COLUMN(M$1),FALSE))</f>
        <v>4.1399999999999999E-2</v>
      </c>
      <c r="N269" s="68">
        <f>IF(VLOOKUP($A269,raw_lb[],COLUMN(N$1),FALSE)=0, VLOOKUP($D269, regions_lb[], COLUMN(N$1), FALSE), VLOOKUP($A269,raw_lb[],COLUMN(N$1),FALSE))</f>
        <v>0.16309999999999999</v>
      </c>
      <c r="O269" s="67">
        <f>IF(VLOOKUP($A269,raw_lb[],COLUMN(O$1),FALSE)=0, VLOOKUP($D269, regions_lb[], COLUMN(O$1), FALSE), VLOOKUP($A269,raw_lb[],COLUMN(O$1),FALSE))</f>
        <v>0.7</v>
      </c>
      <c r="P269" s="68">
        <f>IF(VLOOKUP($A269,raw_lb[],COLUMN(P$1),FALSE)=0, VLOOKUP($D269, regions_lb[], COLUMN(P$1), FALSE), VLOOKUP($A269,raw_lb[],COLUMN(P$1),FALSE))</f>
        <v>0.05</v>
      </c>
      <c r="Q269" s="70">
        <f>IF(VLOOKUP($A269,raw_lb[],COLUMN(Q$1),FALSE)=0, VLOOKUP($D269, regions_lb[], COLUMN(Q$1), FALSE), VLOOKUP($A269,raw_lb[],COLUMN(Q$1),FALSE))</f>
        <v>0.86758041775456896</v>
      </c>
      <c r="R269" s="70">
        <f>IF(VLOOKUP($A269,raw_lb[],COLUMN(R$1),FALSE)=0, VLOOKUP($D269, regions_lb[], COLUMN(R$1), FALSE), VLOOKUP($A269,raw_lb[],COLUMN(R$1),FALSE))</f>
        <v>7.9284804177545691</v>
      </c>
      <c r="S269" s="70">
        <f>IF(VLOOKUP($A269,raw_lb[],COLUMN(S$1),FALSE)=0, VLOOKUP($D269, regions_lb[], COLUMN(S$1), FALSE), VLOOKUP($A269,raw_lb[],COLUMN(S$1),FALSE))</f>
        <v>38.801309726528032</v>
      </c>
      <c r="T269" s="70">
        <f>IF(VLOOKUP($A269,raw_lb[],COLUMN(U$1)-COLUMN($A$1),FALSE)=0, VLOOKUP($D269, regions_lb[], COLUMN(U$1)-COLUMN($A$1), FALSE), VLOOKUP($A269,raw_lb[],COLUMN(U$1)-COLUMN($A$1),FALSE))</f>
        <v>39.661549613463706</v>
      </c>
      <c r="U269" s="70">
        <f>IF(VLOOKUP($A269,raw_lb[],COLUMN(V$1)-COLUMN($A$1),FALSE)=0, VLOOKUP($D269, regions_lb[], COLUMN(V$1)-COLUMN($A$1), FALSE), VLOOKUP($A269,raw_lb[],COLUMN(V$1)-COLUMN($A$1),FALSE))</f>
        <v>39.266545640537608</v>
      </c>
      <c r="V269" s="70">
        <f>IF(VLOOKUP($A269,raw_lb[],COLUMN(W$1)-COLUMN($A$1),FALSE)=0, VLOOKUP($D269, regions_lb[], COLUMN(W$1)-COLUMN($A$1), FALSE), VLOOKUP($A269,raw_lb[],COLUMN(W$1)-COLUMN($A$1),FALSE))</f>
        <v>1.5600788392318079</v>
      </c>
      <c r="W269" s="70">
        <f>IF(VLOOKUP($A269,raw_lb[],COLUMN(X$1)-COLUMN($A$1),FALSE)=0, VLOOKUP($D269, regions_lb[], COLUMN(X$1)-COLUMN($A$1), FALSE), VLOOKUP($A269,raw_lb[],COLUMN(X$1)-COLUMN($A$1),FALSE))</f>
        <v>5.4265788392318086</v>
      </c>
      <c r="X269" s="70">
        <f>IF(VLOOKUP($A269,raw_lb[],COLUMN(Y$1)-COLUMN($A$1),FALSE)=0, VLOOKUP($D269, regions_lb[], COLUMN(Y$1)-COLUMN($A$1), FALSE), VLOOKUP($A269,raw_lb[],COLUMN(Y$1)-COLUMN($A$1),FALSE))</f>
        <v>1.0880149381102138</v>
      </c>
      <c r="Y269" s="70">
        <f>IF(VLOOKUP($A269,raw_lb[],COLUMN(Z$1)-COLUMN($A$1),FALSE)=0, VLOOKUP($D269, regions_lb[], COLUMN(Z$1)-COLUMN($A$1), FALSE), VLOOKUP($A269,raw_lb[],COLUMN(Z$1)-COLUMN($A$1),FALSE))</f>
        <v>4.954514938110214</v>
      </c>
      <c r="Z269" s="70">
        <f>IF(VLOOKUP($A269,raw_lb[],COLUMN(AA$1)-COLUMN($A$1),FALSE)=0, VLOOKUP($D269, regions_lb[], COLUMN(AA$1)-COLUMN($A$1), FALSE), VLOOKUP($A269,raw_lb[],COLUMN(AA$1)-COLUMN($A$1),FALSE))</f>
        <v>4.9518720316911349</v>
      </c>
      <c r="AA269" s="70">
        <f>IF(VLOOKUP($A269,raw_lb[],COLUMN(AB$1)-COLUMN($A$1),FALSE)=0, VLOOKUP($D269, regions_lb[], COLUMN(AB$1)-COLUMN($A$1), FALSE), VLOOKUP($A269,raw_lb[],COLUMN(AB$1)-COLUMN($A$1),FALSE))</f>
        <v>1.7075541944387584</v>
      </c>
      <c r="AB269" s="70">
        <f>IF(VLOOKUP($A269,raw_lb[],COLUMN(AC$1)-COLUMN($A$1),FALSE)=0, VLOOKUP($D269, regions_lb[], COLUMN(AC$1)-COLUMN($A$1), FALSE), VLOOKUP($A269,raw_lb[],COLUMN(AC$1)-COLUMN($A$1),FALSE))</f>
        <v>5.5740541944387587</v>
      </c>
      <c r="AC269" s="72">
        <f>IF(VLOOKUP($A269,raw_lb[],COLUMN(AD$1)-COLUMN($A$1),FALSE)=0, VLOOKUP($D269, regions_lb[], COLUMN(AD$1)-COLUMN($A$1), FALSE), VLOOKUP($A269,raw_lb[],COLUMN(AD$1)-COLUMN($A$1),FALSE))</f>
        <v>1.9793696500000058E-2</v>
      </c>
      <c r="AD269" s="72">
        <f>IF(VLOOKUP($A269,raw_lb[],COLUMN(AE$1)-COLUMN($A$1),FALSE)=0, VLOOKUP($D269, regions_lb[], COLUMN(AE$1)-COLUMN($A$1), FALSE), VLOOKUP($A269,raw_lb[],COLUMN(AE$1)-COLUMN($A$1),FALSE))</f>
        <v>1.1610828315032817E-3</v>
      </c>
      <c r="AE269" s="72">
        <f>IF(VLOOKUP($A269,raw_lb[],COLUMN(AF$1)-COLUMN($A$1),FALSE)=0, VLOOKUP($D269, regions_lb[], COLUMN(AF$1)-COLUMN($A$1), FALSE), VLOOKUP($A269,raw_lb[],COLUMN(AF$1)-COLUMN($A$1),FALSE))</f>
        <v>2.7321902159453329E-4</v>
      </c>
      <c r="AF269" s="72">
        <f>IF(VLOOKUP($A269,raw_lb[],COLUMN(AG$1)-COLUMN($A$1),FALSE)=0, VLOOKUP($D269, regions_lb[], COLUMN(AG$1)-COLUMN($A$1), FALSE), VLOOKUP($A269,raw_lb[],COLUMN(AG$1)-COLUMN($A$1),FALSE))</f>
        <v>2.9113663971749084E-4</v>
      </c>
      <c r="AG269" s="72">
        <f>IF(VLOOKUP($A269,raw_lb[],COLUMN(AH$1)-COLUMN($A$1),FALSE)=0, VLOOKUP($D269, regions_lb[], COLUMN(AH$1)-COLUMN($A$1), FALSE), VLOOKUP($A269,raw_lb[],COLUMN(AH$1)-COLUMN($A$1),FALSE))</f>
        <v>4.7925106618669174E-4</v>
      </c>
      <c r="AH269" s="72">
        <f>IF(VLOOKUP($A269,raw_lb[],COLUMN(AI$1)-COLUMN($A$1),FALSE)=0, VLOOKUP($D269, regions_lb[], COLUMN(AI$1)-COLUMN($A$1), FALSE), VLOOKUP($A269,raw_lb[],COLUMN(AI$1)-COLUMN($A$1),FALSE))</f>
        <v>6.8824563666749692E-4</v>
      </c>
      <c r="AI269" s="72">
        <f>IF(VLOOKUP($A269,raw_lb[],COLUMN(AJ$1)-COLUMN($A$1),FALSE)=0, VLOOKUP($D269, regions_lb[], COLUMN(AJ$1)-COLUMN($A$1), FALSE), VLOOKUP($A269,raw_lb[],COLUMN(AJ$1)-COLUMN($A$1),FALSE))</f>
        <v>9.2481463063174706E-4</v>
      </c>
      <c r="AJ269" s="72">
        <f>IF(VLOOKUP($A269,raw_lb[],COLUMN(AK$1)-COLUMN($A$1),FALSE)=0, VLOOKUP($D269, regions_lb[], COLUMN(AK$1)-COLUMN($A$1), FALSE), VLOOKUP($A269,raw_lb[],COLUMN(AK$1)-COLUMN($A$1),FALSE))</f>
        <v>1.2538720488118732E-3</v>
      </c>
      <c r="AK269" s="72">
        <f>IF(VLOOKUP($A269,raw_lb[],COLUMN(AL$1)-COLUMN($A$1),FALSE)=0, VLOOKUP($D269, regions_lb[], COLUMN(AL$1)-COLUMN($A$1), FALSE), VLOOKUP($A269,raw_lb[],COLUMN(AL$1)-COLUMN($A$1),FALSE))</f>
        <v>1.7483767232639577E-3</v>
      </c>
      <c r="AL269" s="72">
        <f>IF(VLOOKUP($A269,raw_lb[],COLUMN(AM$1)-COLUMN($A$1),FALSE)=0, VLOOKUP($D269, regions_lb[], COLUMN(AM$1)-COLUMN($A$1), FALSE), VLOOKUP($A269,raw_lb[],COLUMN(AM$1)-COLUMN($A$1),FALSE))</f>
        <v>2.4411017025501697E-3</v>
      </c>
      <c r="AM269" s="72">
        <f>IF(VLOOKUP($A269,raw_lb[],COLUMN(AN$1)-COLUMN($A$1),FALSE)=0, VLOOKUP($D269, regions_lb[], COLUMN(AN$1)-COLUMN($A$1), FALSE), VLOOKUP($A269,raw_lb[],COLUMN(AN$1)-COLUMN($A$1),FALSE))</f>
        <v>3.7017912292490692E-3</v>
      </c>
      <c r="AN269" s="72">
        <f>IF(VLOOKUP($A269,raw_lb[],COLUMN(AO$1)-COLUMN($A$1),FALSE)=0, VLOOKUP($D269, regions_lb[], COLUMN(AO$1)-COLUMN($A$1), FALSE), VLOOKUP($A269,raw_lb[],COLUMN(AO$1)-COLUMN($A$1),FALSE))</f>
        <v>5.9480109849364615E-3</v>
      </c>
      <c r="AO269" s="72">
        <f>IF(VLOOKUP($A269,raw_lb[],COLUMN(AP$1)-COLUMN($A$1),FALSE)=0, VLOOKUP($D269, regions_lb[], COLUMN(AP$1)-COLUMN($A$1), FALSE), VLOOKUP($A269,raw_lb[],COLUMN(AP$1)-COLUMN($A$1),FALSE))</f>
        <v>1.0063866426749715E-2</v>
      </c>
      <c r="AP269" s="72">
        <f>IF(VLOOKUP($A269,raw_lb[],COLUMN(AQ$1)-COLUMN($A$1),FALSE)=0, VLOOKUP($D269, regions_lb[], COLUMN(AQ$1)-COLUMN($A$1), FALSE), VLOOKUP($A269,raw_lb[],COLUMN(AQ$1)-COLUMN($A$1),FALSE))</f>
        <v>1.7253268047097037E-2</v>
      </c>
      <c r="AQ269" s="72">
        <f>IF(VLOOKUP($A269,raw_lb[],COLUMN(AR$1)-COLUMN($A$1),FALSE)=0, VLOOKUP($D269, regions_lb[], COLUMN(AR$1)-COLUMN($A$1), FALSE), VLOOKUP($A269,raw_lb[],COLUMN(AR$1)-COLUMN($A$1),FALSE))</f>
        <v>2.7184517479848111E-2</v>
      </c>
      <c r="AR269" s="72">
        <f>IF(VLOOKUP($A269,raw_lb[],COLUMN(AS$1)-COLUMN($A$1),FALSE)=0, VLOOKUP($D269, regions_lb[], COLUMN(AS$1)-COLUMN($A$1), FALSE), VLOOKUP($A269,raw_lb[],COLUMN(AS$1)-COLUMN($A$1),FALSE))</f>
        <v>4.2076119924946025E-2</v>
      </c>
      <c r="AS269" s="82">
        <f>IF(VLOOKUP($A269,raw_lb[],COLUMN(AS$1),FALSE)=0, VLOOKUP($D269, regions_lb[], COLUMN(AS$1), FALSE), VLOOKUP($A269,raw_lb[],COLUMN(AS$1),FALSE))</f>
        <v>6.3590899844076024E-2</v>
      </c>
      <c r="AT269" s="82">
        <f>IF(VLOOKUP($A269,raw_lb[],COLUMN(AT$1),FALSE)=0, VLOOKUP($D269, regions_lb[], COLUMN(AT$1), FALSE), VLOOKUP($A269,raw_lb[],COLUMN(AT$1),FALSE))</f>
        <v>9.057540278681965E-2</v>
      </c>
      <c r="AU269" s="82">
        <f>IF(VLOOKUP($A269,raw_lb[],COLUMN(AU$1),FALSE)=0, VLOOKUP($D269, regions_lb[], COLUMN(AU$1), FALSE), VLOOKUP($A269,raw_lb[],COLUMN(AU$1),FALSE))</f>
        <v>0.11940951112968243</v>
      </c>
      <c r="AV269" s="82">
        <f>IF(VLOOKUP($A269,raw_lb[],COLUMN(AV$1),FALSE)=0, VLOOKUP($D269, regions_lb[], COLUMN(AV$1), FALSE), VLOOKUP($A269,raw_lb[],COLUMN(AV$1),FALSE))</f>
        <v>0.14596056810282015</v>
      </c>
      <c r="AW269" s="82">
        <f>IF(VLOOKUP($A269,raw_lb[],COLUMN(AW$1),FALSE)=0, VLOOKUP($D269, regions_lb[], COLUMN(AW$1), FALSE), VLOOKUP($A269,raw_lb[],COLUMN(AW$1),FALSE))</f>
        <v>0.16495408714723009</v>
      </c>
      <c r="AX269" s="82">
        <f>IF(VLOOKUP($A269,raw_lb[],COLUMN(AX$1),FALSE)=0, VLOOKUP($D269, regions_lb[], COLUMN(AX$1), FALSE), VLOOKUP($A269,raw_lb[],COLUMN(AX$1),FALSE))</f>
        <v>67.955399999999997</v>
      </c>
      <c r="AY269" t="str">
        <f t="shared" si="9"/>
        <v>No</v>
      </c>
    </row>
    <row r="270" spans="1:51" x14ac:dyDescent="0.25">
      <c r="A270" s="53" t="s">
        <v>484</v>
      </c>
      <c r="B270" s="54" t="s">
        <v>485</v>
      </c>
      <c r="C270" s="54">
        <v>548</v>
      </c>
      <c r="D270" s="54" t="s">
        <v>260</v>
      </c>
      <c r="E270" s="54" t="s">
        <v>309</v>
      </c>
      <c r="F270" s="54" t="s">
        <v>262</v>
      </c>
      <c r="G270" s="54" t="s">
        <v>212</v>
      </c>
      <c r="H270" s="73"/>
      <c r="I270" s="73"/>
      <c r="J270" s="67">
        <f>IF(VLOOKUP($A270,raw_lb[],COLUMN(J$1),FALSE)=0, VLOOKUP($D270, regions_lb[], COLUMN(J$1), FALSE), VLOOKUP($A270,raw_lb[],COLUMN(J$1),FALSE))</f>
        <v>0.84075</v>
      </c>
      <c r="K270" s="77">
        <f>VLOOKUP($A270, raw_lb[], 11, FALSE)</f>
        <v>0.5605</v>
      </c>
      <c r="L270" s="77">
        <f>VLOOKUP($A270, raw_lb[], 12, FALSE)</f>
        <v>0.74099999999999999</v>
      </c>
      <c r="M270" s="77">
        <f>IF(VLOOKUP($A270,raw_lb[],COLUMN(M$1),FALSE)=0, VLOOKUP($D270, regions_lb[], COLUMN(M$1), FALSE), VLOOKUP($A270,raw_lb[],COLUMN(M$1),FALSE))</f>
        <v>0.10050000000000001</v>
      </c>
      <c r="N270" s="68">
        <f>IF(VLOOKUP($A270,raw_lb[],COLUMN(N$1),FALSE)=0, VLOOKUP($D270, regions_lb[], COLUMN(N$1), FALSE), VLOOKUP($A270,raw_lb[],COLUMN(N$1),FALSE))</f>
        <v>0.1832</v>
      </c>
      <c r="O270" s="67">
        <f>IF(VLOOKUP($A270,raw_lb[],COLUMN(O$1),FALSE)=0, VLOOKUP($D270, regions_lb[], COLUMN(O$1), FALSE), VLOOKUP($A270,raw_lb[],COLUMN(O$1),FALSE))</f>
        <v>0.7</v>
      </c>
      <c r="P270" s="68">
        <f>IF(VLOOKUP($A270,raw_lb[],COLUMN(P$1),FALSE)=0, VLOOKUP($D270, regions_lb[], COLUMN(P$1), FALSE), VLOOKUP($A270,raw_lb[],COLUMN(P$1),FALSE))</f>
        <v>0.05</v>
      </c>
      <c r="Q270" s="70">
        <f>IF(VLOOKUP($A270,raw_lb[],COLUMN(Q$1),FALSE)=0, VLOOKUP($D270, regions_lb[], COLUMN(Q$1), FALSE), VLOOKUP($A270,raw_lb[],COLUMN(Q$1),FALSE))</f>
        <v>1.8601993520518401</v>
      </c>
      <c r="R270" s="70">
        <f>IF(VLOOKUP($A270,raw_lb[],COLUMN(R$1),FALSE)=0, VLOOKUP($D270, regions_lb[], COLUMN(R$1), FALSE), VLOOKUP($A270,raw_lb[],COLUMN(R$1),FALSE))</f>
        <v>8.92109935205184</v>
      </c>
      <c r="S270" s="70">
        <f>IF(VLOOKUP($A270,raw_lb[],COLUMN(S$1),FALSE)=0, VLOOKUP($D270, regions_lb[], COLUMN(S$1), FALSE), VLOOKUP($A270,raw_lb[],COLUMN(S$1),FALSE))</f>
        <v>45.588713152763169</v>
      </c>
      <c r="T270" s="70">
        <f>IF(VLOOKUP($A270,raw_lb[],COLUMN(U$1)-COLUMN($A$1),FALSE)=0, VLOOKUP($D270, regions_lb[], COLUMN(U$1)-COLUMN($A$1), FALSE), VLOOKUP($A270,raw_lb[],COLUMN(U$1)-COLUMN($A$1),FALSE))</f>
        <v>49.464935833385169</v>
      </c>
      <c r="U270" s="70">
        <f>IF(VLOOKUP($A270,raw_lb[],COLUMN(V$1)-COLUMN($A$1),FALSE)=0, VLOOKUP($D270, regions_lb[], COLUMN(V$1)-COLUMN($A$1), FALSE), VLOOKUP($A270,raw_lb[],COLUMN(V$1)-COLUMN($A$1),FALSE))</f>
        <v>47.685056311353158</v>
      </c>
      <c r="V270" s="70">
        <f>IF(VLOOKUP($A270,raw_lb[],COLUMN(W$1)-COLUMN($A$1),FALSE)=0, VLOOKUP($D270, regions_lb[], COLUMN(W$1)-COLUMN($A$1), FALSE), VLOOKUP($A270,raw_lb[],COLUMN(W$1)-COLUMN($A$1),FALSE))</f>
        <v>2.9369361265210423</v>
      </c>
      <c r="W270" s="70">
        <f>IF(VLOOKUP($A270,raw_lb[],COLUMN(X$1)-COLUMN($A$1),FALSE)=0, VLOOKUP($D270, regions_lb[], COLUMN(X$1)-COLUMN($A$1), FALSE), VLOOKUP($A270,raw_lb[],COLUMN(X$1)-COLUMN($A$1),FALSE))</f>
        <v>3.5354361265210423</v>
      </c>
      <c r="X270" s="70">
        <f>IF(VLOOKUP($A270,raw_lb[],COLUMN(Y$1)-COLUMN($A$1),FALSE)=0, VLOOKUP($D270, regions_lb[], COLUMN(Y$1)-COLUMN($A$1), FALSE), VLOOKUP($A270,raw_lb[],COLUMN(Y$1)-COLUMN($A$1),FALSE))</f>
        <v>2.4623360482803514</v>
      </c>
      <c r="Y270" s="70">
        <f>IF(VLOOKUP($A270,raw_lb[],COLUMN(Z$1)-COLUMN($A$1),FALSE)=0, VLOOKUP($D270, regions_lb[], COLUMN(Z$1)-COLUMN($A$1), FALSE), VLOOKUP($A270,raw_lb[],COLUMN(Z$1)-COLUMN($A$1),FALSE))</f>
        <v>3.0608360482803514</v>
      </c>
      <c r="Z270" s="70">
        <f>IF(VLOOKUP($A270,raw_lb[],COLUMN(AA$1)-COLUMN($A$1),FALSE)=0, VLOOKUP($D270, regions_lb[], COLUMN(AA$1)-COLUMN($A$1), FALSE), VLOOKUP($A270,raw_lb[],COLUMN(AA$1)-COLUMN($A$1),FALSE))</f>
        <v>3.0566429801857202</v>
      </c>
      <c r="AA270" s="70">
        <f>IF(VLOOKUP($A270,raw_lb[],COLUMN(AB$1)-COLUMN($A$1),FALSE)=0, VLOOKUP($D270, regions_lb[], COLUMN(AB$1)-COLUMN($A$1), FALSE), VLOOKUP($A270,raw_lb[],COLUMN(AB$1)-COLUMN($A$1),FALSE))</f>
        <v>3.0922373996954904</v>
      </c>
      <c r="AB270" s="70">
        <f>IF(VLOOKUP($A270,raw_lb[],COLUMN(AC$1)-COLUMN($A$1),FALSE)=0, VLOOKUP($D270, regions_lb[], COLUMN(AC$1)-COLUMN($A$1), FALSE), VLOOKUP($A270,raw_lb[],COLUMN(AC$1)-COLUMN($A$1),FALSE))</f>
        <v>3.6907373996954904</v>
      </c>
      <c r="AC270" s="72">
        <f>IF(VLOOKUP($A270,raw_lb[],COLUMN(AD$1)-COLUMN($A$1),FALSE)=0, VLOOKUP($D270, regions_lb[], COLUMN(AD$1)-COLUMN($A$1), FALSE), VLOOKUP($A270,raw_lb[],COLUMN(AD$1)-COLUMN($A$1),FALSE))</f>
        <v>2.1247319999999976E-2</v>
      </c>
      <c r="AD270" s="72">
        <f>IF(VLOOKUP($A270,raw_lb[],COLUMN(AE$1)-COLUMN($A$1),FALSE)=0, VLOOKUP($D270, regions_lb[], COLUMN(AE$1)-COLUMN($A$1), FALSE), VLOOKUP($A270,raw_lb[],COLUMN(AE$1)-COLUMN($A$1),FALSE))</f>
        <v>1.0382947091469076E-3</v>
      </c>
      <c r="AE270" s="72">
        <f>IF(VLOOKUP($A270,raw_lb[],COLUMN(AF$1)-COLUMN($A$1),FALSE)=0, VLOOKUP($D270, regions_lb[], COLUMN(AF$1)-COLUMN($A$1), FALSE), VLOOKUP($A270,raw_lb[],COLUMN(AF$1)-COLUMN($A$1),FALSE))</f>
        <v>4.0577795844397887E-4</v>
      </c>
      <c r="AF270" s="72">
        <f>IF(VLOOKUP($A270,raw_lb[],COLUMN(AG$1)-COLUMN($A$1),FALSE)=0, VLOOKUP($D270, regions_lb[], COLUMN(AG$1)-COLUMN($A$1), FALSE), VLOOKUP($A270,raw_lb[],COLUMN(AG$1)-COLUMN($A$1),FALSE))</f>
        <v>3.4500920191398192E-4</v>
      </c>
      <c r="AG270" s="72">
        <f>IF(VLOOKUP($A270,raw_lb[],COLUMN(AH$1)-COLUMN($A$1),FALSE)=0, VLOOKUP($D270, regions_lb[], COLUMN(AH$1)-COLUMN($A$1), FALSE), VLOOKUP($A270,raw_lb[],COLUMN(AH$1)-COLUMN($A$1),FALSE))</f>
        <v>6.9369391968135885E-4</v>
      </c>
      <c r="AH270" s="72">
        <f>IF(VLOOKUP($A270,raw_lb[],COLUMN(AI$1)-COLUMN($A$1),FALSE)=0, VLOOKUP($D270, regions_lb[], COLUMN(AI$1)-COLUMN($A$1), FALSE), VLOOKUP($A270,raw_lb[],COLUMN(AI$1)-COLUMN($A$1),FALSE))</f>
        <v>8.5901016338658909E-4</v>
      </c>
      <c r="AI270" s="72">
        <f>IF(VLOOKUP($A270,raw_lb[],COLUMN(AJ$1)-COLUMN($A$1),FALSE)=0, VLOOKUP($D270, regions_lb[], COLUMN(AJ$1)-COLUMN($A$1), FALSE), VLOOKUP($A270,raw_lb[],COLUMN(AJ$1)-COLUMN($A$1),FALSE))</f>
        <v>8.8333980233918155E-4</v>
      </c>
      <c r="AJ270" s="72">
        <f>IF(VLOOKUP($A270,raw_lb[],COLUMN(AK$1)-COLUMN($A$1),FALSE)=0, VLOOKUP($D270, regions_lb[], COLUMN(AK$1)-COLUMN($A$1), FALSE), VLOOKUP($A270,raw_lb[],COLUMN(AK$1)-COLUMN($A$1),FALSE))</f>
        <v>1.0709129730038303E-3</v>
      </c>
      <c r="AK270" s="72">
        <f>IF(VLOOKUP($A270,raw_lb[],COLUMN(AL$1)-COLUMN($A$1),FALSE)=0, VLOOKUP($D270, regions_lb[], COLUMN(AL$1)-COLUMN($A$1), FALSE), VLOOKUP($A270,raw_lb[],COLUMN(AL$1)-COLUMN($A$1),FALSE))</f>
        <v>1.4931306788623193E-3</v>
      </c>
      <c r="AL270" s="72">
        <f>IF(VLOOKUP($A270,raw_lb[],COLUMN(AM$1)-COLUMN($A$1),FALSE)=0, VLOOKUP($D270, regions_lb[], COLUMN(AM$1)-COLUMN($A$1), FALSE), VLOOKUP($A270,raw_lb[],COLUMN(AM$1)-COLUMN($A$1),FALSE))</f>
        <v>2.2335893339214233E-3</v>
      </c>
      <c r="AM270" s="72">
        <f>IF(VLOOKUP($A270,raw_lb[],COLUMN(AN$1)-COLUMN($A$1),FALSE)=0, VLOOKUP($D270, regions_lb[], COLUMN(AN$1)-COLUMN($A$1), FALSE), VLOOKUP($A270,raw_lb[],COLUMN(AN$1)-COLUMN($A$1),FALSE))</f>
        <v>3.5805633924408191E-3</v>
      </c>
      <c r="AN270" s="72">
        <f>IF(VLOOKUP($A270,raw_lb[],COLUMN(AO$1)-COLUMN($A$1),FALSE)=0, VLOOKUP($D270, regions_lb[], COLUMN(AO$1)-COLUMN($A$1), FALSE), VLOOKUP($A270,raw_lb[],COLUMN(AO$1)-COLUMN($A$1),FALSE))</f>
        <v>5.7645510913601613E-3</v>
      </c>
      <c r="AO270" s="72">
        <f>IF(VLOOKUP($A270,raw_lb[],COLUMN(AP$1)-COLUMN($A$1),FALSE)=0, VLOOKUP($D270, regions_lb[], COLUMN(AP$1)-COLUMN($A$1), FALSE), VLOOKUP($A270,raw_lb[],COLUMN(AP$1)-COLUMN($A$1),FALSE))</f>
        <v>9.2980810383636783E-3</v>
      </c>
      <c r="AP270" s="72">
        <f>IF(VLOOKUP($A270,raw_lb[],COLUMN(AQ$1)-COLUMN($A$1),FALSE)=0, VLOOKUP($D270, regions_lb[], COLUMN(AQ$1)-COLUMN($A$1), FALSE), VLOOKUP($A270,raw_lb[],COLUMN(AQ$1)-COLUMN($A$1),FALSE))</f>
        <v>1.7339152679292168E-2</v>
      </c>
      <c r="AQ270" s="72">
        <f>IF(VLOOKUP($A270,raw_lb[],COLUMN(AR$1)-COLUMN($A$1),FALSE)=0, VLOOKUP($D270, regions_lb[], COLUMN(AR$1)-COLUMN($A$1), FALSE), VLOOKUP($A270,raw_lb[],COLUMN(AR$1)-COLUMN($A$1),FALSE))</f>
        <v>3.1648190803239482E-2</v>
      </c>
      <c r="AR270" s="72">
        <f>IF(VLOOKUP($A270,raw_lb[],COLUMN(AS$1)-COLUMN($A$1),FALSE)=0, VLOOKUP($D270, regions_lb[], COLUMN(AS$1)-COLUMN($A$1), FALSE), VLOOKUP($A270,raw_lb[],COLUMN(AS$1)-COLUMN($A$1),FALSE))</f>
        <v>5.2233518281863442E-2</v>
      </c>
      <c r="AS270" s="82">
        <f>IF(VLOOKUP($A270,raw_lb[],COLUMN(AS$1),FALSE)=0, VLOOKUP($D270, regions_lb[], COLUMN(AS$1), FALSE), VLOOKUP($A270,raw_lb[],COLUMN(AS$1),FALSE))</f>
        <v>7.903125894731175E-2</v>
      </c>
      <c r="AT270" s="82">
        <f>IF(VLOOKUP($A270,raw_lb[],COLUMN(AT$1),FALSE)=0, VLOOKUP($D270, regions_lb[], COLUMN(AT$1), FALSE), VLOOKUP($A270,raw_lb[],COLUMN(AT$1),FALSE))</f>
        <v>0.11116103316514926</v>
      </c>
      <c r="AU270" s="82">
        <f>IF(VLOOKUP($A270,raw_lb[],COLUMN(AU$1),FALSE)=0, VLOOKUP($D270, regions_lb[], COLUMN(AU$1), FALSE), VLOOKUP($A270,raw_lb[],COLUMN(AU$1),FALSE))</f>
        <v>0.14390408405989913</v>
      </c>
      <c r="AV270" s="82">
        <f>IF(VLOOKUP($A270,raw_lb[],COLUMN(AV$1),FALSE)=0, VLOOKUP($D270, regions_lb[], COLUMN(AV$1), FALSE), VLOOKUP($A270,raw_lb[],COLUMN(AV$1),FALSE))</f>
        <v>0.16714172401712657</v>
      </c>
      <c r="AW270" s="82">
        <f>IF(VLOOKUP($A270,raw_lb[],COLUMN(AW$1),FALSE)=0, VLOOKUP($D270, regions_lb[], COLUMN(AW$1), FALSE), VLOOKUP($A270,raw_lb[],COLUMN(AW$1),FALSE))</f>
        <v>0.17861069067552127</v>
      </c>
      <c r="AX270" s="82">
        <f>IF(VLOOKUP($A270,raw_lb[],COLUMN(AX$1),FALSE)=0, VLOOKUP($D270, regions_lb[], COLUMN(AX$1), FALSE), VLOOKUP($A270,raw_lb[],COLUMN(AX$1),FALSE))</f>
        <v>66.734650000000002</v>
      </c>
      <c r="AY270" t="str">
        <f t="shared" si="9"/>
        <v>No</v>
      </c>
    </row>
    <row r="271" spans="1:51" x14ac:dyDescent="0.25">
      <c r="A271" s="55" t="s">
        <v>486</v>
      </c>
      <c r="B271" s="56" t="s">
        <v>487</v>
      </c>
      <c r="C271" s="56">
        <v>862</v>
      </c>
      <c r="D271" s="56" t="s">
        <v>215</v>
      </c>
      <c r="E271" s="56" t="s">
        <v>274</v>
      </c>
      <c r="F271" s="56" t="s">
        <v>217</v>
      </c>
      <c r="G271" s="56" t="s">
        <v>204</v>
      </c>
      <c r="H271" s="74"/>
      <c r="I271" s="74"/>
      <c r="J271" s="67">
        <f>IF(VLOOKUP($A271,raw_lb[],COLUMN(J$1),FALSE)=0, VLOOKUP($D271, regions_lb[], COLUMN(J$1), FALSE), VLOOKUP($A271,raw_lb[],COLUMN(J$1),FALSE))</f>
        <v>0.93955000000000011</v>
      </c>
      <c r="K271" s="77">
        <f>VLOOKUP($A271, raw_lb[], 11, FALSE)</f>
        <v>0.47499999999999998</v>
      </c>
      <c r="L271" s="77">
        <f>VLOOKUP($A271, raw_lb[], 12, FALSE)</f>
        <v>0.51300000000000001</v>
      </c>
      <c r="M271" s="77">
        <f>IF(VLOOKUP($A271,raw_lb[],COLUMN(M$1),FALSE)=0, VLOOKUP($D271, regions_lb[], COLUMN(M$1), FALSE), VLOOKUP($A271,raw_lb[],COLUMN(M$1),FALSE))</f>
        <v>1.54E-2</v>
      </c>
      <c r="N271" s="68">
        <f>IF(VLOOKUP($A271,raw_lb[],COLUMN(N$1),FALSE)=0, VLOOKUP($D271, regions_lb[], COLUMN(N$1), FALSE), VLOOKUP($A271,raw_lb[],COLUMN(N$1),FALSE))</f>
        <v>0.16440000000000002</v>
      </c>
      <c r="O271" s="67">
        <f>IF(VLOOKUP($A271,raw_lb[],COLUMN(O$1),FALSE)=0, VLOOKUP($D271, regions_lb[], COLUMN(O$1), FALSE), VLOOKUP($A271,raw_lb[],COLUMN(O$1),FALSE))</f>
        <v>0.7</v>
      </c>
      <c r="P271" s="68">
        <f>IF(VLOOKUP($A271,raw_lb[],COLUMN(P$1),FALSE)=0, VLOOKUP($D271, regions_lb[], COLUMN(P$1), FALSE), VLOOKUP($A271,raw_lb[],COLUMN(P$1),FALSE))</f>
        <v>0.05</v>
      </c>
      <c r="Q271" s="70">
        <f>IF(VLOOKUP($A271,raw_lb[],COLUMN(Q$1),FALSE)=0, VLOOKUP($D271, regions_lb[], COLUMN(Q$1), FALSE), VLOOKUP($A271,raw_lb[],COLUMN(Q$1),FALSE))</f>
        <v>3.4281604888918</v>
      </c>
      <c r="R271" s="70">
        <f>IF(VLOOKUP($A271,raw_lb[],COLUMN(R$1),FALSE)=0, VLOOKUP($D271, regions_lb[], COLUMN(R$1), FALSE), VLOOKUP($A271,raw_lb[],COLUMN(R$1),FALSE))</f>
        <v>10.4890604888918</v>
      </c>
      <c r="S271" s="70">
        <f>IF(VLOOKUP($A271,raw_lb[],COLUMN(S$1),FALSE)=0, VLOOKUP($D271, regions_lb[], COLUMN(S$1), FALSE), VLOOKUP($A271,raw_lb[],COLUMN(S$1),FALSE))</f>
        <v>60.67992842394375</v>
      </c>
      <c r="T271" s="70">
        <f>IF(VLOOKUP($A271,raw_lb[],COLUMN(U$1)-COLUMN($A$1),FALSE)=0, VLOOKUP($D271, regions_lb[], COLUMN(U$1)-COLUMN($A$1), FALSE), VLOOKUP($A271,raw_lb[],COLUMN(U$1)-COLUMN($A$1),FALSE))</f>
        <v>71.594532228240524</v>
      </c>
      <c r="U271" s="70">
        <f>IF(VLOOKUP($A271,raw_lb[],COLUMN(V$1)-COLUMN($A$1),FALSE)=0, VLOOKUP($D271, regions_lb[], COLUMN(V$1)-COLUMN($A$1), FALSE), VLOOKUP($A271,raw_lb[],COLUMN(V$1)-COLUMN($A$1),FALSE))</f>
        <v>66.582776866641112</v>
      </c>
      <c r="V271" s="70">
        <f>IF(VLOOKUP($A271,raw_lb[],COLUMN(W$1)-COLUMN($A$1),FALSE)=0, VLOOKUP($D271, regions_lb[], COLUMN(W$1)-COLUMN($A$1), FALSE), VLOOKUP($A271,raw_lb[],COLUMN(W$1)-COLUMN($A$1),FALSE))</f>
        <v>0.78933181312048339</v>
      </c>
      <c r="W271" s="70">
        <f>IF(VLOOKUP($A271,raw_lb[],COLUMN(X$1)-COLUMN($A$1),FALSE)=0, VLOOKUP($D271, regions_lb[], COLUMN(X$1)-COLUMN($A$1), FALSE), VLOOKUP($A271,raw_lb[],COLUMN(X$1)-COLUMN($A$1),FALSE))</f>
        <v>0.80833181312048341</v>
      </c>
      <c r="X271" s="70">
        <f>IF(VLOOKUP($A271,raw_lb[],COLUMN(Y$1)-COLUMN($A$1),FALSE)=0, VLOOKUP($D271, regions_lb[], COLUMN(Y$1)-COLUMN($A$1), FALSE), VLOOKUP($A271,raw_lb[],COLUMN(Y$1)-COLUMN($A$1),FALSE))</f>
        <v>0.29938621686825823</v>
      </c>
      <c r="Y271" s="70">
        <f>IF(VLOOKUP($A271,raw_lb[],COLUMN(Z$1)-COLUMN($A$1),FALSE)=0, VLOOKUP($D271, regions_lb[], COLUMN(Z$1)-COLUMN($A$1), FALSE), VLOOKUP($A271,raw_lb[],COLUMN(Z$1)-COLUMN($A$1),FALSE))</f>
        <v>0.31838621686825824</v>
      </c>
      <c r="Z271" s="70">
        <f>IF(VLOOKUP($A271,raw_lb[],COLUMN(AA$1)-COLUMN($A$1),FALSE)=0, VLOOKUP($D271, regions_lb[], COLUMN(AA$1)-COLUMN($A$1), FALSE), VLOOKUP($A271,raw_lb[],COLUMN(AA$1)-COLUMN($A$1),FALSE))</f>
        <v>0.3030611997782387</v>
      </c>
      <c r="AA271" s="70">
        <f>IF(VLOOKUP($A271,raw_lb[],COLUMN(AB$1)-COLUMN($A$1),FALSE)=0, VLOOKUP($D271, regions_lb[], COLUMN(AB$1)-COLUMN($A$1), FALSE), VLOOKUP($A271,raw_lb[],COLUMN(AB$1)-COLUMN($A$1),FALSE))</f>
        <v>0.99198497044481015</v>
      </c>
      <c r="AB271" s="70">
        <f>IF(VLOOKUP($A271,raw_lb[],COLUMN(AC$1)-COLUMN($A$1),FALSE)=0, VLOOKUP($D271, regions_lb[], COLUMN(AC$1)-COLUMN($A$1), FALSE), VLOOKUP($A271,raw_lb[],COLUMN(AC$1)-COLUMN($A$1),FALSE))</f>
        <v>1.0109849704448102</v>
      </c>
      <c r="AC271" s="72">
        <f>IF(VLOOKUP($A271,raw_lb[],COLUMN(AD$1)-COLUMN($A$1),FALSE)=0, VLOOKUP($D271, regions_lb[], COLUMN(AD$1)-COLUMN($A$1), FALSE), VLOOKUP($A271,raw_lb[],COLUMN(AD$1)-COLUMN($A$1),FALSE))</f>
        <v>2.4414990499999963E-2</v>
      </c>
      <c r="AD271" s="72">
        <f>IF(VLOOKUP($A271,raw_lb[],COLUMN(AE$1)-COLUMN($A$1),FALSE)=0, VLOOKUP($D271, regions_lb[], COLUMN(AE$1)-COLUMN($A$1), FALSE), VLOOKUP($A271,raw_lb[],COLUMN(AE$1)-COLUMN($A$1),FALSE))</f>
        <v>1.2561002642297037E-3</v>
      </c>
      <c r="AE271" s="72">
        <f>IF(VLOOKUP($A271,raw_lb[],COLUMN(AF$1)-COLUMN($A$1),FALSE)=0, VLOOKUP($D271, regions_lb[], COLUMN(AF$1)-COLUMN($A$1), FALSE), VLOOKUP($A271,raw_lb[],COLUMN(AF$1)-COLUMN($A$1),FALSE))</f>
        <v>2.2869861787442206E-4</v>
      </c>
      <c r="AF271" s="72">
        <f>IF(VLOOKUP($A271,raw_lb[],COLUMN(AG$1)-COLUMN($A$1),FALSE)=0, VLOOKUP($D271, regions_lb[], COLUMN(AG$1)-COLUMN($A$1), FALSE), VLOOKUP($A271,raw_lb[],COLUMN(AG$1)-COLUMN($A$1),FALSE))</f>
        <v>3.2978224614118229E-4</v>
      </c>
      <c r="AG271" s="72">
        <f>IF(VLOOKUP($A271,raw_lb[],COLUMN(AH$1)-COLUMN($A$1),FALSE)=0, VLOOKUP($D271, regions_lb[], COLUMN(AH$1)-COLUMN($A$1), FALSE), VLOOKUP($A271,raw_lb[],COLUMN(AH$1)-COLUMN($A$1),FALSE))</f>
        <v>1.3475423994171439E-3</v>
      </c>
      <c r="AH271" s="72">
        <f>IF(VLOOKUP($A271,raw_lb[],COLUMN(AI$1)-COLUMN($A$1),FALSE)=0, VLOOKUP($D271, regions_lb[], COLUMN(AI$1)-COLUMN($A$1), FALSE), VLOOKUP($A271,raw_lb[],COLUMN(AI$1)-COLUMN($A$1),FALSE))</f>
        <v>2.0931609247329904E-3</v>
      </c>
      <c r="AI271" s="72">
        <f>IF(VLOOKUP($A271,raw_lb[],COLUMN(AJ$1)-COLUMN($A$1),FALSE)=0, VLOOKUP($D271, regions_lb[], COLUMN(AJ$1)-COLUMN($A$1), FALSE), VLOOKUP($A271,raw_lb[],COLUMN(AJ$1)-COLUMN($A$1),FALSE))</f>
        <v>2.0571432618316696E-3</v>
      </c>
      <c r="AJ271" s="72">
        <f>IF(VLOOKUP($A271,raw_lb[],COLUMN(AK$1)-COLUMN($A$1),FALSE)=0, VLOOKUP($D271, regions_lb[], COLUMN(AK$1)-COLUMN($A$1), FALSE), VLOOKUP($A271,raw_lb[],COLUMN(AK$1)-COLUMN($A$1),FALSE))</f>
        <v>2.0221378422694688E-3</v>
      </c>
      <c r="AK271" s="72">
        <f>IF(VLOOKUP($A271,raw_lb[],COLUMN(AL$1)-COLUMN($A$1),FALSE)=0, VLOOKUP($D271, regions_lb[], COLUMN(AL$1)-COLUMN($A$1), FALSE), VLOOKUP($A271,raw_lb[],COLUMN(AL$1)-COLUMN($A$1),FALSE))</f>
        <v>1.9918552403895354E-3</v>
      </c>
      <c r="AL271" s="72">
        <f>IF(VLOOKUP($A271,raw_lb[],COLUMN(AM$1)-COLUMN($A$1),FALSE)=0, VLOOKUP($D271, regions_lb[], COLUMN(AM$1)-COLUMN($A$1), FALSE), VLOOKUP($A271,raw_lb[],COLUMN(AM$1)-COLUMN($A$1),FALSE))</f>
        <v>2.5165882796845001E-3</v>
      </c>
      <c r="AM271" s="72">
        <f>IF(VLOOKUP($A271,raw_lb[],COLUMN(AN$1)-COLUMN($A$1),FALSE)=0, VLOOKUP($D271, regions_lb[], COLUMN(AN$1)-COLUMN($A$1), FALSE), VLOOKUP($A271,raw_lb[],COLUMN(AN$1)-COLUMN($A$1),FALSE))</f>
        <v>3.7449055426802295E-3</v>
      </c>
      <c r="AN271" s="72">
        <f>IF(VLOOKUP($A271,raw_lb[],COLUMN(AO$1)-COLUMN($A$1),FALSE)=0, VLOOKUP($D271, regions_lb[], COLUMN(AO$1)-COLUMN($A$1), FALSE), VLOOKUP($A271,raw_lb[],COLUMN(AO$1)-COLUMN($A$1),FALSE))</f>
        <v>6.007091962397626E-3</v>
      </c>
      <c r="AO271" s="72">
        <f>IF(VLOOKUP($A271,raw_lb[],COLUMN(AP$1)-COLUMN($A$1),FALSE)=0, VLOOKUP($D271, regions_lb[], COLUMN(AP$1)-COLUMN($A$1), FALSE), VLOOKUP($A271,raw_lb[],COLUMN(AP$1)-COLUMN($A$1),FALSE))</f>
        <v>9.0955191018732076E-3</v>
      </c>
      <c r="AP271" s="72">
        <f>IF(VLOOKUP($A271,raw_lb[],COLUMN(AQ$1)-COLUMN($A$1),FALSE)=0, VLOOKUP($D271, regions_lb[], COLUMN(AQ$1)-COLUMN($A$1), FALSE), VLOOKUP($A271,raw_lb[],COLUMN(AQ$1)-COLUMN($A$1),FALSE))</f>
        <v>1.4162148676533407E-2</v>
      </c>
      <c r="AQ271" s="72">
        <f>IF(VLOOKUP($A271,raw_lb[],COLUMN(AR$1)-COLUMN($A$1),FALSE)=0, VLOOKUP($D271, regions_lb[], COLUMN(AR$1)-COLUMN($A$1), FALSE), VLOOKUP($A271,raw_lb[],COLUMN(AR$1)-COLUMN($A$1),FALSE))</f>
        <v>2.3380143967689275E-2</v>
      </c>
      <c r="AR271" s="72">
        <f>IF(VLOOKUP($A271,raw_lb[],COLUMN(AS$1)-COLUMN($A$1),FALSE)=0, VLOOKUP($D271, regions_lb[], COLUMN(AS$1)-COLUMN($A$1), FALSE), VLOOKUP($A271,raw_lb[],COLUMN(AS$1)-COLUMN($A$1),FALSE))</f>
        <v>3.4589444279285238E-2</v>
      </c>
      <c r="AS271" s="82">
        <f>IF(VLOOKUP($A271,raw_lb[],COLUMN(AS$1),FALSE)=0, VLOOKUP($D271, regions_lb[], COLUMN(AS$1), FALSE), VLOOKUP($A271,raw_lb[],COLUMN(AS$1),FALSE))</f>
        <v>4.9607499944350694E-2</v>
      </c>
      <c r="AT271" s="82">
        <f>IF(VLOOKUP($A271,raw_lb[],COLUMN(AT$1),FALSE)=0, VLOOKUP($D271, regions_lb[], COLUMN(AT$1), FALSE), VLOOKUP($A271,raw_lb[],COLUMN(AT$1),FALSE))</f>
        <v>6.26581931756056E-2</v>
      </c>
      <c r="AU271" s="82">
        <f>IF(VLOOKUP($A271,raw_lb[],COLUMN(AU$1),FALSE)=0, VLOOKUP($D271, regions_lb[], COLUMN(AU$1), FALSE), VLOOKUP($A271,raw_lb[],COLUMN(AU$1),FALSE))</f>
        <v>8.77897852408345E-2</v>
      </c>
      <c r="AV271" s="82">
        <f>IF(VLOOKUP($A271,raw_lb[],COLUMN(AV$1),FALSE)=0, VLOOKUP($D271, regions_lb[], COLUMN(AV$1), FALSE), VLOOKUP($A271,raw_lb[],COLUMN(AV$1),FALSE))</f>
        <v>0.1077313035930639</v>
      </c>
      <c r="AW271" s="82">
        <f>IF(VLOOKUP($A271,raw_lb[],COLUMN(AW$1),FALSE)=0, VLOOKUP($D271, regions_lb[], COLUMN(AW$1), FALSE), VLOOKUP($A271,raw_lb[],COLUMN(AW$1),FALSE))</f>
        <v>0.13792673627131105</v>
      </c>
      <c r="AX271" s="82">
        <f>IF(VLOOKUP($A271,raw_lb[],COLUMN(AX$1),FALSE)=0, VLOOKUP($D271, regions_lb[], COLUMN(AX$1), FALSE), VLOOKUP($A271,raw_lb[],COLUMN(AX$1),FALSE))</f>
        <v>68.5197</v>
      </c>
      <c r="AY271" t="str">
        <f t="shared" si="9"/>
        <v>No</v>
      </c>
    </row>
    <row r="272" spans="1:51" x14ac:dyDescent="0.25">
      <c r="A272" s="53" t="s">
        <v>488</v>
      </c>
      <c r="B272" s="54" t="s">
        <v>489</v>
      </c>
      <c r="C272" s="54">
        <v>704</v>
      </c>
      <c r="D272" s="54" t="s">
        <v>260</v>
      </c>
      <c r="E272" s="54" t="s">
        <v>261</v>
      </c>
      <c r="F272" s="54" t="s">
        <v>262</v>
      </c>
      <c r="G272" s="54" t="s">
        <v>212</v>
      </c>
      <c r="H272" s="73"/>
      <c r="I272" s="73"/>
      <c r="J272" s="67">
        <f>IF(VLOOKUP($A272,raw_lb[],COLUMN(J$1),FALSE)=0, VLOOKUP($D272, regions_lb[], COLUMN(J$1), FALSE), VLOOKUP($A272,raw_lb[],COLUMN(J$1),FALSE))</f>
        <v>0.88919999999999988</v>
      </c>
      <c r="K272" s="77">
        <f>VLOOKUP($A272, raw_lb[], 11, FALSE)</f>
        <v>0.77899999999999991</v>
      </c>
      <c r="L272" s="77">
        <f>VLOOKUP($A272, raw_lb[], 12, FALSE)</f>
        <v>0.8929999999999999</v>
      </c>
      <c r="M272" s="77">
        <f>IF(VLOOKUP($A272,raw_lb[],COLUMN(M$1),FALSE)=0, VLOOKUP($D272, regions_lb[], COLUMN(M$1), FALSE), VLOOKUP($A272,raw_lb[],COLUMN(M$1),FALSE))</f>
        <v>9.11E-2</v>
      </c>
      <c r="N272" s="68">
        <f>IF(VLOOKUP($A272,raw_lb[],COLUMN(N$1),FALSE)=0, VLOOKUP($D272, regions_lb[], COLUMN(N$1), FALSE), VLOOKUP($A272,raw_lb[],COLUMN(N$1),FALSE))</f>
        <v>0.18100000000000002</v>
      </c>
      <c r="O272" s="67">
        <f>IF(VLOOKUP($A272,raw_lb[],COLUMN(O$1),FALSE)=0, VLOOKUP($D272, regions_lb[], COLUMN(O$1), FALSE), VLOOKUP($A272,raw_lb[],COLUMN(O$1),FALSE))</f>
        <v>0.7</v>
      </c>
      <c r="P272" s="68">
        <f>IF(VLOOKUP($A272,raw_lb[],COLUMN(P$1),FALSE)=0, VLOOKUP($D272, regions_lb[], COLUMN(P$1), FALSE), VLOOKUP($A272,raw_lb[],COLUMN(P$1),FALSE))</f>
        <v>0.05</v>
      </c>
      <c r="Q272" s="70">
        <f>IF(VLOOKUP($A272,raw_lb[],COLUMN(Q$1),FALSE)=0, VLOOKUP($D272, regions_lb[], COLUMN(Q$1), FALSE), VLOOKUP($A272,raw_lb[],COLUMN(Q$1),FALSE))</f>
        <v>0.78223625866050805</v>
      </c>
      <c r="R272" s="70">
        <f>IF(VLOOKUP($A272,raw_lb[],COLUMN(R$1),FALSE)=0, VLOOKUP($D272, regions_lb[], COLUMN(R$1), FALSE), VLOOKUP($A272,raw_lb[],COLUMN(R$1),FALSE))</f>
        <v>7.8431362586605093</v>
      </c>
      <c r="S272" s="70">
        <f>IF(VLOOKUP($A272,raw_lb[],COLUMN(S$1),FALSE)=0, VLOOKUP($D272, regions_lb[], COLUMN(S$1), FALSE), VLOOKUP($A272,raw_lb[],COLUMN(S$1),FALSE))</f>
        <v>38.554176264192058</v>
      </c>
      <c r="T272" s="70">
        <f>IF(VLOOKUP($A272,raw_lb[],COLUMN(U$1)-COLUMN($A$1),FALSE)=0, VLOOKUP($D272, regions_lb[], COLUMN(U$1)-COLUMN($A$1), FALSE), VLOOKUP($A272,raw_lb[],COLUMN(U$1)-COLUMN($A$1),FALSE))</f>
        <v>39.330210473512118</v>
      </c>
      <c r="U272" s="70">
        <f>IF(VLOOKUP($A272,raw_lb[],COLUMN(V$1)-COLUMN($A$1),FALSE)=0, VLOOKUP($D272, regions_lb[], COLUMN(V$1)-COLUMN($A$1), FALSE), VLOOKUP($A272,raw_lb[],COLUMN(V$1)-COLUMN($A$1),FALSE))</f>
        <v>38.973871967865833</v>
      </c>
      <c r="V272" s="70">
        <f>IF(VLOOKUP($A272,raw_lb[],COLUMN(W$1)-COLUMN($A$1),FALSE)=0, VLOOKUP($D272, regions_lb[], COLUMN(W$1)-COLUMN($A$1), FALSE), VLOOKUP($A272,raw_lb[],COLUMN(W$1)-COLUMN($A$1),FALSE))</f>
        <v>0.85550519045023354</v>
      </c>
      <c r="W272" s="70">
        <f>IF(VLOOKUP($A272,raw_lb[],COLUMN(X$1)-COLUMN($A$1),FALSE)=0, VLOOKUP($D272, regions_lb[], COLUMN(X$1)-COLUMN($A$1), FALSE), VLOOKUP($A272,raw_lb[],COLUMN(X$1)-COLUMN($A$1),FALSE))</f>
        <v>1.4540051904502334</v>
      </c>
      <c r="X272" s="70">
        <f>IF(VLOOKUP($A272,raw_lb[],COLUMN(Y$1)-COLUMN($A$1),FALSE)=0, VLOOKUP($D272, regions_lb[], COLUMN(Y$1)-COLUMN($A$1), FALSE), VLOOKUP($A272,raw_lb[],COLUMN(Y$1)-COLUMN($A$1),FALSE))</f>
        <v>0.38074820353281713</v>
      </c>
      <c r="Y272" s="70">
        <f>IF(VLOOKUP($A272,raw_lb[],COLUMN(Z$1)-COLUMN($A$1),FALSE)=0, VLOOKUP($D272, regions_lb[], COLUMN(Z$1)-COLUMN($A$1), FALSE), VLOOKUP($A272,raw_lb[],COLUMN(Z$1)-COLUMN($A$1),FALSE))</f>
        <v>0.97924820353281705</v>
      </c>
      <c r="Z272" s="70">
        <f>IF(VLOOKUP($A272,raw_lb[],COLUMN(AA$1)-COLUMN($A$1),FALSE)=0, VLOOKUP($D272, regions_lb[], COLUMN(AA$1)-COLUMN($A$1), FALSE), VLOOKUP($A272,raw_lb[],COLUMN(AA$1)-COLUMN($A$1),FALSE))</f>
        <v>0.97467474844606661</v>
      </c>
      <c r="AA272" s="70">
        <f>IF(VLOOKUP($A272,raw_lb[],COLUMN(AB$1)-COLUMN($A$1),FALSE)=0, VLOOKUP($D272, regions_lb[], COLUMN(AB$1)-COLUMN($A$1), FALSE), VLOOKUP($A272,raw_lb[],COLUMN(AB$1)-COLUMN($A$1),FALSE))</f>
        <v>1.0112906389700074</v>
      </c>
      <c r="AB272" s="70">
        <f>IF(VLOOKUP($A272,raw_lb[],COLUMN(AC$1)-COLUMN($A$1),FALSE)=0, VLOOKUP($D272, regions_lb[], COLUMN(AC$1)-COLUMN($A$1), FALSE), VLOOKUP($A272,raw_lb[],COLUMN(AC$1)-COLUMN($A$1),FALSE))</f>
        <v>1.6097906389700074</v>
      </c>
      <c r="AC272" s="72">
        <f>IF(VLOOKUP($A272,raw_lb[],COLUMN(AD$1)-COLUMN($A$1),FALSE)=0, VLOOKUP($D272, regions_lb[], COLUMN(AD$1)-COLUMN($A$1), FALSE), VLOOKUP($A272,raw_lb[],COLUMN(AD$1)-COLUMN($A$1),FALSE))</f>
        <v>1.5883990499999962E-2</v>
      </c>
      <c r="AD272" s="72">
        <f>IF(VLOOKUP($A272,raw_lb[],COLUMN(AE$1)-COLUMN($A$1),FALSE)=0, VLOOKUP($D272, regions_lb[], COLUMN(AE$1)-COLUMN($A$1), FALSE), VLOOKUP($A272,raw_lb[],COLUMN(AE$1)-COLUMN($A$1),FALSE))</f>
        <v>1.0203070232252516E-3</v>
      </c>
      <c r="AE272" s="72">
        <f>IF(VLOOKUP($A272,raw_lb[],COLUMN(AF$1)-COLUMN($A$1),FALSE)=0, VLOOKUP($D272, regions_lb[], COLUMN(AF$1)-COLUMN($A$1), FALSE), VLOOKUP($A272,raw_lb[],COLUMN(AF$1)-COLUMN($A$1),FALSE))</f>
        <v>4.9386704523004502E-4</v>
      </c>
      <c r="AF272" s="72">
        <f>IF(VLOOKUP($A272,raw_lb[],COLUMN(AG$1)-COLUMN($A$1),FALSE)=0, VLOOKUP($D272, regions_lb[], COLUMN(AG$1)-COLUMN($A$1), FALSE), VLOOKUP($A272,raw_lb[],COLUMN(AG$1)-COLUMN($A$1),FALSE))</f>
        <v>4.4104410708350257E-4</v>
      </c>
      <c r="AG272" s="72">
        <f>IF(VLOOKUP($A272,raw_lb[],COLUMN(AH$1)-COLUMN($A$1),FALSE)=0, VLOOKUP($D272, regions_lb[], COLUMN(AH$1)-COLUMN($A$1), FALSE), VLOOKUP($A272,raw_lb[],COLUMN(AH$1)-COLUMN($A$1),FALSE))</f>
        <v>7.0973736060974389E-4</v>
      </c>
      <c r="AH272" s="72">
        <f>IF(VLOOKUP($A272,raw_lb[],COLUMN(AI$1)-COLUMN($A$1),FALSE)=0, VLOOKUP($D272, regions_lb[], COLUMN(AI$1)-COLUMN($A$1), FALSE), VLOOKUP($A272,raw_lb[],COLUMN(AI$1)-COLUMN($A$1),FALSE))</f>
        <v>1.0402280664262924E-3</v>
      </c>
      <c r="AI272" s="72">
        <f>IF(VLOOKUP($A272,raw_lb[],COLUMN(AJ$1)-COLUMN($A$1),FALSE)=0, VLOOKUP($D272, regions_lb[], COLUMN(AJ$1)-COLUMN($A$1), FALSE), VLOOKUP($A272,raw_lb[],COLUMN(AJ$1)-COLUMN($A$1),FALSE))</f>
        <v>1.2804973969559241E-3</v>
      </c>
      <c r="AJ272" s="72">
        <f>IF(VLOOKUP($A272,raw_lb[],COLUMN(AK$1)-COLUMN($A$1),FALSE)=0, VLOOKUP($D272, regions_lb[], COLUMN(AK$1)-COLUMN($A$1), FALSE), VLOOKUP($A272,raw_lb[],COLUMN(AK$1)-COLUMN($A$1),FALSE))</f>
        <v>1.4953631179947604E-3</v>
      </c>
      <c r="AK272" s="72">
        <f>IF(VLOOKUP($A272,raw_lb[],COLUMN(AL$1)-COLUMN($A$1),FALSE)=0, VLOOKUP($D272, regions_lb[], COLUMN(AL$1)-COLUMN($A$1), FALSE), VLOOKUP($A272,raw_lb[],COLUMN(AL$1)-COLUMN($A$1),FALSE))</f>
        <v>1.8495588319193735E-3</v>
      </c>
      <c r="AL272" s="72">
        <f>IF(VLOOKUP($A272,raw_lb[],COLUMN(AM$1)-COLUMN($A$1),FALSE)=0, VLOOKUP($D272, regions_lb[], COLUMN(AM$1)-COLUMN($A$1), FALSE), VLOOKUP($A272,raw_lb[],COLUMN(AM$1)-COLUMN($A$1),FALSE))</f>
        <v>2.6092304140377409E-3</v>
      </c>
      <c r="AM272" s="72">
        <f>IF(VLOOKUP($A272,raw_lb[],COLUMN(AN$1)-COLUMN($A$1),FALSE)=0, VLOOKUP($D272, regions_lb[], COLUMN(AN$1)-COLUMN($A$1), FALSE), VLOOKUP($A272,raw_lb[],COLUMN(AN$1)-COLUMN($A$1),FALSE))</f>
        <v>3.6543505890498274E-3</v>
      </c>
      <c r="AN272" s="72">
        <f>IF(VLOOKUP($A272,raw_lb[],COLUMN(AO$1)-COLUMN($A$1),FALSE)=0, VLOOKUP($D272, regions_lb[], COLUMN(AO$1)-COLUMN($A$1), FALSE), VLOOKUP($A272,raw_lb[],COLUMN(AO$1)-COLUMN($A$1),FALSE))</f>
        <v>5.7918001541153001E-3</v>
      </c>
      <c r="AO272" s="72">
        <f>IF(VLOOKUP($A272,raw_lb[],COLUMN(AP$1)-COLUMN($A$1),FALSE)=0, VLOOKUP($D272, regions_lb[], COLUMN(AP$1)-COLUMN($A$1), FALSE), VLOOKUP($A272,raw_lb[],COLUMN(AP$1)-COLUMN($A$1),FALSE))</f>
        <v>8.6385789422732777E-3</v>
      </c>
      <c r="AP272" s="72">
        <f>IF(VLOOKUP($A272,raw_lb[],COLUMN(AQ$1)-COLUMN($A$1),FALSE)=0, VLOOKUP($D272, regions_lb[], COLUMN(AQ$1)-COLUMN($A$1), FALSE), VLOOKUP($A272,raw_lb[],COLUMN(AQ$1)-COLUMN($A$1),FALSE))</f>
        <v>1.1751571822323887E-2</v>
      </c>
      <c r="AQ272" s="72">
        <f>IF(VLOOKUP($A272,raw_lb[],COLUMN(AR$1)-COLUMN($A$1),FALSE)=0, VLOOKUP($D272, regions_lb[], COLUMN(AR$1)-COLUMN($A$1), FALSE), VLOOKUP($A272,raw_lb[],COLUMN(AR$1)-COLUMN($A$1),FALSE))</f>
        <v>1.8683240400493382E-2</v>
      </c>
      <c r="AR272" s="72">
        <f>IF(VLOOKUP($A272,raw_lb[],COLUMN(AS$1)-COLUMN($A$1),FALSE)=0, VLOOKUP($D272, regions_lb[], COLUMN(AS$1)-COLUMN($A$1), FALSE), VLOOKUP($A272,raw_lb[],COLUMN(AS$1)-COLUMN($A$1),FALSE))</f>
        <v>2.7144443571962846E-2</v>
      </c>
      <c r="AS272" s="82">
        <f>IF(VLOOKUP($A272,raw_lb[],COLUMN(AS$1),FALSE)=0, VLOOKUP($D272, regions_lb[], COLUMN(AS$1), FALSE), VLOOKUP($A272,raw_lb[],COLUMN(AS$1),FALSE))</f>
        <v>3.9290248675637018E-2</v>
      </c>
      <c r="AT272" s="82">
        <f>IF(VLOOKUP($A272,raw_lb[],COLUMN(AT$1),FALSE)=0, VLOOKUP($D272, regions_lb[], COLUMN(AT$1), FALSE), VLOOKUP($A272,raw_lb[],COLUMN(AT$1),FALSE))</f>
        <v>5.5866357888978764E-2</v>
      </c>
      <c r="AU272" s="82">
        <f>IF(VLOOKUP($A272,raw_lb[],COLUMN(AU$1),FALSE)=0, VLOOKUP($D272, regions_lb[], COLUMN(AU$1), FALSE), VLOOKUP($A272,raw_lb[],COLUMN(AU$1),FALSE))</f>
        <v>7.719858335423703E-2</v>
      </c>
      <c r="AV272" s="82">
        <f>IF(VLOOKUP($A272,raw_lb[],COLUMN(AV$1),FALSE)=0, VLOOKUP($D272, regions_lb[], COLUMN(AV$1), FALSE), VLOOKUP($A272,raw_lb[],COLUMN(AV$1),FALSE))</f>
        <v>0.1021485679020266</v>
      </c>
      <c r="AW272" s="82">
        <f>IF(VLOOKUP($A272,raw_lb[],COLUMN(AW$1),FALSE)=0, VLOOKUP($D272, regions_lb[], COLUMN(AW$1), FALSE), VLOOKUP($A272,raw_lb[],COLUMN(AW$1),FALSE))</f>
        <v>0.12819830636173279</v>
      </c>
      <c r="AX272" s="82">
        <f>IF(VLOOKUP($A272,raw_lb[],COLUMN(AX$1),FALSE)=0, VLOOKUP($D272, regions_lb[], COLUMN(AX$1), FALSE), VLOOKUP($A272,raw_lb[],COLUMN(AX$1),FALSE))</f>
        <v>71.510300000000001</v>
      </c>
      <c r="AY272" t="str">
        <f t="shared" si="9"/>
        <v>No</v>
      </c>
    </row>
    <row r="273" spans="1:51" x14ac:dyDescent="0.25">
      <c r="A273" s="55" t="s">
        <v>490</v>
      </c>
      <c r="B273" s="56" t="s">
        <v>491</v>
      </c>
      <c r="C273" s="56">
        <v>887</v>
      </c>
      <c r="D273" s="56" t="s">
        <v>196</v>
      </c>
      <c r="E273" s="56" t="s">
        <v>197</v>
      </c>
      <c r="F273" s="56" t="s">
        <v>197</v>
      </c>
      <c r="G273" s="56" t="s">
        <v>198</v>
      </c>
      <c r="H273" s="74"/>
      <c r="I273" s="74"/>
      <c r="J273" s="67">
        <f>IF(VLOOKUP($A273,raw_lb[],COLUMN(J$1),FALSE)=0, VLOOKUP($D273, regions_lb[], COLUMN(J$1), FALSE), VLOOKUP($A273,raw_lb[],COLUMN(J$1),FALSE))</f>
        <v>0.28309999999999996</v>
      </c>
      <c r="K273" s="77">
        <f>VLOOKUP($A273, raw_lb[], 11, FALSE)</f>
        <v>0</v>
      </c>
      <c r="L273" s="77">
        <f>VLOOKUP($A273, raw_lb[], 12, FALSE)</f>
        <v>0.68399999999999994</v>
      </c>
      <c r="M273" s="77">
        <f>IF(VLOOKUP($A273,raw_lb[],COLUMN(M$1),FALSE)=0, VLOOKUP($D273, regions_lb[], COLUMN(M$1), FALSE), VLOOKUP($A273,raw_lb[],COLUMN(M$1),FALSE))</f>
        <v>4.5599999999999995E-2</v>
      </c>
      <c r="N273" s="68">
        <f>IF(VLOOKUP($A273,raw_lb[],COLUMN(N$1),FALSE)=0, VLOOKUP($D273, regions_lb[], COLUMN(N$1), FALSE), VLOOKUP($A273,raw_lb[],COLUMN(N$1),FALSE))</f>
        <v>0.14980000000000002</v>
      </c>
      <c r="O273" s="67">
        <f>IF(VLOOKUP($A273,raw_lb[],COLUMN(O$1),FALSE)=0, VLOOKUP($D273, regions_lb[], COLUMN(O$1), FALSE), VLOOKUP($A273,raw_lb[],COLUMN(O$1),FALSE))</f>
        <v>0.7</v>
      </c>
      <c r="P273" s="68">
        <f>IF(VLOOKUP($A273,raw_lb[],COLUMN(P$1),FALSE)=0, VLOOKUP($D273, regions_lb[], COLUMN(P$1), FALSE), VLOOKUP($A273,raw_lb[],COLUMN(P$1),FALSE))</f>
        <v>0.05</v>
      </c>
      <c r="Q273" s="70">
        <f>IF(VLOOKUP($A273,raw_lb[],COLUMN(Q$1),FALSE)=0, VLOOKUP($D273, regions_lb[], COLUMN(Q$1), FALSE), VLOOKUP($A273,raw_lb[],COLUMN(Q$1),FALSE))</f>
        <v>0.955668862275449</v>
      </c>
      <c r="R273" s="70">
        <f>IF(VLOOKUP($A273,raw_lb[],COLUMN(R$1),FALSE)=0, VLOOKUP($D273, regions_lb[], COLUMN(R$1), FALSE), VLOOKUP($A273,raw_lb[],COLUMN(R$1),FALSE))</f>
        <v>8.0165688622754505</v>
      </c>
      <c r="S273" s="70">
        <f>IF(VLOOKUP($A273,raw_lb[],COLUMN(S$1),FALSE)=0, VLOOKUP($D273, regions_lb[], COLUMN(S$1), FALSE), VLOOKUP($A273,raw_lb[],COLUMN(S$1),FALSE))</f>
        <v>39.139320521641359</v>
      </c>
      <c r="T273" s="70">
        <f>IF(VLOOKUP($A273,raw_lb[],COLUMN(U$1)-COLUMN($A$1),FALSE)=0, VLOOKUP($D273, regions_lb[], COLUMN(U$1)-COLUMN($A$1), FALSE), VLOOKUP($A273,raw_lb[],COLUMN(U$1)-COLUMN($A$1),FALSE))</f>
        <v>40.129636256987467</v>
      </c>
      <c r="U273" s="70">
        <f>IF(VLOOKUP($A273,raw_lb[],COLUMN(V$1)-COLUMN($A$1),FALSE)=0, VLOOKUP($D273, regions_lb[], COLUMN(V$1)-COLUMN($A$1), FALSE), VLOOKUP($A273,raw_lb[],COLUMN(V$1)-COLUMN($A$1),FALSE))</f>
        <v>39.67490420392447</v>
      </c>
      <c r="V273" s="70">
        <f>IF(VLOOKUP($A273,raw_lb[],COLUMN(W$1)-COLUMN($A$1),FALSE)=0, VLOOKUP($D273, regions_lb[], COLUMN(W$1)-COLUMN($A$1), FALSE), VLOOKUP($A273,raw_lb[],COLUMN(W$1)-COLUMN($A$1),FALSE))</f>
        <v>0.73251709250917774</v>
      </c>
      <c r="W273" s="70">
        <f>IF(VLOOKUP($A273,raw_lb[],COLUMN(X$1)-COLUMN($A$1),FALSE)=0, VLOOKUP($D273, regions_lb[], COLUMN(X$1)-COLUMN($A$1), FALSE), VLOOKUP($A273,raw_lb[],COLUMN(X$1)-COLUMN($A$1),FALSE))</f>
        <v>1.1885170925091777</v>
      </c>
      <c r="X273" s="70">
        <f>IF(VLOOKUP($A273,raw_lb[],COLUMN(Y$1)-COLUMN($A$1),FALSE)=0, VLOOKUP($D273, regions_lb[], COLUMN(Y$1)-COLUMN($A$1), FALSE), VLOOKUP($A273,raw_lb[],COLUMN(Y$1)-COLUMN($A$1),FALSE))</f>
        <v>0.26172214592043136</v>
      </c>
      <c r="Y273" s="70">
        <f>IF(VLOOKUP($A273,raw_lb[],COLUMN(Z$1)-COLUMN($A$1),FALSE)=0, VLOOKUP($D273, regions_lb[], COLUMN(Z$1)-COLUMN($A$1), FALSE), VLOOKUP($A273,raw_lb[],COLUMN(Z$1)-COLUMN($A$1),FALSE))</f>
        <v>0.71772214592043126</v>
      </c>
      <c r="Z273" s="70">
        <f>IF(VLOOKUP($A273,raw_lb[],COLUMN(AA$1)-COLUMN($A$1),FALSE)=0, VLOOKUP($D273, regions_lb[], COLUMN(AA$1)-COLUMN($A$1), FALSE), VLOOKUP($A273,raw_lb[],COLUMN(AA$1)-COLUMN($A$1),FALSE))</f>
        <v>0.71581445786559161</v>
      </c>
      <c r="AA273" s="70">
        <f>IF(VLOOKUP($A273,raw_lb[],COLUMN(AB$1)-COLUMN($A$1),FALSE)=0, VLOOKUP($D273, regions_lb[], COLUMN(AB$1)-COLUMN($A$1), FALSE), VLOOKUP($A273,raw_lb[],COLUMN(AB$1)-COLUMN($A$1),FALSE))</f>
        <v>0.8760768165861984</v>
      </c>
      <c r="AB273" s="70">
        <f>IF(VLOOKUP($A273,raw_lb[],COLUMN(AC$1)-COLUMN($A$1),FALSE)=0, VLOOKUP($D273, regions_lb[], COLUMN(AC$1)-COLUMN($A$1), FALSE), VLOOKUP($A273,raw_lb[],COLUMN(AC$1)-COLUMN($A$1),FALSE))</f>
        <v>1.3320768165861985</v>
      </c>
      <c r="AC273" s="72">
        <f>IF(VLOOKUP($A273,raw_lb[],COLUMN(AD$1)-COLUMN($A$1),FALSE)=0, VLOOKUP($D273, regions_lb[], COLUMN(AD$1)-COLUMN($A$1), FALSE), VLOOKUP($A273,raw_lb[],COLUMN(AD$1)-COLUMN($A$1),FALSE))</f>
        <v>4.1081628999999974E-2</v>
      </c>
      <c r="AD273" s="72">
        <f>IF(VLOOKUP($A273,raw_lb[],COLUMN(AE$1)-COLUMN($A$1),FALSE)=0, VLOOKUP($D273, regions_lb[], COLUMN(AE$1)-COLUMN($A$1), FALSE), VLOOKUP($A273,raw_lb[],COLUMN(AE$1)-COLUMN($A$1),FALSE))</f>
        <v>3.0284697246481256E-3</v>
      </c>
      <c r="AE273" s="72">
        <f>IF(VLOOKUP($A273,raw_lb[],COLUMN(AF$1)-COLUMN($A$1),FALSE)=0, VLOOKUP($D273, regions_lb[], COLUMN(AF$1)-COLUMN($A$1), FALSE), VLOOKUP($A273,raw_lb[],COLUMN(AF$1)-COLUMN($A$1),FALSE))</f>
        <v>1.0217349175059675E-3</v>
      </c>
      <c r="AF273" s="72">
        <f>IF(VLOOKUP($A273,raw_lb[],COLUMN(AG$1)-COLUMN($A$1),FALSE)=0, VLOOKUP($D273, regions_lb[], COLUMN(AG$1)-COLUMN($A$1), FALSE), VLOOKUP($A273,raw_lb[],COLUMN(AG$1)-COLUMN($A$1),FALSE))</f>
        <v>7.8833041903378473E-4</v>
      </c>
      <c r="AG273" s="72">
        <f>IF(VLOOKUP($A273,raw_lb[],COLUMN(AH$1)-COLUMN($A$1),FALSE)=0, VLOOKUP($D273, regions_lb[], COLUMN(AH$1)-COLUMN($A$1), FALSE), VLOOKUP($A273,raw_lb[],COLUMN(AH$1)-COLUMN($A$1),FALSE))</f>
        <v>1.3740788642957232E-3</v>
      </c>
      <c r="AH273" s="72">
        <f>IF(VLOOKUP($A273,raw_lb[],COLUMN(AI$1)-COLUMN($A$1),FALSE)=0, VLOOKUP($D273, regions_lb[], COLUMN(AI$1)-COLUMN($A$1), FALSE), VLOOKUP($A273,raw_lb[],COLUMN(AI$1)-COLUMN($A$1),FALSE))</f>
        <v>1.7924377774954094E-3</v>
      </c>
      <c r="AI273" s="72">
        <f>IF(VLOOKUP($A273,raw_lb[],COLUMN(AJ$1)-COLUMN($A$1),FALSE)=0, VLOOKUP($D273, regions_lb[], COLUMN(AJ$1)-COLUMN($A$1), FALSE), VLOOKUP($A273,raw_lb[],COLUMN(AJ$1)-COLUMN($A$1),FALSE))</f>
        <v>1.9179698154563108E-3</v>
      </c>
      <c r="AJ273" s="72">
        <f>IF(VLOOKUP($A273,raw_lb[],COLUMN(AK$1)-COLUMN($A$1),FALSE)=0, VLOOKUP($D273, regions_lb[], COLUMN(AK$1)-COLUMN($A$1), FALSE), VLOOKUP($A273,raw_lb[],COLUMN(AK$1)-COLUMN($A$1),FALSE))</f>
        <v>2.2407250634064479E-3</v>
      </c>
      <c r="AK273" s="72">
        <f>IF(VLOOKUP($A273,raw_lb[],COLUMN(AL$1)-COLUMN($A$1),FALSE)=0, VLOOKUP($D273, regions_lb[], COLUMN(AL$1)-COLUMN($A$1), FALSE), VLOOKUP($A273,raw_lb[],COLUMN(AL$1)-COLUMN($A$1),FALSE))</f>
        <v>2.9014087145475781E-3</v>
      </c>
      <c r="AL273" s="72">
        <f>IF(VLOOKUP($A273,raw_lb[],COLUMN(AM$1)-COLUMN($A$1),FALSE)=0, VLOOKUP($D273, regions_lb[], COLUMN(AM$1)-COLUMN($A$1), FALSE), VLOOKUP($A273,raw_lb[],COLUMN(AM$1)-COLUMN($A$1),FALSE))</f>
        <v>3.948247440033182E-3</v>
      </c>
      <c r="AM273" s="72">
        <f>IF(VLOOKUP($A273,raw_lb[],COLUMN(AN$1)-COLUMN($A$1),FALSE)=0, VLOOKUP($D273, regions_lb[], COLUMN(AN$1)-COLUMN($A$1), FALSE), VLOOKUP($A273,raw_lb[],COLUMN(AN$1)-COLUMN($A$1),FALSE))</f>
        <v>5.6927906001906772E-3</v>
      </c>
      <c r="AN273" s="72">
        <f>IF(VLOOKUP($A273,raw_lb[],COLUMN(AO$1)-COLUMN($A$1),FALSE)=0, VLOOKUP($D273, regions_lb[], COLUMN(AO$1)-COLUMN($A$1), FALSE), VLOOKUP($A273,raw_lb[],COLUMN(AO$1)-COLUMN($A$1),FALSE))</f>
        <v>8.4230159640559712E-3</v>
      </c>
      <c r="AO273" s="72">
        <f>IF(VLOOKUP($A273,raw_lb[],COLUMN(AP$1)-COLUMN($A$1),FALSE)=0, VLOOKUP($D273, regions_lb[], COLUMN(AP$1)-COLUMN($A$1), FALSE), VLOOKUP($A273,raw_lb[],COLUMN(AP$1)-COLUMN($A$1),FALSE))</f>
        <v>1.268259585878161E-2</v>
      </c>
      <c r="AP273" s="72">
        <f>IF(VLOOKUP($A273,raw_lb[],COLUMN(AQ$1)-COLUMN($A$1),FALSE)=0, VLOOKUP($D273, regions_lb[], COLUMN(AQ$1)-COLUMN($A$1), FALSE), VLOOKUP($A273,raw_lb[],COLUMN(AQ$1)-COLUMN($A$1),FALSE))</f>
        <v>1.9683276279434808E-2</v>
      </c>
      <c r="AQ273" s="72">
        <f>IF(VLOOKUP($A273,raw_lb[],COLUMN(AR$1)-COLUMN($A$1),FALSE)=0, VLOOKUP($D273, regions_lb[], COLUMN(AR$1)-COLUMN($A$1), FALSE), VLOOKUP($A273,raw_lb[],COLUMN(AR$1)-COLUMN($A$1),FALSE))</f>
        <v>3.0335219645900188E-2</v>
      </c>
      <c r="AR273" s="72">
        <f>IF(VLOOKUP($A273,raw_lb[],COLUMN(AS$1)-COLUMN($A$1),FALSE)=0, VLOOKUP($D273, regions_lb[], COLUMN(AS$1)-COLUMN($A$1), FALSE), VLOOKUP($A273,raw_lb[],COLUMN(AS$1)-COLUMN($A$1),FALSE))</f>
        <v>4.6816352013042906E-2</v>
      </c>
      <c r="AS273" s="82">
        <f>IF(VLOOKUP($A273,raw_lb[],COLUMN(AS$1),FALSE)=0, VLOOKUP($D273, regions_lb[], COLUMN(AS$1), FALSE), VLOOKUP($A273,raw_lb[],COLUMN(AS$1),FALSE))</f>
        <v>7.0207646872193635E-2</v>
      </c>
      <c r="AT273" s="82">
        <f>IF(VLOOKUP($A273,raw_lb[],COLUMN(AT$1),FALSE)=0, VLOOKUP($D273, regions_lb[], COLUMN(AT$1), FALSE), VLOOKUP($A273,raw_lb[],COLUMN(AT$1),FALSE))</f>
        <v>9.8538052067531065E-2</v>
      </c>
      <c r="AU273" s="82">
        <f>IF(VLOOKUP($A273,raw_lb[],COLUMN(AU$1),FALSE)=0, VLOOKUP($D273, regions_lb[], COLUMN(AU$1), FALSE), VLOOKUP($A273,raw_lb[],COLUMN(AU$1),FALSE))</f>
        <v>0.12614008983812502</v>
      </c>
      <c r="AV273" s="82">
        <f>IF(VLOOKUP($A273,raw_lb[],COLUMN(AV$1),FALSE)=0, VLOOKUP($D273, regions_lb[], COLUMN(AV$1), FALSE), VLOOKUP($A273,raw_lb[],COLUMN(AV$1),FALSE))</f>
        <v>0.15042408475440117</v>
      </c>
      <c r="AW273" s="82">
        <f>IF(VLOOKUP($A273,raw_lb[],COLUMN(AW$1),FALSE)=0, VLOOKUP($D273, regions_lb[], COLUMN(AW$1), FALSE), VLOOKUP($A273,raw_lb[],COLUMN(AW$1),FALSE))</f>
        <v>0.1683456284203991</v>
      </c>
      <c r="AX273" s="82">
        <f>IF(VLOOKUP($A273,raw_lb[],COLUMN(AX$1),FALSE)=0, VLOOKUP($D273, regions_lb[], COLUMN(AX$1), FALSE), VLOOKUP($A273,raw_lb[],COLUMN(AX$1),FALSE))</f>
        <v>62.731349999999999</v>
      </c>
      <c r="AY273" t="str">
        <f t="shared" si="9"/>
        <v>Yes</v>
      </c>
    </row>
    <row r="274" spans="1:51" x14ac:dyDescent="0.25">
      <c r="A274" s="53" t="s">
        <v>492</v>
      </c>
      <c r="B274" s="54" t="s">
        <v>493</v>
      </c>
      <c r="C274" s="54">
        <v>894</v>
      </c>
      <c r="D274" s="54" t="s">
        <v>207</v>
      </c>
      <c r="E274" s="54" t="s">
        <v>255</v>
      </c>
      <c r="F274" s="54" t="s">
        <v>211</v>
      </c>
      <c r="G274" s="54" t="s">
        <v>212</v>
      </c>
      <c r="H274" s="73"/>
      <c r="I274" s="73"/>
      <c r="J274" s="67">
        <f>IF(VLOOKUP($A274,raw_lb[],COLUMN(J$1),FALSE)=0, VLOOKUP($D274, regions_lb[], COLUMN(J$1), FALSE), VLOOKUP($A274,raw_lb[],COLUMN(J$1),FALSE))</f>
        <v>0.79609999999999992</v>
      </c>
      <c r="K274" s="77">
        <f>VLOOKUP($A274, raw_lb[], 11, FALSE)</f>
        <v>0.8929999999999999</v>
      </c>
      <c r="L274" s="77">
        <f>VLOOKUP($A274, raw_lb[], 12, FALSE)</f>
        <v>0.79799999999999993</v>
      </c>
      <c r="M274" s="77">
        <f>IF(VLOOKUP($A274,raw_lb[],COLUMN(M$1),FALSE)=0, VLOOKUP($D274, regions_lb[], COLUMN(M$1), FALSE), VLOOKUP($A274,raw_lb[],COLUMN(M$1),FALSE))</f>
        <v>4.3400000000000001E-2</v>
      </c>
      <c r="N274" s="68">
        <f>IF(VLOOKUP($A274,raw_lb[],COLUMN(N$1),FALSE)=0, VLOOKUP($D274, regions_lb[], COLUMN(N$1), FALSE), VLOOKUP($A274,raw_lb[],COLUMN(N$1),FALSE))</f>
        <v>0.15560000000000002</v>
      </c>
      <c r="O274" s="67">
        <f>IF(VLOOKUP($A274,raw_lb[],COLUMN(O$1),FALSE)=0, VLOOKUP($D274, regions_lb[], COLUMN(O$1), FALSE), VLOOKUP($A274,raw_lb[],COLUMN(O$1),FALSE))</f>
        <v>7.0000000000000007E-2</v>
      </c>
      <c r="P274" s="68">
        <f>IF(VLOOKUP($A274,raw_lb[],COLUMN(P$1),FALSE)=0, VLOOKUP($D274, regions_lb[], COLUMN(P$1), FALSE), VLOOKUP($A274,raw_lb[],COLUMN(P$1),FALSE))</f>
        <v>1E-3</v>
      </c>
      <c r="Q274" s="70">
        <f>IF(VLOOKUP($A274,raw_lb[],COLUMN(Q$1),FALSE)=0, VLOOKUP($D274, regions_lb[], COLUMN(Q$1), FALSE), VLOOKUP($A274,raw_lb[],COLUMN(Q$1),FALSE))</f>
        <v>0.73688294573643409</v>
      </c>
      <c r="R274" s="70">
        <f>IF(VLOOKUP($A274,raw_lb[],COLUMN(R$1),FALSE)=0, VLOOKUP($D274, regions_lb[], COLUMN(R$1), FALSE), VLOOKUP($A274,raw_lb[],COLUMN(R$1),FALSE))</f>
        <v>7.7977829457364347</v>
      </c>
      <c r="S274" s="70">
        <f>IF(VLOOKUP($A274,raw_lb[],COLUMN(S$1),FALSE)=0, VLOOKUP($D274, regions_lb[], COLUMN(S$1), FALSE), VLOOKUP($A274,raw_lb[],COLUMN(S$1),FALSE))</f>
        <v>37.905315957372409</v>
      </c>
      <c r="T274" s="70">
        <f>IF(VLOOKUP($A274,raw_lb[],COLUMN(U$1)-COLUMN($A$1),FALSE)=0, VLOOKUP($D274, regions_lb[], COLUMN(U$1)-COLUMN($A$1), FALSE), VLOOKUP($A274,raw_lb[],COLUMN(U$1)-COLUMN($A$1),FALSE))</f>
        <v>38.367245869631759</v>
      </c>
      <c r="U274" s="70">
        <f>IF(VLOOKUP($A274,raw_lb[],COLUMN(V$1)-COLUMN($A$1),FALSE)=0, VLOOKUP($D274, regions_lb[], COLUMN(V$1)-COLUMN($A$1), FALSE), VLOOKUP($A274,raw_lb[],COLUMN(V$1)-COLUMN($A$1),FALSE))</f>
        <v>38.15513741787673</v>
      </c>
      <c r="V274" s="70">
        <f>IF(VLOOKUP($A274,raw_lb[],COLUMN(W$1)-COLUMN($A$1),FALSE)=0, VLOOKUP($D274, regions_lb[], COLUMN(W$1)-COLUMN($A$1), FALSE), VLOOKUP($A274,raw_lb[],COLUMN(W$1)-COLUMN($A$1),FALSE))</f>
        <v>1.4839065212662086</v>
      </c>
      <c r="W274" s="70">
        <f>IF(VLOOKUP($A274,raw_lb[],COLUMN(X$1)-COLUMN($A$1),FALSE)=0, VLOOKUP($D274, regions_lb[], COLUMN(X$1)-COLUMN($A$1), FALSE), VLOOKUP($A274,raw_lb[],COLUMN(X$1)-COLUMN($A$1),FALSE))</f>
        <v>6.0724065212662079</v>
      </c>
      <c r="X274" s="70">
        <f>IF(VLOOKUP($A274,raw_lb[],COLUMN(Y$1)-COLUMN($A$1),FALSE)=0, VLOOKUP($D274, regions_lb[], COLUMN(Y$1)-COLUMN($A$1), FALSE), VLOOKUP($A274,raw_lb[],COLUMN(Y$1)-COLUMN($A$1),FALSE))</f>
        <v>1.0135021628363319</v>
      </c>
      <c r="Y274" s="70">
        <f>IF(VLOOKUP($A274,raw_lb[],COLUMN(Z$1)-COLUMN($A$1),FALSE)=0, VLOOKUP($D274, regions_lb[], COLUMN(Z$1)-COLUMN($A$1), FALSE), VLOOKUP($A274,raw_lb[],COLUMN(Z$1)-COLUMN($A$1),FALSE))</f>
        <v>5.6020021628363317</v>
      </c>
      <c r="Z274" s="70">
        <f>IF(VLOOKUP($A274,raw_lb[],COLUMN(AA$1)-COLUMN($A$1),FALSE)=0, VLOOKUP($D274, regions_lb[], COLUMN(AA$1)-COLUMN($A$1), FALSE), VLOOKUP($A274,raw_lb[],COLUMN(AA$1)-COLUMN($A$1),FALSE))</f>
        <v>5.6003123193259974</v>
      </c>
      <c r="AA274" s="70">
        <f>IF(VLOOKUP($A274,raw_lb[],COLUMN(AB$1)-COLUMN($A$1),FALSE)=0, VLOOKUP($D274, regions_lb[], COLUMN(AB$1)-COLUMN($A$1), FALSE), VLOOKUP($A274,raw_lb[],COLUMN(AB$1)-COLUMN($A$1),FALSE))</f>
        <v>1.6262610018815742</v>
      </c>
      <c r="AB274" s="70">
        <f>IF(VLOOKUP($A274,raw_lb[],COLUMN(AC$1)-COLUMN($A$1),FALSE)=0, VLOOKUP($D274, regions_lb[], COLUMN(AC$1)-COLUMN($A$1), FALSE), VLOOKUP($A274,raw_lb[],COLUMN(AC$1)-COLUMN($A$1),FALSE))</f>
        <v>6.2147610018815742</v>
      </c>
      <c r="AC274" s="72">
        <f>IF(VLOOKUP($A274,raw_lb[],COLUMN(AD$1)-COLUMN($A$1),FALSE)=0, VLOOKUP($D274, regions_lb[], COLUMN(AD$1)-COLUMN($A$1), FALSE), VLOOKUP($A274,raw_lb[],COLUMN(AD$1)-COLUMN($A$1),FALSE))</f>
        <v>4.3340776500000046E-2</v>
      </c>
      <c r="AD274" s="72">
        <f>IF(VLOOKUP($A274,raw_lb[],COLUMN(AE$1)-COLUMN($A$1),FALSE)=0, VLOOKUP($D274, regions_lb[], COLUMN(AE$1)-COLUMN($A$1), FALSE), VLOOKUP($A274,raw_lb[],COLUMN(AE$1)-COLUMN($A$1),FALSE))</f>
        <v>3.7605418252825815E-3</v>
      </c>
      <c r="AE274" s="72">
        <f>IF(VLOOKUP($A274,raw_lb[],COLUMN(AF$1)-COLUMN($A$1),FALSE)=0, VLOOKUP($D274, regions_lb[], COLUMN(AF$1)-COLUMN($A$1), FALSE), VLOOKUP($A274,raw_lb[],COLUMN(AF$1)-COLUMN($A$1),FALSE))</f>
        <v>1.1004370388370383E-3</v>
      </c>
      <c r="AF274" s="72">
        <f>IF(VLOOKUP($A274,raw_lb[],COLUMN(AG$1)-COLUMN($A$1),FALSE)=0, VLOOKUP($D274, regions_lb[], COLUMN(AG$1)-COLUMN($A$1), FALSE), VLOOKUP($A274,raw_lb[],COLUMN(AG$1)-COLUMN($A$1),FALSE))</f>
        <v>8.6896987365813838E-4</v>
      </c>
      <c r="AG274" s="72">
        <f>IF(VLOOKUP($A274,raw_lb[],COLUMN(AH$1)-COLUMN($A$1),FALSE)=0, VLOOKUP($D274, regions_lb[], COLUMN(AH$1)-COLUMN($A$1), FALSE), VLOOKUP($A274,raw_lb[],COLUMN(AH$1)-COLUMN($A$1),FALSE))</f>
        <v>1.4548794029285203E-3</v>
      </c>
      <c r="AH274" s="72">
        <f>IF(VLOOKUP($A274,raw_lb[],COLUMN(AI$1)-COLUMN($A$1),FALSE)=0, VLOOKUP($D274, regions_lb[], COLUMN(AI$1)-COLUMN($A$1), FALSE), VLOOKUP($A274,raw_lb[],COLUMN(AI$1)-COLUMN($A$1),FALSE))</f>
        <v>2.3504613410882439E-3</v>
      </c>
      <c r="AI274" s="72">
        <f>IF(VLOOKUP($A274,raw_lb[],COLUMN(AJ$1)-COLUMN($A$1),FALSE)=0, VLOOKUP($D274, regions_lb[], COLUMN(AJ$1)-COLUMN($A$1), FALSE), VLOOKUP($A274,raw_lb[],COLUMN(AJ$1)-COLUMN($A$1),FALSE))</f>
        <v>3.3165462631138507E-3</v>
      </c>
      <c r="AJ274" s="72">
        <f>IF(VLOOKUP($A274,raw_lb[],COLUMN(AK$1)-COLUMN($A$1),FALSE)=0, VLOOKUP($D274, regions_lb[], COLUMN(AK$1)-COLUMN($A$1), FALSE), VLOOKUP($A274,raw_lb[],COLUMN(AK$1)-COLUMN($A$1),FALSE))</f>
        <v>4.3709053443895573E-3</v>
      </c>
      <c r="AK274" s="72">
        <f>IF(VLOOKUP($A274,raw_lb[],COLUMN(AL$1)-COLUMN($A$1),FALSE)=0, VLOOKUP($D274, regions_lb[], COLUMN(AL$1)-COLUMN($A$1), FALSE), VLOOKUP($A274,raw_lb[],COLUMN(AL$1)-COLUMN($A$1),FALSE))</f>
        <v>5.8631832797427456E-3</v>
      </c>
      <c r="AL274" s="72">
        <f>IF(VLOOKUP($A274,raw_lb[],COLUMN(AM$1)-COLUMN($A$1),FALSE)=0, VLOOKUP($D274, regions_lb[], COLUMN(AM$1)-COLUMN($A$1), FALSE), VLOOKUP($A274,raw_lb[],COLUMN(AM$1)-COLUMN($A$1),FALSE))</f>
        <v>7.2210944944111144E-3</v>
      </c>
      <c r="AM274" s="72">
        <f>IF(VLOOKUP($A274,raw_lb[],COLUMN(AN$1)-COLUMN($A$1),FALSE)=0, VLOOKUP($D274, regions_lb[], COLUMN(AN$1)-COLUMN($A$1), FALSE), VLOOKUP($A274,raw_lb[],COLUMN(AN$1)-COLUMN($A$1),FALSE))</f>
        <v>8.8788567277421175E-3</v>
      </c>
      <c r="AN274" s="72">
        <f>IF(VLOOKUP($A274,raw_lb[],COLUMN(AO$1)-COLUMN($A$1),FALSE)=0, VLOOKUP($D274, regions_lb[], COLUMN(AO$1)-COLUMN($A$1), FALSE), VLOOKUP($A274,raw_lb[],COLUMN(AO$1)-COLUMN($A$1),FALSE))</f>
        <v>1.1551399926006668E-2</v>
      </c>
      <c r="AO274" s="72">
        <f>IF(VLOOKUP($A274,raw_lb[],COLUMN(AP$1)-COLUMN($A$1),FALSE)=0, VLOOKUP($D274, regions_lb[], COLUMN(AP$1)-COLUMN($A$1), FALSE), VLOOKUP($A274,raw_lb[],COLUMN(AP$1)-COLUMN($A$1),FALSE))</f>
        <v>1.4622247637873467E-2</v>
      </c>
      <c r="AP274" s="72">
        <f>IF(VLOOKUP($A274,raw_lb[],COLUMN(AQ$1)-COLUMN($A$1),FALSE)=0, VLOOKUP($D274, regions_lb[], COLUMN(AQ$1)-COLUMN($A$1), FALSE), VLOOKUP($A274,raw_lb[],COLUMN(AQ$1)-COLUMN($A$1),FALSE))</f>
        <v>2.0323138769751201E-2</v>
      </c>
      <c r="AQ274" s="72">
        <f>IF(VLOOKUP($A274,raw_lb[],COLUMN(AR$1)-COLUMN($A$1),FALSE)=0, VLOOKUP($D274, regions_lb[], COLUMN(AR$1)-COLUMN($A$1), FALSE), VLOOKUP($A274,raw_lb[],COLUMN(AR$1)-COLUMN($A$1),FALSE))</f>
        <v>2.9586628177515433E-2</v>
      </c>
      <c r="AR274" s="72">
        <f>IF(VLOOKUP($A274,raw_lb[],COLUMN(AS$1)-COLUMN($A$1),FALSE)=0, VLOOKUP($D274, regions_lb[], COLUMN(AS$1)-COLUMN($A$1), FALSE), VLOOKUP($A274,raw_lb[],COLUMN(AS$1)-COLUMN($A$1),FALSE))</f>
        <v>4.4001636446974732E-2</v>
      </c>
      <c r="AS274" s="82">
        <f>IF(VLOOKUP($A274,raw_lb[],COLUMN(AS$1),FALSE)=0, VLOOKUP($D274, regions_lb[], COLUMN(AS$1), FALSE), VLOOKUP($A274,raw_lb[],COLUMN(AS$1),FALSE))</f>
        <v>6.5254320580574621E-2</v>
      </c>
      <c r="AT274" s="82">
        <f>IF(VLOOKUP($A274,raw_lb[],COLUMN(AT$1),FALSE)=0, VLOOKUP($D274, regions_lb[], COLUMN(AT$1), FALSE), VLOOKUP($A274,raw_lb[],COLUMN(AT$1),FALSE))</f>
        <v>9.6787662705936028E-2</v>
      </c>
      <c r="AU274" s="82">
        <f>IF(VLOOKUP($A274,raw_lb[],COLUMN(AU$1),FALSE)=0, VLOOKUP($D274, regions_lb[], COLUMN(AU$1), FALSE), VLOOKUP($A274,raw_lb[],COLUMN(AU$1),FALSE))</f>
        <v>0.13442612932484865</v>
      </c>
      <c r="AV274" s="82">
        <f>IF(VLOOKUP($A274,raw_lb[],COLUMN(AV$1),FALSE)=0, VLOOKUP($D274, regions_lb[], COLUMN(AV$1), FALSE), VLOOKUP($A274,raw_lb[],COLUMN(AV$1),FALSE))</f>
        <v>0.16608537688153641</v>
      </c>
      <c r="AW274" s="82">
        <f>IF(VLOOKUP($A274,raw_lb[],COLUMN(AW$1),FALSE)=0, VLOOKUP($D274, regions_lb[], COLUMN(AW$1), FALSE), VLOOKUP($A274,raw_lb[],COLUMN(AW$1),FALSE))</f>
        <v>0.17807340063957888</v>
      </c>
      <c r="AX274" s="82">
        <f>IF(VLOOKUP($A274,raw_lb[],COLUMN(AX$1),FALSE)=0, VLOOKUP($D274, regions_lb[], COLUMN(AX$1), FALSE), VLOOKUP($A274,raw_lb[],COLUMN(AX$1),FALSE))</f>
        <v>60.095100000000002</v>
      </c>
      <c r="AY274" t="str">
        <f t="shared" si="9"/>
        <v>No</v>
      </c>
    </row>
    <row r="275" spans="1:51" x14ac:dyDescent="0.25">
      <c r="A275" s="55" t="s">
        <v>494</v>
      </c>
      <c r="B275" s="56" t="s">
        <v>495</v>
      </c>
      <c r="C275" s="56">
        <v>716</v>
      </c>
      <c r="D275" s="56" t="s">
        <v>207</v>
      </c>
      <c r="E275" s="56" t="s">
        <v>245</v>
      </c>
      <c r="F275" s="56" t="s">
        <v>211</v>
      </c>
      <c r="G275" s="56" t="s">
        <v>212</v>
      </c>
      <c r="H275" s="74"/>
      <c r="I275" s="74"/>
      <c r="J275" s="67">
        <f>IF(VLOOKUP($A275,raw_lb[],COLUMN(J$1),FALSE)=0, VLOOKUP($D275, regions_lb[], COLUMN(J$1), FALSE), VLOOKUP($A275,raw_lb[],COLUMN(J$1),FALSE))</f>
        <v>0.81224999999999992</v>
      </c>
      <c r="K275" s="77">
        <f>VLOOKUP($A275, raw_lb[], 11, FALSE)</f>
        <v>0</v>
      </c>
      <c r="L275" s="77">
        <f>VLOOKUP($A275, raw_lb[], 12, FALSE)</f>
        <v>0.81699999999999995</v>
      </c>
      <c r="M275" s="77">
        <f>IF(VLOOKUP($A275,raw_lb[],COLUMN(M$1),FALSE)=0, VLOOKUP($D275, regions_lb[], COLUMN(M$1), FALSE), VLOOKUP($A275,raw_lb[],COLUMN(M$1),FALSE))</f>
        <v>8.8699999999999987E-2</v>
      </c>
      <c r="N275" s="68">
        <f>IF(VLOOKUP($A275,raw_lb[],COLUMN(N$1),FALSE)=0, VLOOKUP($D275, regions_lb[], COLUMN(N$1), FALSE), VLOOKUP($A275,raw_lb[],COLUMN(N$1),FALSE))</f>
        <v>0.15109999999999998</v>
      </c>
      <c r="O275" s="67">
        <f>IF(VLOOKUP($A275,raw_lb[],COLUMN(O$1),FALSE)=0, VLOOKUP($D275, regions_lb[], COLUMN(O$1), FALSE), VLOOKUP($A275,raw_lb[],COLUMN(O$1),FALSE))</f>
        <v>7.0000000000000007E-2</v>
      </c>
      <c r="P275" s="68">
        <f>IF(VLOOKUP($A275,raw_lb[],COLUMN(P$1),FALSE)=0, VLOOKUP($D275, regions_lb[], COLUMN(P$1), FALSE), VLOOKUP($A275,raw_lb[],COLUMN(P$1),FALSE))</f>
        <v>1E-3</v>
      </c>
      <c r="Q275" s="70">
        <f>IF(VLOOKUP($A275,raw_lb[],COLUMN(Q$1),FALSE)=0, VLOOKUP($D275, regions_lb[], COLUMN(Q$1), FALSE), VLOOKUP($A275,raw_lb[],COLUMN(Q$1),FALSE))</f>
        <v>0.9410219132628217</v>
      </c>
      <c r="R275" s="70">
        <f>IF(VLOOKUP($A275,raw_lb[],COLUMN(R$1),FALSE)=0, VLOOKUP($D275, regions_lb[], COLUMN(R$1), FALSE), VLOOKUP($A275,raw_lb[],COLUMN(R$1),FALSE))</f>
        <v>8.0019219132628212</v>
      </c>
      <c r="S275" s="70">
        <f>IF(VLOOKUP($A275,raw_lb[],COLUMN(S$1),FALSE)=0, VLOOKUP($D275, regions_lb[], COLUMN(S$1), FALSE), VLOOKUP($A275,raw_lb[],COLUMN(S$1),FALSE))</f>
        <v>39.586728264144917</v>
      </c>
      <c r="T275" s="70">
        <f>IF(VLOOKUP($A275,raw_lb[],COLUMN(U$1)-COLUMN($A$1),FALSE)=0, VLOOKUP($D275, regions_lb[], COLUMN(U$1)-COLUMN($A$1), FALSE), VLOOKUP($A275,raw_lb[],COLUMN(U$1)-COLUMN($A$1),FALSE))</f>
        <v>40.817527317083545</v>
      </c>
      <c r="U275" s="70">
        <f>IF(VLOOKUP($A275,raw_lb[],COLUMN(V$1)-COLUMN($A$1),FALSE)=0, VLOOKUP($D275, regions_lb[], COLUMN(V$1)-COLUMN($A$1), FALSE), VLOOKUP($A275,raw_lb[],COLUMN(V$1)-COLUMN($A$1),FALSE))</f>
        <v>40.252370407751819</v>
      </c>
      <c r="V275" s="70">
        <f>IF(VLOOKUP($A275,raw_lb[],COLUMN(W$1)-COLUMN($A$1),FALSE)=0, VLOOKUP($D275, regions_lb[], COLUMN(W$1)-COLUMN($A$1), FALSE), VLOOKUP($A275,raw_lb[],COLUMN(W$1)-COLUMN($A$1),FALSE))</f>
        <v>1.5775178655842947</v>
      </c>
      <c r="W275" s="70">
        <f>IF(VLOOKUP($A275,raw_lb[],COLUMN(X$1)-COLUMN($A$1),FALSE)=0, VLOOKUP($D275, regions_lb[], COLUMN(X$1)-COLUMN($A$1), FALSE), VLOOKUP($A275,raw_lb[],COLUMN(X$1)-COLUMN($A$1),FALSE))</f>
        <v>6.1660178655842941</v>
      </c>
      <c r="X275" s="70">
        <f>IF(VLOOKUP($A275,raw_lb[],COLUMN(Y$1)-COLUMN($A$1),FALSE)=0, VLOOKUP($D275, regions_lb[], COLUMN(Y$1)-COLUMN($A$1), FALSE), VLOOKUP($A275,raw_lb[],COLUMN(Y$1)-COLUMN($A$1),FALSE))</f>
        <v>1.1067604830234412</v>
      </c>
      <c r="Y275" s="70">
        <f>IF(VLOOKUP($A275,raw_lb[],COLUMN(Z$1)-COLUMN($A$1),FALSE)=0, VLOOKUP($D275, regions_lb[], COLUMN(Z$1)-COLUMN($A$1), FALSE), VLOOKUP($A275,raw_lb[],COLUMN(Z$1)-COLUMN($A$1),FALSE))</f>
        <v>5.695260483023441</v>
      </c>
      <c r="Z275" s="70">
        <f>IF(VLOOKUP($A275,raw_lb[],COLUMN(AA$1)-COLUMN($A$1),FALSE)=0, VLOOKUP($D275, regions_lb[], COLUMN(AA$1)-COLUMN($A$1), FALSE), VLOOKUP($A275,raw_lb[],COLUMN(AA$1)-COLUMN($A$1),FALSE))</f>
        <v>5.6934910922596949</v>
      </c>
      <c r="AA275" s="70">
        <f>IF(VLOOKUP($A275,raw_lb[],COLUMN(AB$1)-COLUMN($A$1),FALSE)=0, VLOOKUP($D275, regions_lb[], COLUMN(AB$1)-COLUMN($A$1), FALSE), VLOOKUP($A275,raw_lb[],COLUMN(AB$1)-COLUMN($A$1),FALSE))</f>
        <v>1.7209616778038164</v>
      </c>
      <c r="AB275" s="70">
        <f>IF(VLOOKUP($A275,raw_lb[],COLUMN(AC$1)-COLUMN($A$1),FALSE)=0, VLOOKUP($D275, regions_lb[], COLUMN(AC$1)-COLUMN($A$1), FALSE), VLOOKUP($A275,raw_lb[],COLUMN(AC$1)-COLUMN($A$1),FALSE))</f>
        <v>6.3094616778038164</v>
      </c>
      <c r="AC275" s="72">
        <f>IF(VLOOKUP($A275,raw_lb[],COLUMN(AD$1)-COLUMN($A$1),FALSE)=0, VLOOKUP($D275, regions_lb[], COLUMN(AD$1)-COLUMN($A$1), FALSE), VLOOKUP($A275,raw_lb[],COLUMN(AD$1)-COLUMN($A$1),FALSE))</f>
        <v>3.6818684499999976E-2</v>
      </c>
      <c r="AD275" s="72">
        <f>IF(VLOOKUP($A275,raw_lb[],COLUMN(AE$1)-COLUMN($A$1),FALSE)=0, VLOOKUP($D275, regions_lb[], COLUMN(AE$1)-COLUMN($A$1), FALSE), VLOOKUP($A275,raw_lb[],COLUMN(AE$1)-COLUMN($A$1),FALSE))</f>
        <v>3.090046024654995E-3</v>
      </c>
      <c r="AE275" s="72">
        <f>IF(VLOOKUP($A275,raw_lb[],COLUMN(AF$1)-COLUMN($A$1),FALSE)=0, VLOOKUP($D275, regions_lb[], COLUMN(AF$1)-COLUMN($A$1), FALSE), VLOOKUP($A275,raw_lb[],COLUMN(AF$1)-COLUMN($A$1),FALSE))</f>
        <v>1.0106596240969069E-3</v>
      </c>
      <c r="AF275" s="72">
        <f>IF(VLOOKUP($A275,raw_lb[],COLUMN(AG$1)-COLUMN($A$1),FALSE)=0, VLOOKUP($D275, regions_lb[], COLUMN(AG$1)-COLUMN($A$1), FALSE), VLOOKUP($A275,raw_lb[],COLUMN(AG$1)-COLUMN($A$1),FALSE))</f>
        <v>8.6507149526702945E-4</v>
      </c>
      <c r="AG275" s="72">
        <f>IF(VLOOKUP($A275,raw_lb[],COLUMN(AH$1)-COLUMN($A$1),FALSE)=0, VLOOKUP($D275, regions_lb[], COLUMN(AH$1)-COLUMN($A$1), FALSE), VLOOKUP($A275,raw_lb[],COLUMN(AH$1)-COLUMN($A$1),FALSE))</f>
        <v>1.4921327829485998E-3</v>
      </c>
      <c r="AH275" s="72">
        <f>IF(VLOOKUP($A275,raw_lb[],COLUMN(AI$1)-COLUMN($A$1),FALSE)=0, VLOOKUP($D275, regions_lb[], COLUMN(AI$1)-COLUMN($A$1), FALSE), VLOOKUP($A275,raw_lb[],COLUMN(AI$1)-COLUMN($A$1),FALSE))</f>
        <v>2.6935490537055309E-3</v>
      </c>
      <c r="AI275" s="72">
        <f>IF(VLOOKUP($A275,raw_lb[],COLUMN(AJ$1)-COLUMN($A$1),FALSE)=0, VLOOKUP($D275, regions_lb[], COLUMN(AJ$1)-COLUMN($A$1), FALSE), VLOOKUP($A275,raw_lb[],COLUMN(AJ$1)-COLUMN($A$1),FALSE))</f>
        <v>4.5804480051907645E-3</v>
      </c>
      <c r="AJ275" s="72">
        <f>IF(VLOOKUP($A275,raw_lb[],COLUMN(AK$1)-COLUMN($A$1),FALSE)=0, VLOOKUP($D275, regions_lb[], COLUMN(AK$1)-COLUMN($A$1), FALSE), VLOOKUP($A275,raw_lb[],COLUMN(AK$1)-COLUMN($A$1),FALSE))</f>
        <v>6.5483305384408993E-3</v>
      </c>
      <c r="AK275" s="72">
        <f>IF(VLOOKUP($A275,raw_lb[],COLUMN(AL$1)-COLUMN($A$1),FALSE)=0, VLOOKUP($D275, regions_lb[], COLUMN(AL$1)-COLUMN($A$1), FALSE), VLOOKUP($A275,raw_lb[],COLUMN(AL$1)-COLUMN($A$1),FALSE))</f>
        <v>9.2020068370745143E-3</v>
      </c>
      <c r="AL275" s="72">
        <f>IF(VLOOKUP($A275,raw_lb[],COLUMN(AM$1)-COLUMN($A$1),FALSE)=0, VLOOKUP($D275, regions_lb[], COLUMN(AM$1)-COLUMN($A$1), FALSE), VLOOKUP($A275,raw_lb[],COLUMN(AM$1)-COLUMN($A$1),FALSE))</f>
        <v>1.075725602965236E-2</v>
      </c>
      <c r="AM275" s="72">
        <f>IF(VLOOKUP($A275,raw_lb[],COLUMN(AN$1)-COLUMN($A$1),FALSE)=0, VLOOKUP($D275, regions_lb[], COLUMN(AN$1)-COLUMN($A$1), FALSE), VLOOKUP($A275,raw_lb[],COLUMN(AN$1)-COLUMN($A$1),FALSE))</f>
        <v>1.2731019755388451E-2</v>
      </c>
      <c r="AN275" s="72">
        <f>IF(VLOOKUP($A275,raw_lb[],COLUMN(AO$1)-COLUMN($A$1),FALSE)=0, VLOOKUP($D275, regions_lb[], COLUMN(AO$1)-COLUMN($A$1), FALSE), VLOOKUP($A275,raw_lb[],COLUMN(AO$1)-COLUMN($A$1),FALSE))</f>
        <v>1.5229751703488486E-2</v>
      </c>
      <c r="AO275" s="72">
        <f>IF(VLOOKUP($A275,raw_lb[],COLUMN(AP$1)-COLUMN($A$1),FALSE)=0, VLOOKUP($D275, regions_lb[], COLUMN(AP$1)-COLUMN($A$1), FALSE), VLOOKUP($A275,raw_lb[],COLUMN(AP$1)-COLUMN($A$1),FALSE))</f>
        <v>1.8199726763003399E-2</v>
      </c>
      <c r="AP275" s="72">
        <f>IF(VLOOKUP($A275,raw_lb[],COLUMN(AQ$1)-COLUMN($A$1),FALSE)=0, VLOOKUP($D275, regions_lb[], COLUMN(AQ$1)-COLUMN($A$1), FALSE), VLOOKUP($A275,raw_lb[],COLUMN(AQ$1)-COLUMN($A$1),FALSE))</f>
        <v>2.3601311592989591E-2</v>
      </c>
      <c r="AQ275" s="72">
        <f>IF(VLOOKUP($A275,raw_lb[],COLUMN(AR$1)-COLUMN($A$1),FALSE)=0, VLOOKUP($D275, regions_lb[], COLUMN(AR$1)-COLUMN($A$1), FALSE), VLOOKUP($A275,raw_lb[],COLUMN(AR$1)-COLUMN($A$1),FALSE))</f>
        <v>3.2661488134387733E-2</v>
      </c>
      <c r="AR275" s="72">
        <f>IF(VLOOKUP($A275,raw_lb[],COLUMN(AS$1)-COLUMN($A$1),FALSE)=0, VLOOKUP($D275, regions_lb[], COLUMN(AS$1)-COLUMN($A$1), FALSE), VLOOKUP($A275,raw_lb[],COLUMN(AS$1)-COLUMN($A$1),FALSE))</f>
        <v>4.6813186443857104E-2</v>
      </c>
      <c r="AS275" s="82">
        <f>IF(VLOOKUP($A275,raw_lb[],COLUMN(AS$1),FALSE)=0, VLOOKUP($D275, regions_lb[], COLUMN(AS$1), FALSE), VLOOKUP($A275,raw_lb[],COLUMN(AS$1),FALSE))</f>
        <v>6.74516310796823E-2</v>
      </c>
      <c r="AT275" s="82">
        <f>IF(VLOOKUP($A275,raw_lb[],COLUMN(AT$1),FALSE)=0, VLOOKUP($D275, regions_lb[], COLUMN(AT$1), FALSE), VLOOKUP($A275,raw_lb[],COLUMN(AT$1),FALSE))</f>
        <v>9.8729485092936331E-2</v>
      </c>
      <c r="AU275" s="82">
        <f>IF(VLOOKUP($A275,raw_lb[],COLUMN(AU$1),FALSE)=0, VLOOKUP($D275, regions_lb[], COLUMN(AU$1), FALSE), VLOOKUP($A275,raw_lb[],COLUMN(AU$1),FALSE))</f>
        <v>0.135880447770445</v>
      </c>
      <c r="AV275" s="82">
        <f>IF(VLOOKUP($A275,raw_lb[],COLUMN(AV$1),FALSE)=0, VLOOKUP($D275, regions_lb[], COLUMN(AV$1), FALSE), VLOOKUP($A275,raw_lb[],COLUMN(AV$1),FALSE))</f>
        <v>0.16504542734609509</v>
      </c>
      <c r="AW275" s="82">
        <f>IF(VLOOKUP($A275,raw_lb[],COLUMN(AW$1),FALSE)=0, VLOOKUP($D275, regions_lb[], COLUMN(AW$1), FALSE), VLOOKUP($A275,raw_lb[],COLUMN(AW$1),FALSE))</f>
        <v>0.17631480145230166</v>
      </c>
      <c r="AX275" s="82">
        <f>IF(VLOOKUP($A275,raw_lb[],COLUMN(AX$1),FALSE)=0, VLOOKUP($D275, regions_lb[], COLUMN(AX$1), FALSE), VLOOKUP($A275,raw_lb[],COLUMN(AX$1),FALSE))</f>
        <v>57.791349999999994</v>
      </c>
      <c r="AY275" t="str">
        <f t="shared" si="9"/>
        <v>Yes</v>
      </c>
    </row>
    <row r="277" spans="1:51" x14ac:dyDescent="0.25">
      <c r="A277" s="49" t="s">
        <v>144</v>
      </c>
      <c r="B277" s="49" t="s">
        <v>145</v>
      </c>
      <c r="C277" s="49" t="s">
        <v>146</v>
      </c>
      <c r="D277" s="49" t="s">
        <v>147</v>
      </c>
      <c r="E277" s="49" t="s">
        <v>148</v>
      </c>
      <c r="F277" s="49" t="s">
        <v>149</v>
      </c>
      <c r="G277" s="49" t="s">
        <v>150</v>
      </c>
      <c r="H277" s="50" t="s">
        <v>151</v>
      </c>
      <c r="I277" s="50" t="s">
        <v>152</v>
      </c>
      <c r="J277" s="75" t="s">
        <v>153</v>
      </c>
      <c r="K277" s="50" t="s">
        <v>154</v>
      </c>
      <c r="L277" s="50" t="s">
        <v>155</v>
      </c>
      <c r="M277" s="50" t="s">
        <v>156</v>
      </c>
      <c r="N277" s="78" t="s">
        <v>157</v>
      </c>
      <c r="O277" s="50" t="s">
        <v>158</v>
      </c>
      <c r="P277" s="50" t="s">
        <v>159</v>
      </c>
      <c r="Q277" s="50" t="s">
        <v>160</v>
      </c>
      <c r="R277" s="81" t="s">
        <v>161</v>
      </c>
      <c r="S277" s="50" t="s">
        <v>162</v>
      </c>
      <c r="T277" s="50" t="s">
        <v>163</v>
      </c>
      <c r="U277" s="81" t="s">
        <v>164</v>
      </c>
      <c r="V277" s="50" t="s">
        <v>165</v>
      </c>
      <c r="W277" s="50" t="s">
        <v>166</v>
      </c>
      <c r="X277" s="50" t="s">
        <v>167</v>
      </c>
      <c r="Y277" s="50" t="s">
        <v>168</v>
      </c>
      <c r="Z277" s="50" t="s">
        <v>169</v>
      </c>
      <c r="AA277" s="50" t="s">
        <v>170</v>
      </c>
      <c r="AB277" s="50" t="s">
        <v>171</v>
      </c>
      <c r="AC277" s="49" t="s">
        <v>172</v>
      </c>
      <c r="AD277" s="49" t="s">
        <v>173</v>
      </c>
      <c r="AE277" s="49" t="s">
        <v>174</v>
      </c>
      <c r="AF277" s="49" t="s">
        <v>175</v>
      </c>
      <c r="AG277" s="49" t="s">
        <v>176</v>
      </c>
      <c r="AH277" s="49" t="s">
        <v>177</v>
      </c>
      <c r="AI277" s="49" t="s">
        <v>178</v>
      </c>
      <c r="AJ277" s="49" t="s">
        <v>179</v>
      </c>
      <c r="AK277" s="49" t="s">
        <v>180</v>
      </c>
      <c r="AL277" s="49" t="s">
        <v>181</v>
      </c>
      <c r="AM277" s="49" t="s">
        <v>182</v>
      </c>
      <c r="AN277" s="49" t="s">
        <v>183</v>
      </c>
      <c r="AO277" s="49" t="s">
        <v>184</v>
      </c>
      <c r="AP277" s="49" t="s">
        <v>185</v>
      </c>
      <c r="AQ277" s="49" t="s">
        <v>186</v>
      </c>
      <c r="AR277" s="49" t="s">
        <v>187</v>
      </c>
      <c r="AS277" s="49" t="s">
        <v>188</v>
      </c>
      <c r="AT277" s="49" t="s">
        <v>189</v>
      </c>
      <c r="AU277" s="49" t="s">
        <v>190</v>
      </c>
      <c r="AV277" s="49" t="s">
        <v>191</v>
      </c>
      <c r="AW277" s="49" t="s">
        <v>192</v>
      </c>
      <c r="AX277" s="51" t="s">
        <v>193</v>
      </c>
      <c r="AY277" s="50" t="s">
        <v>504</v>
      </c>
    </row>
    <row r="278" spans="1:51" x14ac:dyDescent="0.25">
      <c r="A278" s="53" t="s">
        <v>194</v>
      </c>
      <c r="B278" s="54" t="s">
        <v>195</v>
      </c>
      <c r="C278" s="54">
        <v>4</v>
      </c>
      <c r="D278" s="54" t="s">
        <v>196</v>
      </c>
      <c r="E278" s="54" t="s">
        <v>197</v>
      </c>
      <c r="F278" s="54" t="s">
        <v>197</v>
      </c>
      <c r="G278" s="54" t="s">
        <v>198</v>
      </c>
      <c r="H278" s="73"/>
      <c r="I278" s="73"/>
      <c r="J278" s="76">
        <f>IF(VLOOKUP($A278,raw_ub[],COLUMN(J$1),FALSE)=0, VLOOKUP($D278, regions_ub[], COLUMN(J$1), FALSE), VLOOKUP($A278,raw_ub[],COLUMN(J$1),FALSE))</f>
        <v>0.59114999999999995</v>
      </c>
      <c r="K278" s="76">
        <f>VLOOKUP($A278, raw_ub[], 11, FALSE)</f>
        <v>0.39900000000000002</v>
      </c>
      <c r="L278" s="76">
        <f>VLOOKUP($A278, raw_ub[], 12, FALSE)</f>
        <v>0.73499999999999999</v>
      </c>
      <c r="M278" s="76">
        <f>IF(VLOOKUP($A278,raw_ub[],COLUMN(M$1),FALSE)=0, VLOOKUP($D278, regions_ub[], COLUMN(M$1), FALSE), VLOOKUP($A278,raw_ub[],COLUMN(M$1),FALSE))</f>
        <v>1.9199999999999998E-2</v>
      </c>
      <c r="N278" s="79">
        <f>IF(VLOOKUP($A278,raw_ub[],COLUMN(N$1),FALSE)=0, VLOOKUP($D278, regions_ub[], COLUMN(N$1), FALSE), VLOOKUP($A278,raw_ub[],COLUMN(N$1),FALSE))</f>
        <v>0.37619999999999998</v>
      </c>
      <c r="O278" s="76">
        <f>IF(VLOOKUP($A278,raw_ub[],COLUMN(O$1),FALSE)=0, VLOOKUP($D278, regions_ub[], COLUMN(O$1), FALSE), VLOOKUP($A278,raw_ub[],COLUMN(O$1),FALSE))</f>
        <v>0.9</v>
      </c>
      <c r="P278" s="79">
        <f>IF(VLOOKUP($A278,raw_ub[],COLUMN(P$1),FALSE)=0, VLOOKUP($D278, regions_ub[], COLUMN(P$1), FALSE), VLOOKUP($A278,raw_ub[],COLUMN(P$1),FALSE))</f>
        <v>0.3</v>
      </c>
      <c r="Q278" s="80">
        <f>IF(VLOOKUP($A278,raw_ub[],COLUMN(Q$1),FALSE)=0, VLOOKUP($D278, regions_ub[], COLUMN(Q$1), FALSE), VLOOKUP($A278,raw_ub[],COLUMN(Q$1),FALSE))</f>
        <v>5.4306114832535899</v>
      </c>
      <c r="R278" s="80">
        <f>IF(VLOOKUP($A278,raw_ub[],COLUMN(R$1),FALSE)=0, VLOOKUP($D278, regions_ub[], COLUMN(R$1), FALSE), VLOOKUP($A278,raw_ub[],COLUMN(R$1),FALSE))</f>
        <v>114.4164114832536</v>
      </c>
      <c r="S278" s="80">
        <f>IF(VLOOKUP($A278,raw_ub[],COLUMN(S$1),FALSE)=0, VLOOKUP($D278, regions_ub[], COLUMN(S$1), FALSE), VLOOKUP($A278,raw_ub[],COLUMN(S$1),FALSE))</f>
        <v>144.37610068101299</v>
      </c>
      <c r="T278" s="80">
        <f>IF(VLOOKUP($A278,raw_ub[],COLUMN(T$1),FALSE)=0, VLOOKUP($D278, regions_ub[], COLUMN(T$1), FALSE), VLOOKUP($A278,raw_ub[],COLUMN(T$1),FALSE))</f>
        <v>144.76108305546052</v>
      </c>
      <c r="U278" s="80">
        <f>IF(VLOOKUP($A278,raw_ub[],COLUMN(U$1),FALSE)=0, VLOOKUP($D278, regions_ub[], COLUMN(U$1), FALSE), VLOOKUP($A278,raw_ub[],COLUMN(U$1),FALSE))</f>
        <v>144.58430728660494</v>
      </c>
      <c r="V278" s="80">
        <f>IF(VLOOKUP($A278,raw_ub[],COLUMN(V$1),FALSE)=0, VLOOKUP($D278, regions_ub[], COLUMN(V$1), FALSE), VLOOKUP($A278,raw_ub[],COLUMN(V$1),FALSE))</f>
        <v>2.1027910059116857</v>
      </c>
      <c r="W278" s="80">
        <f>IF(VLOOKUP($A278,raw_ub[],COLUMN(W$1),FALSE)=0, VLOOKUP($D278, regions_ub[], COLUMN(W$1), FALSE), VLOOKUP($A278,raw_ub[],COLUMN(W$1),FALSE))</f>
        <v>2.6067910059116857</v>
      </c>
      <c r="X278" s="80">
        <f>IF(VLOOKUP($A278,raw_ub[],COLUMN(X$1),FALSE)=0, VLOOKUP($D278, regions_ub[], COLUMN(X$1), FALSE), VLOOKUP($A278,raw_ub[],COLUMN(X$1),FALSE))</f>
        <v>2.0933866239512748</v>
      </c>
      <c r="Y278" s="80">
        <f>IF(VLOOKUP($A278,raw_ub[],COLUMN(Y$1),FALSE)=0, VLOOKUP($D278, regions_ub[], COLUMN(Y$1), FALSE), VLOOKUP($A278,raw_ub[],COLUMN(Y$1),FALSE))</f>
        <v>2.5973866239512748</v>
      </c>
      <c r="Z278" s="80">
        <f>IF(VLOOKUP($A278,raw_ub[],COLUMN(Z$1),FALSE)=0, VLOOKUP($D278, regions_ub[], COLUMN(Z$1), FALSE), VLOOKUP($A278,raw_ub[],COLUMN(Z$1),FALSE))</f>
        <v>2.5917131330925551</v>
      </c>
      <c r="AA278" s="80">
        <f>IF(VLOOKUP($A278,raw_ub[],COLUMN(AA$1),FALSE)=0, VLOOKUP($D278, regions_ub[], COLUMN(AA$1), FALSE), VLOOKUP($A278,raw_ub[],COLUMN(AA$1),FALSE))</f>
        <v>2.1049612479025499</v>
      </c>
      <c r="AB278" s="80">
        <f>IF(VLOOKUP($A278,raw_ub[],COLUMN(AB$1),FALSE)=0, VLOOKUP($D278, regions_ub[], COLUMN(AB$1), FALSE), VLOOKUP($A278,raw_ub[],COLUMN(AB$1),FALSE))</f>
        <v>2.6089612479025499</v>
      </c>
      <c r="AC278" s="82">
        <f>IF(VLOOKUP($A278,raw_ub[],COLUMN(AC$1),FALSE)=0, VLOOKUP($D278, regions_ub[], COLUMN(AC$1), FALSE), VLOOKUP($A278,raw_ub[],COLUMN(AC$1),FALSE))</f>
        <v>5.4291216000000052E-2</v>
      </c>
      <c r="AD278" s="82">
        <f>IF(VLOOKUP($A278,raw_ub[],COLUMN(AD$1),FALSE)=0, VLOOKUP($D278, regions_ub[], COLUMN(AD$1), FALSE), VLOOKUP($A278,raw_ub[],COLUMN(AD$1),FALSE))</f>
        <v>4.4736446630563925E-3</v>
      </c>
      <c r="AE278" s="82">
        <f>IF(VLOOKUP($A278,raw_ub[],COLUMN(AE$1),FALSE)=0, VLOOKUP($D278, regions_ub[], COLUMN(AE$1), FALSE), VLOOKUP($A278,raw_ub[],COLUMN(AE$1),FALSE))</f>
        <v>1.3884924682729519E-3</v>
      </c>
      <c r="AF278" s="82">
        <f>IF(VLOOKUP($A278,raw_ub[],COLUMN(AF$1),FALSE)=0, VLOOKUP($D278, regions_ub[], COLUMN(AF$1), FALSE), VLOOKUP($A278,raw_ub[],COLUMN(AF$1),FALSE))</f>
        <v>1.0923600651805371E-3</v>
      </c>
      <c r="AG278" s="82">
        <f>IF(VLOOKUP($A278,raw_ub[],COLUMN(AG$1),FALSE)=0, VLOOKUP($D278, regions_ub[], COLUMN(AG$1), FALSE), VLOOKUP($A278,raw_ub[],COLUMN(AG$1),FALSE))</f>
        <v>1.7615115099493964E-3</v>
      </c>
      <c r="AH278" s="82">
        <f>IF(VLOOKUP($A278,raw_ub[],COLUMN(AH$1),FALSE)=0, VLOOKUP($D278, regions_ub[], COLUMN(AH$1), FALSE), VLOOKUP($A278,raw_ub[],COLUMN(AH$1),FALSE))</f>
        <v>2.4545452097130454E-3</v>
      </c>
      <c r="AI278" s="82">
        <f>IF(VLOOKUP($A278,raw_ub[],COLUMN(AI$1),FALSE)=0, VLOOKUP($D278, regions_ub[], COLUMN(AI$1), FALSE), VLOOKUP($A278,raw_ub[],COLUMN(AI$1),FALSE))</f>
        <v>2.6732823567174801E-3</v>
      </c>
      <c r="AJ278" s="82">
        <f>IF(VLOOKUP($A278,raw_ub[],COLUMN(AJ$1),FALSE)=0, VLOOKUP($D278, regions_ub[], COLUMN(AJ$1), FALSE), VLOOKUP($A278,raw_ub[],COLUMN(AJ$1),FALSE))</f>
        <v>3.0601646028533438E-3</v>
      </c>
      <c r="AK278" s="82">
        <f>IF(VLOOKUP($A278,raw_ub[],COLUMN(AK$1),FALSE)=0, VLOOKUP($D278, regions_ub[], COLUMN(AK$1), FALSE), VLOOKUP($A278,raw_ub[],COLUMN(AK$1),FALSE))</f>
        <v>3.7894886670088298E-3</v>
      </c>
      <c r="AL278" s="82">
        <f>IF(VLOOKUP($A278,raw_ub[],COLUMN(AL$1),FALSE)=0, VLOOKUP($D278, regions_ub[], COLUMN(AL$1), FALSE), VLOOKUP($A278,raw_ub[],COLUMN(AL$1),FALSE))</f>
        <v>5.0029093072891904E-3</v>
      </c>
      <c r="AM278" s="82">
        <f>IF(VLOOKUP($A278,raw_ub[],COLUMN(AM$1),FALSE)=0, VLOOKUP($D278, regions_ub[], COLUMN(AM$1), FALSE), VLOOKUP($A278,raw_ub[],COLUMN(AM$1),FALSE))</f>
        <v>7.0028678451799211E-3</v>
      </c>
      <c r="AN278" s="82">
        <f>IF(VLOOKUP($A278,raw_ub[],COLUMN(AN$1),FALSE)=0, VLOOKUP($D278, regions_ub[], COLUMN(AN$1), FALSE), VLOOKUP($A278,raw_ub[],COLUMN(AN$1),FALSE))</f>
        <v>1.0196667626605361E-2</v>
      </c>
      <c r="AO278" s="82">
        <f>IF(VLOOKUP($A278,raw_ub[],COLUMN(AO$1),FALSE)=0, VLOOKUP($D278, regions_ub[], COLUMN(AO$1), FALSE), VLOOKUP($A278,raw_ub[],COLUMN(AO$1),FALSE))</f>
        <v>1.5035255709653549E-2</v>
      </c>
      <c r="AP278" s="82">
        <f>IF(VLOOKUP($A278,raw_ub[],COLUMN(AP$1),FALSE)=0, VLOOKUP($D278, regions_ub[], COLUMN(AP$1), FALSE), VLOOKUP($A278,raw_ub[],COLUMN(AP$1),FALSE))</f>
        <v>2.265522685698812E-2</v>
      </c>
      <c r="AQ278" s="82">
        <f>IF(VLOOKUP($A278,raw_ub[],COLUMN(AQ$1),FALSE)=0, VLOOKUP($D278, regions_ub[], COLUMN(AQ$1), FALSE), VLOOKUP($A278,raw_ub[],COLUMN(AQ$1),FALSE))</f>
        <v>3.4122288632465303E-2</v>
      </c>
      <c r="AR278" s="82">
        <f>IF(VLOOKUP($A278,raw_ub[],COLUMN(AR$1),FALSE)=0, VLOOKUP($D278, regions_ub[], COLUMN(AR$1), FALSE), VLOOKUP($A278,raw_ub[],COLUMN(AR$1),FALSE))</f>
        <v>5.201871084634372E-2</v>
      </c>
      <c r="AS278" s="82">
        <f>IF(VLOOKUP($A278,raw_ub[],COLUMN(AS$1),FALSE)=0, VLOOKUP($D278, regions_ub[], COLUMN(AS$1), FALSE), VLOOKUP($A278,raw_ub[],COLUMN(AS$1),FALSE))</f>
        <v>7.7473330773937699E-2</v>
      </c>
      <c r="AT278" s="82">
        <f>IF(VLOOKUP($A278,raw_ub[],COLUMN(AT$1),FALSE)=0, VLOOKUP($D278, regions_ub[], COLUMN(AT$1), FALSE), VLOOKUP($A278,raw_ub[],COLUMN(AT$1),FALSE))</f>
        <v>0.11008928664919644</v>
      </c>
      <c r="AU278" s="82">
        <f>IF(VLOOKUP($A278,raw_ub[],COLUMN(AU$1),FALSE)=0, VLOOKUP($D278, regions_ub[], COLUMN(AU$1), FALSE), VLOOKUP($A278,raw_ub[],COLUMN(AU$1),FALSE))</f>
        <v>0.14416872971918321</v>
      </c>
      <c r="AV278" s="82">
        <f>IF(VLOOKUP($A278,raw_ub[],COLUMN(AV$1),FALSE)=0, VLOOKUP($D278, regions_ub[], COLUMN(AV$1), FALSE), VLOOKUP($A278,raw_ub[],COLUMN(AV$1),FALSE))</f>
        <v>0.17154248430925337</v>
      </c>
      <c r="AW278" s="82">
        <f>IF(VLOOKUP($A278,raw_ub[],COLUMN(AW$1),FALSE)=0, VLOOKUP($D278, regions_ub[], COLUMN(AW$1), FALSE), VLOOKUP($A278,raw_ub[],COLUMN(AW$1),FALSE))</f>
        <v>0.18904832780332212</v>
      </c>
      <c r="AX278" s="82">
        <f>IF(VLOOKUP($A278,raw_ub[],COLUMN(AX$1),FALSE)=0, VLOOKUP($D278, regions_ub[], COLUMN(AX$1), FALSE), VLOOKUP($A278,raw_ub[],COLUMN(AX$1),FALSE))</f>
        <v>67.492949999999993</v>
      </c>
      <c r="AY278" t="str">
        <f t="shared" ref="AY278:AY309" si="10">IF($K278=0,"Yes", "No")</f>
        <v>No</v>
      </c>
    </row>
    <row r="279" spans="1:51" x14ac:dyDescent="0.25">
      <c r="A279" s="55" t="s">
        <v>199</v>
      </c>
      <c r="B279" s="56" t="s">
        <v>200</v>
      </c>
      <c r="C279" s="56">
        <v>8</v>
      </c>
      <c r="D279" s="56" t="s">
        <v>201</v>
      </c>
      <c r="E279" s="56" t="s">
        <v>202</v>
      </c>
      <c r="F279" s="56" t="s">
        <v>203</v>
      </c>
      <c r="G279" s="56" t="s">
        <v>204</v>
      </c>
      <c r="H279" s="74"/>
      <c r="I279" s="74"/>
      <c r="J279" s="67">
        <f>IF(VLOOKUP($A279,raw_ub[],COLUMN(J$1),FALSE)=0, VLOOKUP($D279, regions_ub[], COLUMN(J$1), FALSE), VLOOKUP($A279,raw_ub[],COLUMN(J$1),FALSE))</f>
        <v>0.999</v>
      </c>
      <c r="K279" s="77">
        <f>VLOOKUP($A279, raw_ub[], 11, FALSE)</f>
        <v>0.999</v>
      </c>
      <c r="L279" s="77">
        <f>VLOOKUP($A279, raw_ub[], 12, FALSE)</f>
        <v>0.999</v>
      </c>
      <c r="M279" s="77">
        <f>IF(VLOOKUP($A279,raw_ub[],COLUMN(M$1),FALSE)=0, VLOOKUP($D279, regions_ub[], COLUMN(M$1), FALSE), VLOOKUP($A279,raw_ub[],COLUMN(M$1),FALSE))</f>
        <v>8.4399999999999989E-2</v>
      </c>
      <c r="N279" s="68">
        <f>IF(VLOOKUP($A279,raw_ub[],COLUMN(N$1),FALSE)=0, VLOOKUP($D279, regions_ub[], COLUMN(N$1), FALSE), VLOOKUP($A279,raw_ub[],COLUMN(N$1),FALSE))</f>
        <v>0.42849999999999999</v>
      </c>
      <c r="O279" s="67">
        <f>IF(VLOOKUP($A279,raw_ub[],COLUMN(O$1),FALSE)=0, VLOOKUP($D279, regions_ub[], COLUMN(O$1), FALSE), VLOOKUP($A279,raw_ub[],COLUMN(O$1),FALSE))</f>
        <v>0.9</v>
      </c>
      <c r="P279" s="68">
        <f>IF(VLOOKUP($A279,raw_ub[],COLUMN(P$1),FALSE)=0, VLOOKUP($D279, regions_ub[], COLUMN(P$1), FALSE), VLOOKUP($A279,raw_ub[],COLUMN(P$1),FALSE))</f>
        <v>0.3</v>
      </c>
      <c r="Q279" s="70">
        <f>IF(VLOOKUP($A279,raw_ub[],COLUMN(Q$1),FALSE)=0, VLOOKUP($D279, regions_ub[], COLUMN(Q$1), FALSE), VLOOKUP($A279,raw_ub[],COLUMN(Q$1),FALSE))</f>
        <v>19.644903488372101</v>
      </c>
      <c r="R279" s="70">
        <f>IF(VLOOKUP($A279,raw_ub[],COLUMN(R$1),FALSE)=0, VLOOKUP($D279, regions_ub[], COLUMN(R$1), FALSE), VLOOKUP($A279,raw_ub[],COLUMN(R$1),FALSE))</f>
        <v>128.63070348837209</v>
      </c>
      <c r="S279" s="70">
        <f>IF(VLOOKUP($A279,raw_ub[],COLUMN(S$1),FALSE)=0, VLOOKUP($D279, regions_ub[], COLUMN(S$1), FALSE), VLOOKUP($A279,raw_ub[],COLUMN(S$1),FALSE))</f>
        <v>190.91415595879803</v>
      </c>
      <c r="T279" s="70">
        <f>IF(VLOOKUP($A279,raw_ub[],COLUMN(U$1)-COLUMN($A$1),FALSE)=0, VLOOKUP($D279, regions_ub[], COLUMN(U$1)-COLUMN($A$1), FALSE), VLOOKUP($A279,raw_ub[],COLUMN(U$1)-COLUMN($A$1),FALSE))</f>
        <v>208.12252736405156</v>
      </c>
      <c r="U279" s="70">
        <f>IF(VLOOKUP($A279,raw_ub[],COLUMN(V$1)-COLUMN($A$1),FALSE)=0, VLOOKUP($D279, regions_ub[], COLUMN(V$1)-COLUMN($A$1), FALSE), VLOOKUP($A279,raw_ub[],COLUMN(V$1)-COLUMN($A$1),FALSE))</f>
        <v>200.22080695339207</v>
      </c>
      <c r="V279" s="70">
        <f>IF(VLOOKUP($A279,raw_ub[],COLUMN(W$1)-COLUMN($A$1),FALSE)=0, VLOOKUP($D279, regions_ub[], COLUMN(W$1)-COLUMN($A$1), FALSE), VLOOKUP($A279,raw_ub[],COLUMN(W$1)-COLUMN($A$1),FALSE))</f>
        <v>13.239301688685675</v>
      </c>
      <c r="W279" s="70">
        <f>IF(VLOOKUP($A279,raw_ub[],COLUMN(X$1)-COLUMN($A$1),FALSE)=0, VLOOKUP($D279, regions_ub[], COLUMN(X$1)-COLUMN($A$1), FALSE), VLOOKUP($A279,raw_ub[],COLUMN(X$1)-COLUMN($A$1),FALSE))</f>
        <v>17.512801688685677</v>
      </c>
      <c r="X279" s="70">
        <f>IF(VLOOKUP($A279,raw_ub[],COLUMN(Y$1)-COLUMN($A$1),FALSE)=0, VLOOKUP($D279, regions_ub[], COLUMN(Y$1)-COLUMN($A$1), FALSE), VLOOKUP($A279,raw_ub[],COLUMN(Y$1)-COLUMN($A$1),FALSE))</f>
        <v>13.208714173067957</v>
      </c>
      <c r="Y279" s="70">
        <f>IF(VLOOKUP($A279,raw_ub[],COLUMN(Z$1)-COLUMN($A$1),FALSE)=0, VLOOKUP($D279, regions_ub[], COLUMN(Z$1)-COLUMN($A$1), FALSE), VLOOKUP($A279,raw_ub[],COLUMN(Z$1)-COLUMN($A$1),FALSE))</f>
        <v>17.482214173067959</v>
      </c>
      <c r="Z279" s="70">
        <f>IF(VLOOKUP($A279,raw_ub[],COLUMN(AA$1)-COLUMN($A$1),FALSE)=0, VLOOKUP($D279, regions_ub[], COLUMN(AA$1)-COLUMN($A$1), FALSE), VLOOKUP($A279,raw_ub[],COLUMN(AA$1)-COLUMN($A$1),FALSE))</f>
        <v>17.46561793826621</v>
      </c>
      <c r="AA279" s="70">
        <f>IF(VLOOKUP($A279,raw_ub[],COLUMN(AB$1)-COLUMN($A$1),FALSE)=0, VLOOKUP($D279, regions_ub[], COLUMN(AB$1)-COLUMN($A$1), FALSE), VLOOKUP($A279,raw_ub[],COLUMN(AB$1)-COLUMN($A$1),FALSE))</f>
        <v>13.246360346135917</v>
      </c>
      <c r="AB279" s="70">
        <f>IF(VLOOKUP($A279,raw_ub[],COLUMN(AC$1)-COLUMN($A$1),FALSE)=0, VLOOKUP($D279, regions_ub[], COLUMN(AC$1)-COLUMN($A$1), FALSE), VLOOKUP($A279,raw_ub[],COLUMN(AC$1)-COLUMN($A$1),FALSE))</f>
        <v>17.519860346135918</v>
      </c>
      <c r="AC279" s="72">
        <f>IF(VLOOKUP($A279,raw_ub[],COLUMN(AD$1)-COLUMN($A$1),FALSE)=0, VLOOKUP($D279, regions_ub[], COLUMN(AD$1)-COLUMN($A$1), FALSE), VLOOKUP($A279,raw_ub[],COLUMN(AD$1)-COLUMN($A$1),FALSE))</f>
        <v>8.4334319999999352E-3</v>
      </c>
      <c r="AD279" s="72">
        <f>IF(VLOOKUP($A279,raw_ub[],COLUMN(AE$1)-COLUMN($A$1),FALSE)=0, VLOOKUP($D279, regions_ub[], COLUMN(AE$1)-COLUMN($A$1), FALSE), VLOOKUP($A279,raw_ub[],COLUMN(AE$1)-COLUMN($A$1),FALSE))</f>
        <v>8.8462957823165782E-4</v>
      </c>
      <c r="AE279" s="72">
        <f>IF(VLOOKUP($A279,raw_ub[],COLUMN(AF$1)-COLUMN($A$1),FALSE)=0, VLOOKUP($D279, regions_ub[], COLUMN(AF$1)-COLUMN($A$1), FALSE), VLOOKUP($A279,raw_ub[],COLUMN(AF$1)-COLUMN($A$1),FALSE))</f>
        <v>2.3433754031012836E-4</v>
      </c>
      <c r="AF279" s="72">
        <f>IF(VLOOKUP($A279,raw_ub[],COLUMN(AG$1)-COLUMN($A$1),FALSE)=0, VLOOKUP($D279, regions_ub[], COLUMN(AG$1)-COLUMN($A$1), FALSE), VLOOKUP($A279,raw_ub[],COLUMN(AG$1)-COLUMN($A$1),FALSE))</f>
        <v>2.8138947505586064E-4</v>
      </c>
      <c r="AG279" s="72">
        <f>IF(VLOOKUP($A279,raw_ub[],COLUMN(AH$1)-COLUMN($A$1),FALSE)=0, VLOOKUP($D279, regions_ub[], COLUMN(AH$1)-COLUMN($A$1), FALSE), VLOOKUP($A279,raw_ub[],COLUMN(AH$1)-COLUMN($A$1),FALSE))</f>
        <v>3.9034878952091679E-4</v>
      </c>
      <c r="AH279" s="72">
        <f>IF(VLOOKUP($A279,raw_ub[],COLUMN(AI$1)-COLUMN($A$1),FALSE)=0, VLOOKUP($D279, regions_ub[], COLUMN(AI$1)-COLUMN($A$1), FALSE), VLOOKUP($A279,raw_ub[],COLUMN(AI$1)-COLUMN($A$1),FALSE))</f>
        <v>4.4526077165045339E-4</v>
      </c>
      <c r="AI279" s="72">
        <f>IF(VLOOKUP($A279,raw_ub[],COLUMN(AJ$1)-COLUMN($A$1),FALSE)=0, VLOOKUP($D279, regions_ub[], COLUMN(AJ$1)-COLUMN($A$1), FALSE), VLOOKUP($A279,raw_ub[],COLUMN(AJ$1)-COLUMN($A$1),FALSE))</f>
        <v>5.1355028653840844E-4</v>
      </c>
      <c r="AJ279" s="72">
        <f>IF(VLOOKUP($A279,raw_ub[],COLUMN(AK$1)-COLUMN($A$1),FALSE)=0, VLOOKUP($D279, regions_ub[], COLUMN(AK$1)-COLUMN($A$1), FALSE), VLOOKUP($A279,raw_ub[],COLUMN(AK$1)-COLUMN($A$1),FALSE))</f>
        <v>6.6140345156813778E-4</v>
      </c>
      <c r="AK279" s="72">
        <f>IF(VLOOKUP($A279,raw_ub[],COLUMN(AL$1)-COLUMN($A$1),FALSE)=0, VLOOKUP($D279, regions_ub[], COLUMN(AL$1)-COLUMN($A$1), FALSE), VLOOKUP($A279,raw_ub[],COLUMN(AL$1)-COLUMN($A$1),FALSE))</f>
        <v>1.0829620432613045E-3</v>
      </c>
      <c r="AL279" s="72">
        <f>IF(VLOOKUP($A279,raw_ub[],COLUMN(AM$1)-COLUMN($A$1),FALSE)=0, VLOOKUP($D279, regions_ub[], COLUMN(AM$1)-COLUMN($A$1), FALSE), VLOOKUP($A279,raw_ub[],COLUMN(AM$1)-COLUMN($A$1),FALSE))</f>
        <v>1.4657750655382585E-3</v>
      </c>
      <c r="AM279" s="72">
        <f>IF(VLOOKUP($A279,raw_ub[],COLUMN(AN$1)-COLUMN($A$1),FALSE)=0, VLOOKUP($D279, regions_ub[], COLUMN(AN$1)-COLUMN($A$1), FALSE), VLOOKUP($A279,raw_ub[],COLUMN(AN$1)-COLUMN($A$1),FALSE))</f>
        <v>2.2789773197141208E-3</v>
      </c>
      <c r="AN279" s="72">
        <f>IF(VLOOKUP($A279,raw_ub[],COLUMN(AO$1)-COLUMN($A$1),FALSE)=0, VLOOKUP($D279, regions_ub[], COLUMN(AO$1)-COLUMN($A$1), FALSE), VLOOKUP($A279,raw_ub[],COLUMN(AO$1)-COLUMN($A$1),FALSE))</f>
        <v>3.4671124744431077E-3</v>
      </c>
      <c r="AO279" s="72">
        <f>IF(VLOOKUP($A279,raw_ub[],COLUMN(AP$1)-COLUMN($A$1),FALSE)=0, VLOOKUP($D279, regions_ub[], COLUMN(AP$1)-COLUMN($A$1), FALSE), VLOOKUP($A279,raw_ub[],COLUMN(AP$1)-COLUMN($A$1),FALSE))</f>
        <v>5.3132878452319355E-3</v>
      </c>
      <c r="AP279" s="72">
        <f>IF(VLOOKUP($A279,raw_ub[],COLUMN(AQ$1)-COLUMN($A$1),FALSE)=0, VLOOKUP($D279, regions_ub[], COLUMN(AQ$1)-COLUMN($A$1), FALSE), VLOOKUP($A279,raw_ub[],COLUMN(AQ$1)-COLUMN($A$1),FALSE))</f>
        <v>8.2601003224228534E-3</v>
      </c>
      <c r="AQ279" s="72">
        <f>IF(VLOOKUP($A279,raw_ub[],COLUMN(AR$1)-COLUMN($A$1),FALSE)=0, VLOOKUP($D279, regions_ub[], COLUMN(AR$1)-COLUMN($A$1), FALSE), VLOOKUP($A279,raw_ub[],COLUMN(AR$1)-COLUMN($A$1),FALSE))</f>
        <v>1.377969761043002E-2</v>
      </c>
      <c r="AR279" s="72">
        <f>IF(VLOOKUP($A279,raw_ub[],COLUMN(AS$1)-COLUMN($A$1),FALSE)=0, VLOOKUP($D279, regions_ub[], COLUMN(AS$1)-COLUMN($A$1), FALSE), VLOOKUP($A279,raw_ub[],COLUMN(AS$1)-COLUMN($A$1),FALSE))</f>
        <v>2.4207567799047237E-2</v>
      </c>
      <c r="AS279" s="72">
        <f>IF(VLOOKUP($A279,raw_ub[],COLUMN(AT$1)-COLUMN($A$1),FALSE)=0, VLOOKUP($D279, regions_ub[], COLUMN(AT$1)-COLUMN($A$1), FALSE), VLOOKUP($A279,raw_ub[],COLUMN(AT$1)-COLUMN($A$1),FALSE))</f>
        <v>4.4024217800428062E-2</v>
      </c>
      <c r="AT279" s="82">
        <f>IF(VLOOKUP($A279,raw_ub[],COLUMN(AT$1),FALSE)=0, VLOOKUP($D279, regions_ub[], COLUMN(AT$1), FALSE), VLOOKUP($A279,raw_ub[],COLUMN(AT$1),FALSE))</f>
        <v>7.9856580505644731E-2</v>
      </c>
      <c r="AU279" s="82">
        <f>IF(VLOOKUP($A279,raw_ub[],COLUMN(AU$1),FALSE)=0, VLOOKUP($D279, regions_ub[], COLUMN(AU$1), FALSE), VLOOKUP($A279,raw_ub[],COLUMN(AU$1),FALSE))</f>
        <v>0.11859226071601725</v>
      </c>
      <c r="AV279" s="82">
        <f>IF(VLOOKUP($A279,raw_ub[],COLUMN(AV$1),FALSE)=0, VLOOKUP($D279, regions_ub[], COLUMN(AV$1), FALSE), VLOOKUP($A279,raw_ub[],COLUMN(AV$1),FALSE))</f>
        <v>0.15762620911613293</v>
      </c>
      <c r="AW279" s="82">
        <f>IF(VLOOKUP($A279,raw_ub[],COLUMN(AW$1),FALSE)=0, VLOOKUP($D279, regions_ub[], COLUMN(AW$1), FALSE), VLOOKUP($A279,raw_ub[],COLUMN(AW$1),FALSE))</f>
        <v>0.18670022109404086</v>
      </c>
      <c r="AX279" s="82">
        <f>IF(VLOOKUP($A279,raw_ub[],COLUMN(AX$1),FALSE)=0, VLOOKUP($D279, regions_ub[], COLUMN(AX$1), FALSE), VLOOKUP($A279,raw_ub[],COLUMN(AX$1),FALSE))</f>
        <v>82.295850000000002</v>
      </c>
      <c r="AY279" t="str">
        <f t="shared" si="10"/>
        <v>No</v>
      </c>
    </row>
    <row r="280" spans="1:51" x14ac:dyDescent="0.25">
      <c r="A280" s="53" t="s">
        <v>205</v>
      </c>
      <c r="B280" s="54" t="s">
        <v>206</v>
      </c>
      <c r="C280" s="54">
        <v>12</v>
      </c>
      <c r="D280" s="54" t="s">
        <v>207</v>
      </c>
      <c r="E280" s="54" t="s">
        <v>197</v>
      </c>
      <c r="F280" s="54" t="s">
        <v>197</v>
      </c>
      <c r="G280" s="54" t="s">
        <v>204</v>
      </c>
      <c r="H280" s="73"/>
      <c r="I280" s="73"/>
      <c r="J280" s="67">
        <f>IF(VLOOKUP($A280,raw_ub[],COLUMN(J$1),FALSE)=0, VLOOKUP($D280, regions_ub[], COLUMN(J$1), FALSE), VLOOKUP($A280,raw_ub[],COLUMN(J$1),FALSE))</f>
        <v>0.999</v>
      </c>
      <c r="K280" s="77">
        <f>VLOOKUP($A280, raw_ub[], 11, FALSE)</f>
        <v>0.999</v>
      </c>
      <c r="L280" s="77">
        <f>VLOOKUP($A280, raw_ub[], 12, FALSE)</f>
        <v>0.95550000000000013</v>
      </c>
      <c r="M280" s="77">
        <f>IF(VLOOKUP($A280,raw_ub[],COLUMN(M$1),FALSE)=0, VLOOKUP($D280, regions_ub[], COLUMN(M$1), FALSE), VLOOKUP($A280,raw_ub[],COLUMN(M$1),FALSE))</f>
        <v>2.8300000000000002E-2</v>
      </c>
      <c r="N280" s="68">
        <f>IF(VLOOKUP($A280,raw_ub[],COLUMN(N$1),FALSE)=0, VLOOKUP($D280, regions_ub[], COLUMN(N$1), FALSE), VLOOKUP($A280,raw_ub[],COLUMN(N$1),FALSE))</f>
        <v>0.37619999999999998</v>
      </c>
      <c r="O280" s="67">
        <f>IF(VLOOKUP($A280,raw_ub[],COLUMN(O$1),FALSE)=0, VLOOKUP($D280, regions_ub[], COLUMN(O$1), FALSE), VLOOKUP($A280,raw_ub[],COLUMN(O$1),FALSE))</f>
        <v>0.9</v>
      </c>
      <c r="P280" s="68">
        <f>IF(VLOOKUP($A280,raw_ub[],COLUMN(P$1),FALSE)=0, VLOOKUP($D280, regions_ub[], COLUMN(P$1), FALSE), VLOOKUP($A280,raw_ub[],COLUMN(P$1),FALSE))</f>
        <v>0.3</v>
      </c>
      <c r="Q280" s="70">
        <f>IF(VLOOKUP($A280,raw_ub[],COLUMN(Q$1),FALSE)=0, VLOOKUP($D280, regions_ub[], COLUMN(Q$1), FALSE), VLOOKUP($A280,raw_ub[],COLUMN(Q$1),FALSE))</f>
        <v>15.938241417591801</v>
      </c>
      <c r="R280" s="70">
        <f>IF(VLOOKUP($A280,raw_ub[],COLUMN(R$1),FALSE)=0, VLOOKUP($D280, regions_ub[], COLUMN(R$1), FALSE), VLOOKUP($A280,raw_ub[],COLUMN(R$1),FALSE))</f>
        <v>124.92404141759181</v>
      </c>
      <c r="S280" s="70">
        <f>IF(VLOOKUP($A280,raw_ub[],COLUMN(S$1),FALSE)=0, VLOOKUP($D280, regions_ub[], COLUMN(S$1), FALSE), VLOOKUP($A280,raw_ub[],COLUMN(S$1),FALSE))</f>
        <v>181.95889054519026</v>
      </c>
      <c r="T280" s="70">
        <f>IF(VLOOKUP($A280,raw_ub[],COLUMN(U$1)-COLUMN($A$1),FALSE)=0, VLOOKUP($D280, regions_ub[], COLUMN(U$1)-COLUMN($A$1), FALSE), VLOOKUP($A280,raw_ub[],COLUMN(U$1)-COLUMN($A$1),FALSE))</f>
        <v>196.43554735521155</v>
      </c>
      <c r="U280" s="70">
        <f>IF(VLOOKUP($A280,raw_ub[],COLUMN(V$1)-COLUMN($A$1),FALSE)=0, VLOOKUP($D280, regions_ub[], COLUMN(V$1)-COLUMN($A$1), FALSE), VLOOKUP($A280,raw_ub[],COLUMN(V$1)-COLUMN($A$1),FALSE))</f>
        <v>189.78817254559212</v>
      </c>
      <c r="V280" s="70">
        <f>IF(VLOOKUP($A280,raw_ub[],COLUMN(W$1)-COLUMN($A$1),FALSE)=0, VLOOKUP($D280, regions_ub[], COLUMN(W$1)-COLUMN($A$1), FALSE), VLOOKUP($A280,raw_ub[],COLUMN(W$1)-COLUMN($A$1),FALSE))</f>
        <v>7.1151481351972139</v>
      </c>
      <c r="W280" s="70">
        <f>IF(VLOOKUP($A280,raw_ub[],COLUMN(X$1)-COLUMN($A$1),FALSE)=0, VLOOKUP($D280, regions_ub[], COLUMN(X$1)-COLUMN($A$1), FALSE), VLOOKUP($A280,raw_ub[],COLUMN(X$1)-COLUMN($A$1),FALSE))</f>
        <v>7.6191481351972143</v>
      </c>
      <c r="X280" s="70">
        <f>IF(VLOOKUP($A280,raw_ub[],COLUMN(Y$1)-COLUMN($A$1),FALSE)=0, VLOOKUP($D280, regions_ub[], COLUMN(Y$1)-COLUMN($A$1), FALSE), VLOOKUP($A280,raw_ub[],COLUMN(Y$1)-COLUMN($A$1),FALSE))</f>
        <v>7.0763919366605323</v>
      </c>
      <c r="Y280" s="70">
        <f>IF(VLOOKUP($A280,raw_ub[],COLUMN(Z$1)-COLUMN($A$1),FALSE)=0, VLOOKUP($D280, regions_ub[], COLUMN(Z$1)-COLUMN($A$1), FALSE), VLOOKUP($A280,raw_ub[],COLUMN(Z$1)-COLUMN($A$1),FALSE))</f>
        <v>7.5803919366605328</v>
      </c>
      <c r="Z280" s="70">
        <f>IF(VLOOKUP($A280,raw_ub[],COLUMN(AA$1)-COLUMN($A$1),FALSE)=0, VLOOKUP($D280, regions_ub[], COLUMN(AA$1)-COLUMN($A$1), FALSE), VLOOKUP($A280,raw_ub[],COLUMN(AA$1)-COLUMN($A$1),FALSE))</f>
        <v>7.5571872459880076</v>
      </c>
      <c r="AA280" s="70">
        <f>IF(VLOOKUP($A280,raw_ub[],COLUMN(AB$1)-COLUMN($A$1),FALSE)=0, VLOOKUP($D280, regions_ub[], COLUMN(AB$1)-COLUMN($A$1), FALSE), VLOOKUP($A280,raw_ub[],COLUMN(AB$1)-COLUMN($A$1),FALSE))</f>
        <v>7.1240918733210634</v>
      </c>
      <c r="AB280" s="70">
        <f>IF(VLOOKUP($A280,raw_ub[],COLUMN(AC$1)-COLUMN($A$1),FALSE)=0, VLOOKUP($D280, regions_ub[], COLUMN(AC$1)-COLUMN($A$1), FALSE), VLOOKUP($A280,raw_ub[],COLUMN(AC$1)-COLUMN($A$1),FALSE))</f>
        <v>7.628091873321063</v>
      </c>
      <c r="AC280" s="72">
        <f>IF(VLOOKUP($A280,raw_ub[],COLUMN(AD$1)-COLUMN($A$1),FALSE)=0, VLOOKUP($D280, regions_ub[], COLUMN(AD$1)-COLUMN($A$1), FALSE), VLOOKUP($A280,raw_ub[],COLUMN(AD$1)-COLUMN($A$1),FALSE))</f>
        <v>2.2311575999999965E-2</v>
      </c>
      <c r="AD280" s="72">
        <f>IF(VLOOKUP($A280,raw_ub[],COLUMN(AE$1)-COLUMN($A$1),FALSE)=0, VLOOKUP($D280, regions_ub[], COLUMN(AE$1)-COLUMN($A$1), FALSE), VLOOKUP($A280,raw_ub[],COLUMN(AE$1)-COLUMN($A$1),FALSE))</f>
        <v>9.1728614844261357E-4</v>
      </c>
      <c r="AE280" s="72">
        <f>IF(VLOOKUP($A280,raw_ub[],COLUMN(AF$1)-COLUMN($A$1),FALSE)=0, VLOOKUP($D280, regions_ub[], COLUMN(AF$1)-COLUMN($A$1), FALSE), VLOOKUP($A280,raw_ub[],COLUMN(AF$1)-COLUMN($A$1),FALSE))</f>
        <v>4.6792589971866454E-4</v>
      </c>
      <c r="AF280" s="72">
        <f>IF(VLOOKUP($A280,raw_ub[],COLUMN(AG$1)-COLUMN($A$1),FALSE)=0, VLOOKUP($D280, regions_ub[], COLUMN(AG$1)-COLUMN($A$1), FALSE), VLOOKUP($A280,raw_ub[],COLUMN(AG$1)-COLUMN($A$1),FALSE))</f>
        <v>4.1573488014981416E-4</v>
      </c>
      <c r="AG280" s="72">
        <f>IF(VLOOKUP($A280,raw_ub[],COLUMN(AH$1)-COLUMN($A$1),FALSE)=0, VLOOKUP($D280, regions_ub[], COLUMN(AH$1)-COLUMN($A$1), FALSE), VLOOKUP($A280,raw_ub[],COLUMN(AH$1)-COLUMN($A$1),FALSE))</f>
        <v>5.9540197294586175E-4</v>
      </c>
      <c r="AH280" s="72">
        <f>IF(VLOOKUP($A280,raw_ub[],COLUMN(AI$1)-COLUMN($A$1),FALSE)=0, VLOOKUP($D280, regions_ub[], COLUMN(AI$1)-COLUMN($A$1), FALSE), VLOOKUP($A280,raw_ub[],COLUMN(AI$1)-COLUMN($A$1),FALSE))</f>
        <v>7.747306562901707E-4</v>
      </c>
      <c r="AI280" s="72">
        <f>IF(VLOOKUP($A280,raw_ub[],COLUMN(AJ$1)-COLUMN($A$1),FALSE)=0, VLOOKUP($D280, regions_ub[], COLUMN(AJ$1)-COLUMN($A$1), FALSE), VLOOKUP($A280,raw_ub[],COLUMN(AJ$1)-COLUMN($A$1),FALSE))</f>
        <v>9.1424131136401507E-4</v>
      </c>
      <c r="AJ280" s="72">
        <f>IF(VLOOKUP($A280,raw_ub[],COLUMN(AK$1)-COLUMN($A$1),FALSE)=0, VLOOKUP($D280, regions_ub[], COLUMN(AK$1)-COLUMN($A$1), FALSE), VLOOKUP($A280,raw_ub[],COLUMN(AK$1)-COLUMN($A$1),FALSE))</f>
        <v>1.0799953396655735E-3</v>
      </c>
      <c r="AK280" s="72">
        <f>IF(VLOOKUP($A280,raw_ub[],COLUMN(AL$1)-COLUMN($A$1),FALSE)=0, VLOOKUP($D280, regions_ub[], COLUMN(AL$1)-COLUMN($A$1), FALSE), VLOOKUP($A280,raw_ub[],COLUMN(AL$1)-COLUMN($A$1),FALSE))</f>
        <v>1.4499923281177959E-3</v>
      </c>
      <c r="AL280" s="72">
        <f>IF(VLOOKUP($A280,raw_ub[],COLUMN(AM$1)-COLUMN($A$1),FALSE)=0, VLOOKUP($D280, regions_ub[], COLUMN(AM$1)-COLUMN($A$1), FALSE), VLOOKUP($A280,raw_ub[],COLUMN(AM$1)-COLUMN($A$1),FALSE))</f>
        <v>1.9653541907429014E-3</v>
      </c>
      <c r="AM280" s="72">
        <f>IF(VLOOKUP($A280,raw_ub[],COLUMN(AN$1)-COLUMN($A$1),FALSE)=0, VLOOKUP($D280, regions_ub[], COLUMN(AN$1)-COLUMN($A$1), FALSE), VLOOKUP($A280,raw_ub[],COLUMN(AN$1)-COLUMN($A$1),FALSE))</f>
        <v>2.8736961696675003E-3</v>
      </c>
      <c r="AN280" s="72">
        <f>IF(VLOOKUP($A280,raw_ub[],COLUMN(AO$1)-COLUMN($A$1),FALSE)=0, VLOOKUP($D280, regions_ub[], COLUMN(AO$1)-COLUMN($A$1), FALSE), VLOOKUP($A280,raw_ub[],COLUMN(AO$1)-COLUMN($A$1),FALSE))</f>
        <v>4.248034096895701E-3</v>
      </c>
      <c r="AO280" s="72">
        <f>IF(VLOOKUP($A280,raw_ub[],COLUMN(AP$1)-COLUMN($A$1),FALSE)=0, VLOOKUP($D280, regions_ub[], COLUMN(AP$1)-COLUMN($A$1), FALSE), VLOOKUP($A280,raw_ub[],COLUMN(AP$1)-COLUMN($A$1),FALSE))</f>
        <v>6.4292786291832828E-3</v>
      </c>
      <c r="AP280" s="72">
        <f>IF(VLOOKUP($A280,raw_ub[],COLUMN(AQ$1)-COLUMN($A$1),FALSE)=0, VLOOKUP($D280, regions_ub[], COLUMN(AQ$1)-COLUMN($A$1), FALSE), VLOOKUP($A280,raw_ub[],COLUMN(AQ$1)-COLUMN($A$1),FALSE))</f>
        <v>1.0189366876116235E-2</v>
      </c>
      <c r="AQ280" s="72">
        <f>IF(VLOOKUP($A280,raw_ub[],COLUMN(AR$1)-COLUMN($A$1),FALSE)=0, VLOOKUP($D280, regions_ub[], COLUMN(AR$1)-COLUMN($A$1), FALSE), VLOOKUP($A280,raw_ub[],COLUMN(AR$1)-COLUMN($A$1),FALSE))</f>
        <v>1.5479331515656235E-2</v>
      </c>
      <c r="AR280" s="72">
        <f>IF(VLOOKUP($A280,raw_ub[],COLUMN(AS$1)-COLUMN($A$1),FALSE)=0, VLOOKUP($D280, regions_ub[], COLUMN(AS$1)-COLUMN($A$1), FALSE), VLOOKUP($A280,raw_ub[],COLUMN(AS$1)-COLUMN($A$1),FALSE))</f>
        <v>2.5223232055600318E-2</v>
      </c>
      <c r="AS280" s="72">
        <f>IF(VLOOKUP($A280,raw_ub[],COLUMN(AT$1)-COLUMN($A$1),FALSE)=0, VLOOKUP($D280, regions_ub[], COLUMN(AT$1)-COLUMN($A$1), FALSE), VLOOKUP($A280,raw_ub[],COLUMN(AT$1)-COLUMN($A$1),FALSE))</f>
        <v>4.2652761493149408E-2</v>
      </c>
      <c r="AT280" s="82">
        <f>IF(VLOOKUP($A280,raw_ub[],COLUMN(AT$1),FALSE)=0, VLOOKUP($D280, regions_ub[], COLUMN(AT$1), FALSE), VLOOKUP($A280,raw_ub[],COLUMN(AT$1),FALSE))</f>
        <v>7.0468302694853033E-2</v>
      </c>
      <c r="AU280" s="82">
        <f>IF(VLOOKUP($A280,raw_ub[],COLUMN(AU$1),FALSE)=0, VLOOKUP($D280, regions_ub[], COLUMN(AU$1), FALSE), VLOOKUP($A280,raw_ub[],COLUMN(AU$1),FALSE))</f>
        <v>0.10594771670660426</v>
      </c>
      <c r="AV280" s="82">
        <f>IF(VLOOKUP($A280,raw_ub[],COLUMN(AV$1),FALSE)=0, VLOOKUP($D280, regions_ub[], COLUMN(AV$1), FALSE), VLOOKUP($A280,raw_ub[],COLUMN(AV$1),FALSE))</f>
        <v>0.14176084972045894</v>
      </c>
      <c r="AW280" s="82">
        <f>IF(VLOOKUP($A280,raw_ub[],COLUMN(AW$1),FALSE)=0, VLOOKUP($D280, regions_ub[], COLUMN(AW$1), FALSE), VLOOKUP($A280,raw_ub[],COLUMN(AW$1),FALSE))</f>
        <v>0.1708921147588971</v>
      </c>
      <c r="AX280" s="82">
        <f>IF(VLOOKUP($A280,raw_ub[],COLUMN(AX$1),FALSE)=0, VLOOKUP($D280, regions_ub[], COLUMN(AX$1), FALSE), VLOOKUP($A280,raw_ub[],COLUMN(AX$1),FALSE))</f>
        <v>80.422650000000004</v>
      </c>
      <c r="AY280" t="str">
        <f t="shared" si="10"/>
        <v>No</v>
      </c>
    </row>
    <row r="281" spans="1:51" x14ac:dyDescent="0.25">
      <c r="A281" s="55" t="s">
        <v>208</v>
      </c>
      <c r="B281" s="56" t="s">
        <v>209</v>
      </c>
      <c r="C281" s="56">
        <v>24</v>
      </c>
      <c r="D281" s="56" t="s">
        <v>207</v>
      </c>
      <c r="E281" s="56" t="s">
        <v>210</v>
      </c>
      <c r="F281" s="56" t="s">
        <v>211</v>
      </c>
      <c r="G281" s="56" t="s">
        <v>212</v>
      </c>
      <c r="H281" s="74"/>
      <c r="I281" s="74"/>
      <c r="J281" s="67">
        <f>IF(VLOOKUP($A281,raw_ub[],COLUMN(J$1),FALSE)=0, VLOOKUP($D281, regions_ub[], COLUMN(J$1), FALSE), VLOOKUP($A281,raw_ub[],COLUMN(J$1),FALSE))</f>
        <v>0.47880000000000006</v>
      </c>
      <c r="K281" s="77">
        <f>VLOOKUP($A281, raw_ub[], 11, FALSE)</f>
        <v>0</v>
      </c>
      <c r="L281" s="77">
        <f>VLOOKUP($A281, raw_ub[], 12, FALSE)</f>
        <v>0.49349999999999999</v>
      </c>
      <c r="M281" s="77">
        <f>IF(VLOOKUP($A281,raw_ub[],COLUMN(M$1),FALSE)=0, VLOOKUP($D281, regions_ub[], COLUMN(M$1), FALSE), VLOOKUP($A281,raw_ub[],COLUMN(M$1),FALSE))</f>
        <v>0.1216</v>
      </c>
      <c r="N281" s="68">
        <f>IF(VLOOKUP($A281,raw_ub[],COLUMN(N$1),FALSE)=0, VLOOKUP($D281, regions_ub[], COLUMN(N$1), FALSE), VLOOKUP($A281,raw_ub[],COLUMN(N$1),FALSE))</f>
        <v>0.40200000000000002</v>
      </c>
      <c r="O281" s="67">
        <f>IF(VLOOKUP($A281,raw_ub[],COLUMN(O$1),FALSE)=0, VLOOKUP($D281, regions_ub[], COLUMN(O$1), FALSE), VLOOKUP($A281,raw_ub[],COLUMN(O$1),FALSE))</f>
        <v>0.74399999999999999</v>
      </c>
      <c r="P281" s="68">
        <f>IF(VLOOKUP($A281,raw_ub[],COLUMN(P$1),FALSE)=0, VLOOKUP($D281, regions_ub[], COLUMN(P$1), FALSE), VLOOKUP($A281,raw_ub[],COLUMN(P$1),FALSE))</f>
        <v>0.13300000000000001</v>
      </c>
      <c r="Q281" s="70">
        <f>IF(VLOOKUP($A281,raw_ub[],COLUMN(Q$1),FALSE)=0, VLOOKUP($D281, regions_ub[], COLUMN(Q$1), FALSE), VLOOKUP($A281,raw_ub[],COLUMN(Q$1),FALSE))</f>
        <v>19.262564202589701</v>
      </c>
      <c r="R281" s="70">
        <f>IF(VLOOKUP($A281,raw_ub[],COLUMN(R$1),FALSE)=0, VLOOKUP($D281, regions_ub[], COLUMN(R$1), FALSE), VLOOKUP($A281,raw_ub[],COLUMN(R$1),FALSE))</f>
        <v>128.2483642025897</v>
      </c>
      <c r="S281" s="70">
        <f>IF(VLOOKUP($A281,raw_ub[],COLUMN(S$1),FALSE)=0, VLOOKUP($D281, regions_ub[], COLUMN(S$1), FALSE), VLOOKUP($A281,raw_ub[],COLUMN(S$1),FALSE))</f>
        <v>186.56325956075275</v>
      </c>
      <c r="T281" s="70">
        <f>IF(VLOOKUP($A281,raw_ub[],COLUMN(U$1)-COLUMN($A$1),FALSE)=0, VLOOKUP($D281, regions_ub[], COLUMN(U$1)-COLUMN($A$1), FALSE), VLOOKUP($A281,raw_ub[],COLUMN(U$1)-COLUMN($A$1),FALSE))</f>
        <v>201.70613569469833</v>
      </c>
      <c r="U281" s="70">
        <f>IF(VLOOKUP($A281,raw_ub[],COLUMN(V$1)-COLUMN($A$1),FALSE)=0, VLOOKUP($D281, regions_ub[], COLUMN(V$1)-COLUMN($A$1), FALSE), VLOOKUP($A281,raw_ub[],COLUMN(V$1)-COLUMN($A$1),FALSE))</f>
        <v>194.7528470536154</v>
      </c>
      <c r="V281" s="70">
        <f>IF(VLOOKUP($A281,raw_ub[],COLUMN(W$1)-COLUMN($A$1),FALSE)=0, VLOOKUP($D281, regions_ub[], COLUMN(W$1)-COLUMN($A$1), FALSE), VLOOKUP($A281,raw_ub[],COLUMN(W$1)-COLUMN($A$1),FALSE))</f>
        <v>3.2705957962531658</v>
      </c>
      <c r="W281" s="70">
        <f>IF(VLOOKUP($A281,raw_ub[],COLUMN(X$1)-COLUMN($A$1),FALSE)=0, VLOOKUP($D281, regions_ub[], COLUMN(X$1)-COLUMN($A$1), FALSE), VLOOKUP($A281,raw_ub[],COLUMN(X$1)-COLUMN($A$1),FALSE))</f>
        <v>8.3420957962531652</v>
      </c>
      <c r="X281" s="70">
        <f>IF(VLOOKUP($A281,raw_ub[],COLUMN(Y$1)-COLUMN($A$1),FALSE)=0, VLOOKUP($D281, regions_ub[], COLUMN(Y$1)-COLUMN($A$1), FALSE), VLOOKUP($A281,raw_ub[],COLUMN(Y$1)-COLUMN($A$1),FALSE))</f>
        <v>3.2505050600017467</v>
      </c>
      <c r="Y281" s="70">
        <f>IF(VLOOKUP($A281,raw_ub[],COLUMN(Z$1)-COLUMN($A$1),FALSE)=0, VLOOKUP($D281, regions_ub[], COLUMN(Z$1)-COLUMN($A$1), FALSE), VLOOKUP($A281,raw_ub[],COLUMN(Z$1)-COLUMN($A$1),FALSE))</f>
        <v>8.3220050600017466</v>
      </c>
      <c r="Z281" s="70">
        <f>IF(VLOOKUP($A281,raw_ub[],COLUMN(AA$1)-COLUMN($A$1),FALSE)=0, VLOOKUP($D281, regions_ub[], COLUMN(AA$1)-COLUMN($A$1), FALSE), VLOOKUP($A281,raw_ub[],COLUMN(AA$1)-COLUMN($A$1),FALSE))</f>
        <v>8.3104347916140391</v>
      </c>
      <c r="AA281" s="70">
        <f>IF(VLOOKUP($A281,raw_ub[],COLUMN(AB$1)-COLUMN($A$1),FALSE)=0, VLOOKUP($D281, regions_ub[], COLUMN(AB$1)-COLUMN($A$1), FALSE), VLOOKUP($A281,raw_ub[],COLUMN(AB$1)-COLUMN($A$1),FALSE))</f>
        <v>3.2752321200034933</v>
      </c>
      <c r="AB281" s="70">
        <f>IF(VLOOKUP($A281,raw_ub[],COLUMN(AC$1)-COLUMN($A$1),FALSE)=0, VLOOKUP($D281, regions_ub[], COLUMN(AC$1)-COLUMN($A$1), FALSE), VLOOKUP($A281,raw_ub[],COLUMN(AC$1)-COLUMN($A$1),FALSE))</f>
        <v>8.3467321200034945</v>
      </c>
      <c r="AC281" s="72">
        <f>IF(VLOOKUP($A281,raw_ub[],COLUMN(AD$1)-COLUMN($A$1),FALSE)=0, VLOOKUP($D281, regions_ub[], COLUMN(AD$1)-COLUMN($A$1), FALSE), VLOOKUP($A281,raw_ub[],COLUMN(AD$1)-COLUMN($A$1),FALSE))</f>
        <v>6.4532390999999953E-2</v>
      </c>
      <c r="AD281" s="72">
        <f>IF(VLOOKUP($A281,raw_ub[],COLUMN(AE$1)-COLUMN($A$1),FALSE)=0, VLOOKUP($D281, regions_ub[], COLUMN(AE$1)-COLUMN($A$1), FALSE), VLOOKUP($A281,raw_ub[],COLUMN(AE$1)-COLUMN($A$1),FALSE))</f>
        <v>5.4345303321887391E-3</v>
      </c>
      <c r="AE281" s="72">
        <f>IF(VLOOKUP($A281,raw_ub[],COLUMN(AF$1)-COLUMN($A$1),FALSE)=0, VLOOKUP($D281, regions_ub[], COLUMN(AF$1)-COLUMN($A$1), FALSE), VLOOKUP($A281,raw_ub[],COLUMN(AF$1)-COLUMN($A$1),FALSE))</f>
        <v>2.0035212324966667E-3</v>
      </c>
      <c r="AF281" s="72">
        <f>IF(VLOOKUP($A281,raw_ub[],COLUMN(AG$1)-COLUMN($A$1),FALSE)=0, VLOOKUP($D281, regions_ub[], COLUMN(AG$1)-COLUMN($A$1), FALSE), VLOOKUP($A281,raw_ub[],COLUMN(AG$1)-COLUMN($A$1),FALSE))</f>
        <v>1.4609876587366316E-3</v>
      </c>
      <c r="AG281" s="72">
        <f>IF(VLOOKUP($A281,raw_ub[],COLUMN(AH$1)-COLUMN($A$1),FALSE)=0, VLOOKUP($D281, regions_ub[], COLUMN(AH$1)-COLUMN($A$1), FALSE), VLOOKUP($A281,raw_ub[],COLUMN(AH$1)-COLUMN($A$1),FALSE))</f>
        <v>2.4542422109967385E-3</v>
      </c>
      <c r="AH281" s="72">
        <f>IF(VLOOKUP($A281,raw_ub[],COLUMN(AI$1)-COLUMN($A$1),FALSE)=0, VLOOKUP($D281, regions_ub[], COLUMN(AI$1)-COLUMN($A$1), FALSE), VLOOKUP($A281,raw_ub[],COLUMN(AI$1)-COLUMN($A$1),FALSE))</f>
        <v>3.4179070351698709E-3</v>
      </c>
      <c r="AI281" s="72">
        <f>IF(VLOOKUP($A281,raw_ub[],COLUMN(AJ$1)-COLUMN($A$1),FALSE)=0, VLOOKUP($D281, regions_ub[], COLUMN(AJ$1)-COLUMN($A$1), FALSE), VLOOKUP($A281,raw_ub[],COLUMN(AJ$1)-COLUMN($A$1),FALSE))</f>
        <v>3.768052153565302E-3</v>
      </c>
      <c r="AJ281" s="72">
        <f>IF(VLOOKUP($A281,raw_ub[],COLUMN(AK$1)-COLUMN($A$1),FALSE)=0, VLOOKUP($D281, regions_ub[], COLUMN(AK$1)-COLUMN($A$1), FALSE), VLOOKUP($A281,raw_ub[],COLUMN(AK$1)-COLUMN($A$1),FALSE))</f>
        <v>4.3477773916513248E-3</v>
      </c>
      <c r="AK281" s="72">
        <f>IF(VLOOKUP($A281,raw_ub[],COLUMN(AL$1)-COLUMN($A$1),FALSE)=0, VLOOKUP($D281, regions_ub[], COLUMN(AL$1)-COLUMN($A$1), FALSE), VLOOKUP($A281,raw_ub[],COLUMN(AL$1)-COLUMN($A$1),FALSE))</f>
        <v>5.3956705024911181E-3</v>
      </c>
      <c r="AL281" s="72">
        <f>IF(VLOOKUP($A281,raw_ub[],COLUMN(AM$1)-COLUMN($A$1),FALSE)=0, VLOOKUP($D281, regions_ub[], COLUMN(AM$1)-COLUMN($A$1), FALSE), VLOOKUP($A281,raw_ub[],COLUMN(AM$1)-COLUMN($A$1),FALSE))</f>
        <v>6.9254589752708491E-3</v>
      </c>
      <c r="AM281" s="72">
        <f>IF(VLOOKUP($A281,raw_ub[],COLUMN(AN$1)-COLUMN($A$1),FALSE)=0, VLOOKUP($D281, regions_ub[], COLUMN(AN$1)-COLUMN($A$1), FALSE), VLOOKUP($A281,raw_ub[],COLUMN(AN$1)-COLUMN($A$1),FALSE))</f>
        <v>9.2541198961064025E-3</v>
      </c>
      <c r="AN281" s="72">
        <f>IF(VLOOKUP($A281,raw_ub[],COLUMN(AO$1)-COLUMN($A$1),FALSE)=0, VLOOKUP($D281, regions_ub[], COLUMN(AO$1)-COLUMN($A$1), FALSE), VLOOKUP($A281,raw_ub[],COLUMN(AO$1)-COLUMN($A$1),FALSE))</f>
        <v>1.2954744915703672E-2</v>
      </c>
      <c r="AO281" s="72">
        <f>IF(VLOOKUP($A281,raw_ub[],COLUMN(AP$1)-COLUMN($A$1),FALSE)=0, VLOOKUP($D281, regions_ub[], COLUMN(AP$1)-COLUMN($A$1), FALSE), VLOOKUP($A281,raw_ub[],COLUMN(AP$1)-COLUMN($A$1),FALSE))</f>
        <v>1.8256968023479328E-2</v>
      </c>
      <c r="AP281" s="72">
        <f>IF(VLOOKUP($A281,raw_ub[],COLUMN(AQ$1)-COLUMN($A$1),FALSE)=0, VLOOKUP($D281, regions_ub[], COLUMN(AQ$1)-COLUMN($A$1), FALSE), VLOOKUP($A281,raw_ub[],COLUMN(AQ$1)-COLUMN($A$1),FALSE))</f>
        <v>2.692097326954649E-2</v>
      </c>
      <c r="AQ281" s="72">
        <f>IF(VLOOKUP($A281,raw_ub[],COLUMN(AR$1)-COLUMN($A$1),FALSE)=0, VLOOKUP($D281, regions_ub[], COLUMN(AR$1)-COLUMN($A$1), FALSE), VLOOKUP($A281,raw_ub[],COLUMN(AR$1)-COLUMN($A$1),FALSE))</f>
        <v>3.9478208605023296E-2</v>
      </c>
      <c r="AR281" s="72">
        <f>IF(VLOOKUP($A281,raw_ub[],COLUMN(AS$1)-COLUMN($A$1),FALSE)=0, VLOOKUP($D281, regions_ub[], COLUMN(AS$1)-COLUMN($A$1), FALSE), VLOOKUP($A281,raw_ub[],COLUMN(AS$1)-COLUMN($A$1),FALSE))</f>
        <v>5.8337463884613729E-2</v>
      </c>
      <c r="AS281" s="72">
        <f>IF(VLOOKUP($A281,raw_ub[],COLUMN(AT$1)-COLUMN($A$1),FALSE)=0, VLOOKUP($D281, regions_ub[], COLUMN(AT$1)-COLUMN($A$1), FALSE), VLOOKUP($A281,raw_ub[],COLUMN(AT$1)-COLUMN($A$1),FALSE))</f>
        <v>8.3809307516354445E-2</v>
      </c>
      <c r="AT281" s="82">
        <f>IF(VLOOKUP($A281,raw_ub[],COLUMN(AT$1),FALSE)=0, VLOOKUP($D281, regions_ub[], COLUMN(AT$1), FALSE), VLOOKUP($A281,raw_ub[],COLUMN(AT$1),FALSE))</f>
        <v>0.1142624331279386</v>
      </c>
      <c r="AU281" s="82">
        <f>IF(VLOOKUP($A281,raw_ub[],COLUMN(AU$1),FALSE)=0, VLOOKUP($D281, regions_ub[], COLUMN(AU$1), FALSE), VLOOKUP($A281,raw_ub[],COLUMN(AU$1),FALSE))</f>
        <v>0.14275897860953365</v>
      </c>
      <c r="AV281" s="82">
        <f>IF(VLOOKUP($A281,raw_ub[],COLUMN(AV$1),FALSE)=0, VLOOKUP($D281, regions_ub[], COLUMN(AV$1), FALSE), VLOOKUP($A281,raw_ub[],COLUMN(AV$1),FALSE))</f>
        <v>0.16790287143768604</v>
      </c>
      <c r="AW281" s="82">
        <f>IF(VLOOKUP($A281,raw_ub[],COLUMN(AW$1),FALSE)=0, VLOOKUP($D281, regions_ub[], COLUMN(AW$1), FALSE), VLOOKUP($A281,raw_ub[],COLUMN(AW$1),FALSE))</f>
        <v>0.18688489258104082</v>
      </c>
      <c r="AX281" s="82">
        <f>IF(VLOOKUP($A281,raw_ub[],COLUMN(AX$1),FALSE)=0, VLOOKUP($D281, regions_ub[], COLUMN(AX$1), FALSE), VLOOKUP($A281,raw_ub[],COLUMN(AX$1),FALSE))</f>
        <v>63.567</v>
      </c>
      <c r="AY281" t="str">
        <f t="shared" si="10"/>
        <v>Yes</v>
      </c>
    </row>
    <row r="282" spans="1:51" x14ac:dyDescent="0.25">
      <c r="A282" s="53" t="s">
        <v>213</v>
      </c>
      <c r="B282" s="54" t="s">
        <v>214</v>
      </c>
      <c r="C282" s="54">
        <v>32</v>
      </c>
      <c r="D282" s="54" t="s">
        <v>215</v>
      </c>
      <c r="E282" s="54" t="s">
        <v>216</v>
      </c>
      <c r="F282" s="54" t="s">
        <v>217</v>
      </c>
      <c r="G282" s="54" t="s">
        <v>204</v>
      </c>
      <c r="H282" s="73"/>
      <c r="I282" s="73"/>
      <c r="J282" s="67">
        <f>IF(VLOOKUP($A282,raw_ub[],COLUMN(J$1),FALSE)=0, VLOOKUP($D282, regions_ub[], COLUMN(J$1), FALSE), VLOOKUP($A282,raw_ub[],COLUMN(J$1),FALSE))</f>
        <v>0.999</v>
      </c>
      <c r="K282" s="77">
        <f>VLOOKUP($A282, raw_ub[], 11, FALSE)</f>
        <v>0.75600000000000001</v>
      </c>
      <c r="L282" s="77">
        <f>VLOOKUP($A282, raw_ub[], 12, FALSE)</f>
        <v>0.77700000000000002</v>
      </c>
      <c r="M282" s="77">
        <f>IF(VLOOKUP($A282,raw_ub[],COLUMN(M$1),FALSE)=0, VLOOKUP($D282, regions_ub[], COLUMN(M$1), FALSE), VLOOKUP($A282,raw_ub[],COLUMN(M$1),FALSE))</f>
        <v>4.0000000000000001E-3</v>
      </c>
      <c r="N282" s="68">
        <f>IF(VLOOKUP($A282,raw_ub[],COLUMN(N$1),FALSE)=0, VLOOKUP($D282, regions_ub[], COLUMN(N$1), FALSE), VLOOKUP($A282,raw_ub[],COLUMN(N$1),FALSE))</f>
        <v>0.45710000000000001</v>
      </c>
      <c r="O282" s="67">
        <f>IF(VLOOKUP($A282,raw_ub[],COLUMN(O$1),FALSE)=0, VLOOKUP($D282, regions_ub[], COLUMN(O$1), FALSE), VLOOKUP($A282,raw_ub[],COLUMN(O$1),FALSE))</f>
        <v>0.9</v>
      </c>
      <c r="P282" s="68">
        <f>IF(VLOOKUP($A282,raw_ub[],COLUMN(P$1),FALSE)=0, VLOOKUP($D282, regions_ub[], COLUMN(P$1), FALSE), VLOOKUP($A282,raw_ub[],COLUMN(P$1),FALSE))</f>
        <v>0.3</v>
      </c>
      <c r="Q282" s="70">
        <f>IF(VLOOKUP($A282,raw_ub[],COLUMN(Q$1),FALSE)=0, VLOOKUP($D282, regions_ub[], COLUMN(Q$1), FALSE), VLOOKUP($A282,raw_ub[],COLUMN(Q$1),FALSE))</f>
        <v>43.310299731600502</v>
      </c>
      <c r="R282" s="70">
        <f>IF(VLOOKUP($A282,raw_ub[],COLUMN(R$1),FALSE)=0, VLOOKUP($D282, regions_ub[], COLUMN(R$1), FALSE), VLOOKUP($A282,raw_ub[],COLUMN(R$1),FALSE))</f>
        <v>152.29609973160052</v>
      </c>
      <c r="S282" s="70">
        <f>IF(VLOOKUP($A282,raw_ub[],COLUMN(S$1),FALSE)=0, VLOOKUP($D282, regions_ub[], COLUMN(S$1), FALSE), VLOOKUP($A282,raw_ub[],COLUMN(S$1),FALSE))</f>
        <v>281.27005904167936</v>
      </c>
      <c r="T282" s="70">
        <f>IF(VLOOKUP($A282,raw_ub[],COLUMN(U$1)-COLUMN($A$1),FALSE)=0, VLOOKUP($D282, regions_ub[], COLUMN(U$1)-COLUMN($A$1), FALSE), VLOOKUP($A282,raw_ub[],COLUMN(U$1)-COLUMN($A$1),FALSE))</f>
        <v>333.18850834723287</v>
      </c>
      <c r="U282" s="70">
        <f>IF(VLOOKUP($A282,raw_ub[],COLUMN(V$1)-COLUMN($A$1),FALSE)=0, VLOOKUP($D282, regions_ub[], COLUMN(V$1)-COLUMN($A$1), FALSE), VLOOKUP($A282,raw_ub[],COLUMN(V$1)-COLUMN($A$1),FALSE))</f>
        <v>309.34865384233535</v>
      </c>
      <c r="V282" s="70">
        <f>IF(VLOOKUP($A282,raw_ub[],COLUMN(W$1)-COLUMN($A$1),FALSE)=0, VLOOKUP($D282, regions_ub[], COLUMN(W$1)-COLUMN($A$1), FALSE), VLOOKUP($A282,raw_ub[],COLUMN(W$1)-COLUMN($A$1),FALSE))</f>
        <v>8.9317415625950645</v>
      </c>
      <c r="W282" s="70">
        <f>IF(VLOOKUP($A282,raw_ub[],COLUMN(X$1)-COLUMN($A$1),FALSE)=0, VLOOKUP($D282, regions_ub[], COLUMN(X$1)-COLUMN($A$1), FALSE), VLOOKUP($A282,raw_ub[],COLUMN(X$1)-COLUMN($A$1),FALSE))</f>
        <v>8.9527415625950653</v>
      </c>
      <c r="X282" s="70">
        <f>IF(VLOOKUP($A282,raw_ub[],COLUMN(Y$1)-COLUMN($A$1),FALSE)=0, VLOOKUP($D282, regions_ub[], COLUMN(Y$1)-COLUMN($A$1), FALSE), VLOOKUP($A282,raw_ub[],COLUMN(Y$1)-COLUMN($A$1),FALSE))</f>
        <v>8.8778984483283114</v>
      </c>
      <c r="Y282" s="70">
        <f>IF(VLOOKUP($A282,raw_ub[],COLUMN(Z$1)-COLUMN($A$1),FALSE)=0, VLOOKUP($D282, regions_ub[], COLUMN(Z$1)-COLUMN($A$1), FALSE), VLOOKUP($A282,raw_ub[],COLUMN(Z$1)-COLUMN($A$1),FALSE))</f>
        <v>8.8988984483283122</v>
      </c>
      <c r="Z282" s="70">
        <f>IF(VLOOKUP($A282,raw_ub[],COLUMN(AA$1)-COLUMN($A$1),FALSE)=0, VLOOKUP($D282, regions_ub[], COLUMN(AA$1)-COLUMN($A$1), FALSE), VLOOKUP($A282,raw_ub[],COLUMN(AA$1)-COLUMN($A$1),FALSE))</f>
        <v>8.8670519848922975</v>
      </c>
      <c r="AA282" s="70">
        <f>IF(VLOOKUP($A282,raw_ub[],COLUMN(AB$1)-COLUMN($A$1),FALSE)=0, VLOOKUP($D282, regions_ub[], COLUMN(AB$1)-COLUMN($A$1), FALSE), VLOOKUP($A282,raw_ub[],COLUMN(AB$1)-COLUMN($A$1),FALSE))</f>
        <v>8.9441668966566219</v>
      </c>
      <c r="AB282" s="70">
        <f>IF(VLOOKUP($A282,raw_ub[],COLUMN(AC$1)-COLUMN($A$1),FALSE)=0, VLOOKUP($D282, regions_ub[], COLUMN(AC$1)-COLUMN($A$1), FALSE), VLOOKUP($A282,raw_ub[],COLUMN(AC$1)-COLUMN($A$1),FALSE))</f>
        <v>8.9651668966566227</v>
      </c>
      <c r="AC282" s="72">
        <f>IF(VLOOKUP($A282,raw_ub[],COLUMN(AD$1)-COLUMN($A$1),FALSE)=0, VLOOKUP($D282, regions_ub[], COLUMN(AD$1)-COLUMN($A$1), FALSE), VLOOKUP($A282,raw_ub[],COLUMN(AD$1)-COLUMN($A$1),FALSE))</f>
        <v>1.0736449500000002E-2</v>
      </c>
      <c r="AD282" s="72">
        <f>IF(VLOOKUP($A282,raw_ub[],COLUMN(AE$1)-COLUMN($A$1),FALSE)=0, VLOOKUP($D282, regions_ub[], COLUMN(AE$1)-COLUMN($A$1), FALSE), VLOOKUP($A282,raw_ub[],COLUMN(AE$1)-COLUMN($A$1),FALSE))</f>
        <v>4.3416769719570319E-4</v>
      </c>
      <c r="AE282" s="72">
        <f>IF(VLOOKUP($A282,raw_ub[],COLUMN(AF$1)-COLUMN($A$1),FALSE)=0, VLOOKUP($D282, regions_ub[], COLUMN(AF$1)-COLUMN($A$1), FALSE), VLOOKUP($A282,raw_ub[],COLUMN(AF$1)-COLUMN($A$1),FALSE))</f>
        <v>1.9141551873711539E-4</v>
      </c>
      <c r="AF282" s="72">
        <f>IF(VLOOKUP($A282,raw_ub[],COLUMN(AG$1)-COLUMN($A$1),FALSE)=0, VLOOKUP($D282, regions_ub[], COLUMN(AG$1)-COLUMN($A$1), FALSE), VLOOKUP($A282,raw_ub[],COLUMN(AG$1)-COLUMN($A$1),FALSE))</f>
        <v>2.5058662202167312E-4</v>
      </c>
      <c r="AG282" s="72">
        <f>IF(VLOOKUP($A282,raw_ub[],COLUMN(AH$1)-COLUMN($A$1),FALSE)=0, VLOOKUP($D282, regions_ub[], COLUMN(AH$1)-COLUMN($A$1), FALSE), VLOOKUP($A282,raw_ub[],COLUMN(AH$1)-COLUMN($A$1),FALSE))</f>
        <v>7.8013312022640264E-4</v>
      </c>
      <c r="AH282" s="72">
        <f>IF(VLOOKUP($A282,raw_ub[],COLUMN(AI$1)-COLUMN($A$1),FALSE)=0, VLOOKUP($D282, regions_ub[], COLUMN(AI$1)-COLUMN($A$1), FALSE), VLOOKUP($A282,raw_ub[],COLUMN(AI$1)-COLUMN($A$1),FALSE))</f>
        <v>1.0731976901898542E-3</v>
      </c>
      <c r="AI282" s="72">
        <f>IF(VLOOKUP($A282,raw_ub[],COLUMN(AJ$1)-COLUMN($A$1),FALSE)=0, VLOOKUP($D282, regions_ub[], COLUMN(AJ$1)-COLUMN($A$1), FALSE), VLOOKUP($A282,raw_ub[],COLUMN(AJ$1)-COLUMN($A$1),FALSE))</f>
        <v>1.0793786203272516E-3</v>
      </c>
      <c r="AJ282" s="72">
        <f>IF(VLOOKUP($A282,raw_ub[],COLUMN(AK$1)-COLUMN($A$1),FALSE)=0, VLOOKUP($D282, regions_ub[], COLUMN(AK$1)-COLUMN($A$1), FALSE), VLOOKUP($A282,raw_ub[],COLUMN(AK$1)-COLUMN($A$1),FALSE))</f>
        <v>1.2233884119593069E-3</v>
      </c>
      <c r="AK282" s="72">
        <f>IF(VLOOKUP($A282,raw_ub[],COLUMN(AL$1)-COLUMN($A$1),FALSE)=0, VLOOKUP($D282, regions_ub[], COLUMN(AL$1)-COLUMN($A$1), FALSE), VLOOKUP($A282,raw_ub[],COLUMN(AL$1)-COLUMN($A$1),FALSE))</f>
        <v>1.4810442455537233E-3</v>
      </c>
      <c r="AL282" s="72">
        <f>IF(VLOOKUP($A282,raw_ub[],COLUMN(AM$1)-COLUMN($A$1),FALSE)=0, VLOOKUP($D282, regions_ub[], COLUMN(AM$1)-COLUMN($A$1), FALSE), VLOOKUP($A282,raw_ub[],COLUMN(AM$1)-COLUMN($A$1),FALSE))</f>
        <v>2.0877274634634089E-3</v>
      </c>
      <c r="AM282" s="72">
        <f>IF(VLOOKUP($A282,raw_ub[],COLUMN(AN$1)-COLUMN($A$1),FALSE)=0, VLOOKUP($D282, regions_ub[], COLUMN(AN$1)-COLUMN($A$1), FALSE), VLOOKUP($A282,raw_ub[],COLUMN(AN$1)-COLUMN($A$1),FALSE))</f>
        <v>3.3055776573060304E-3</v>
      </c>
      <c r="AN282" s="72">
        <f>IF(VLOOKUP($A282,raw_ub[],COLUMN(AO$1)-COLUMN($A$1),FALSE)=0, VLOOKUP($D282, regions_ub[], COLUMN(AO$1)-COLUMN($A$1), FALSE), VLOOKUP($A282,raw_ub[],COLUMN(AO$1)-COLUMN($A$1),FALSE))</f>
        <v>5.3326199456536919E-3</v>
      </c>
      <c r="AO282" s="72">
        <f>IF(VLOOKUP($A282,raw_ub[],COLUMN(AP$1)-COLUMN($A$1),FALSE)=0, VLOOKUP($D282, regions_ub[], COLUMN(AP$1)-COLUMN($A$1), FALSE), VLOOKUP($A282,raw_ub[],COLUMN(AP$1)-COLUMN($A$1),FALSE))</f>
        <v>8.7721580601406567E-3</v>
      </c>
      <c r="AP282" s="72">
        <f>IF(VLOOKUP($A282,raw_ub[],COLUMN(AQ$1)-COLUMN($A$1),FALSE)=0, VLOOKUP($D282, regions_ub[], COLUMN(AQ$1)-COLUMN($A$1), FALSE), VLOOKUP($A282,raw_ub[],COLUMN(AQ$1)-COLUMN($A$1),FALSE))</f>
        <v>1.317808429126319E-2</v>
      </c>
      <c r="AQ282" s="72">
        <f>IF(VLOOKUP($A282,raw_ub[],COLUMN(AR$1)-COLUMN($A$1),FALSE)=0, VLOOKUP($D282, regions_ub[], COLUMN(AR$1)-COLUMN($A$1), FALSE), VLOOKUP($A282,raw_ub[],COLUMN(AR$1)-COLUMN($A$1),FALSE))</f>
        <v>1.9845803227046845E-2</v>
      </c>
      <c r="AR282" s="72">
        <f>IF(VLOOKUP($A282,raw_ub[],COLUMN(AS$1)-COLUMN($A$1),FALSE)=0, VLOOKUP($D282, regions_ub[], COLUMN(AS$1)-COLUMN($A$1), FALSE), VLOOKUP($A282,raw_ub[],COLUMN(AS$1)-COLUMN($A$1),FALSE))</f>
        <v>2.8971093230379819E-2</v>
      </c>
      <c r="AS282" s="72">
        <f>IF(VLOOKUP($A282,raw_ub[],COLUMN(AT$1)-COLUMN($A$1),FALSE)=0, VLOOKUP($D282, regions_ub[], COLUMN(AT$1)-COLUMN($A$1), FALSE), VLOOKUP($A282,raw_ub[],COLUMN(AT$1)-COLUMN($A$1),FALSE))</f>
        <v>4.3838290922772687E-2</v>
      </c>
      <c r="AT282" s="82">
        <f>IF(VLOOKUP($A282,raw_ub[],COLUMN(AT$1),FALSE)=0, VLOOKUP($D282, regions_ub[], COLUMN(AT$1), FALSE), VLOOKUP($A282,raw_ub[],COLUMN(AT$1),FALSE))</f>
        <v>6.7833779370984573E-2</v>
      </c>
      <c r="AU282" s="82">
        <f>IF(VLOOKUP($A282,raw_ub[],COLUMN(AU$1),FALSE)=0, VLOOKUP($D282, regions_ub[], COLUMN(AU$1), FALSE), VLOOKUP($A282,raw_ub[],COLUMN(AU$1),FALSE))</f>
        <v>9.9899218330876352E-2</v>
      </c>
      <c r="AV282" s="82">
        <f>IF(VLOOKUP($A282,raw_ub[],COLUMN(AV$1),FALSE)=0, VLOOKUP($D282, regions_ub[], COLUMN(AV$1), FALSE), VLOOKUP($A282,raw_ub[],COLUMN(AV$1),FALSE))</f>
        <v>0.13596107349635994</v>
      </c>
      <c r="AW282" s="82">
        <f>IF(VLOOKUP($A282,raw_ub[],COLUMN(AW$1),FALSE)=0, VLOOKUP($D282, regions_ub[], COLUMN(AW$1), FALSE), VLOOKUP($A282,raw_ub[],COLUMN(AW$1),FALSE))</f>
        <v>0.16932898311248859</v>
      </c>
      <c r="AX282" s="82">
        <f>IF(VLOOKUP($A282,raw_ub[],COLUMN(AX$1),FALSE)=0, VLOOKUP($D282, regions_ub[], COLUMN(AX$1), FALSE), VLOOKUP($A282,raw_ub[],COLUMN(AX$1),FALSE))</f>
        <v>80.270399999999995</v>
      </c>
      <c r="AY282" t="str">
        <f t="shared" si="10"/>
        <v>No</v>
      </c>
    </row>
    <row r="283" spans="1:51" x14ac:dyDescent="0.25">
      <c r="A283" s="55" t="s">
        <v>218</v>
      </c>
      <c r="B283" s="56" t="s">
        <v>219</v>
      </c>
      <c r="C283" s="56">
        <v>51</v>
      </c>
      <c r="D283" s="56" t="s">
        <v>201</v>
      </c>
      <c r="E283" s="56" t="s">
        <v>220</v>
      </c>
      <c r="F283" s="56" t="s">
        <v>203</v>
      </c>
      <c r="G283" s="56" t="s">
        <v>204</v>
      </c>
      <c r="H283" s="74"/>
      <c r="I283" s="74"/>
      <c r="J283" s="67">
        <f>IF(VLOOKUP($A283,raw_ub[],COLUMN(J$1),FALSE)=0, VLOOKUP($D283, regions_ub[], COLUMN(J$1), FALSE), VLOOKUP($A283,raw_ub[],COLUMN(J$1),FALSE))</f>
        <v>0.999</v>
      </c>
      <c r="K283" s="77">
        <f>VLOOKUP($A283, raw_ub[], 11, FALSE)</f>
        <v>0.999</v>
      </c>
      <c r="L283" s="77">
        <f>VLOOKUP($A283, raw_ub[], 12, FALSE)</f>
        <v>0.96600000000000008</v>
      </c>
      <c r="M283" s="77">
        <f>IF(VLOOKUP($A283,raw_ub[],COLUMN(M$1),FALSE)=0, VLOOKUP($D283, regions_ub[], COLUMN(M$1), FALSE), VLOOKUP($A283,raw_ub[],COLUMN(M$1),FALSE))</f>
        <v>3.6200000000000003E-2</v>
      </c>
      <c r="N283" s="68">
        <f>IF(VLOOKUP($A283,raw_ub[],COLUMN(N$1),FALSE)=0, VLOOKUP($D283, regions_ub[], COLUMN(N$1), FALSE), VLOOKUP($A283,raw_ub[],COLUMN(N$1),FALSE))</f>
        <v>0.43079999999999996</v>
      </c>
      <c r="O283" s="67">
        <f>IF(VLOOKUP($A283,raw_ub[],COLUMN(O$1),FALSE)=0, VLOOKUP($D283, regions_ub[], COLUMN(O$1), FALSE), VLOOKUP($A283,raw_ub[],COLUMN(O$1),FALSE))</f>
        <v>0.9</v>
      </c>
      <c r="P283" s="68">
        <f>IF(VLOOKUP($A283,raw_ub[],COLUMN(P$1),FALSE)=0, VLOOKUP($D283, regions_ub[], COLUMN(P$1), FALSE), VLOOKUP($A283,raw_ub[],COLUMN(P$1),FALSE))</f>
        <v>0.3</v>
      </c>
      <c r="Q283" s="70">
        <f>IF(VLOOKUP($A283,raw_ub[],COLUMN(Q$1),FALSE)=0, VLOOKUP($D283, regions_ub[], COLUMN(Q$1), FALSE), VLOOKUP($A283,raw_ub[],COLUMN(Q$1),FALSE))</f>
        <v>17.923082970137202</v>
      </c>
      <c r="R283" s="70">
        <f>IF(VLOOKUP($A283,raw_ub[],COLUMN(R$1),FALSE)=0, VLOOKUP($D283, regions_ub[], COLUMN(R$1), FALSE), VLOOKUP($A283,raw_ub[],COLUMN(R$1),FALSE))</f>
        <v>126.90888297013721</v>
      </c>
      <c r="S283" s="70">
        <f>IF(VLOOKUP($A283,raw_ub[],COLUMN(S$1),FALSE)=0, VLOOKUP($D283, regions_ub[], COLUMN(S$1), FALSE), VLOOKUP($A283,raw_ub[],COLUMN(S$1),FALSE))</f>
        <v>178.11442755619333</v>
      </c>
      <c r="T283" s="70">
        <f>IF(VLOOKUP($A283,raw_ub[],COLUMN(U$1)-COLUMN($A$1),FALSE)=0, VLOOKUP($D283, regions_ub[], COLUMN(U$1)-COLUMN($A$1), FALSE), VLOOKUP($A283,raw_ub[],COLUMN(U$1)-COLUMN($A$1),FALSE))</f>
        <v>189.55713509322453</v>
      </c>
      <c r="U283" s="70">
        <f>IF(VLOOKUP($A283,raw_ub[],COLUMN(V$1)-COLUMN($A$1),FALSE)=0, VLOOKUP($D283, regions_ub[], COLUMN(V$1)-COLUMN($A$1), FALSE), VLOOKUP($A283,raw_ub[],COLUMN(V$1)-COLUMN($A$1),FALSE))</f>
        <v>184.3028856602443</v>
      </c>
      <c r="V283" s="70">
        <f>IF(VLOOKUP($A283,raw_ub[],COLUMN(W$1)-COLUMN($A$1),FALSE)=0, VLOOKUP($D283, regions_ub[], COLUMN(W$1)-COLUMN($A$1), FALSE), VLOOKUP($A283,raw_ub[],COLUMN(W$1)-COLUMN($A$1),FALSE))</f>
        <v>9.9409545140205697</v>
      </c>
      <c r="W283" s="70">
        <f>IF(VLOOKUP($A283,raw_ub[],COLUMN(X$1)-COLUMN($A$1),FALSE)=0, VLOOKUP($D283, regions_ub[], COLUMN(X$1)-COLUMN($A$1), FALSE), VLOOKUP($A283,raw_ub[],COLUMN(X$1)-COLUMN($A$1),FALSE))</f>
        <v>14.21445451402057</v>
      </c>
      <c r="X283" s="70">
        <f>IF(VLOOKUP($A283,raw_ub[],COLUMN(Y$1)-COLUMN($A$1),FALSE)=0, VLOOKUP($D283, regions_ub[], COLUMN(Y$1)-COLUMN($A$1), FALSE), VLOOKUP($A283,raw_ub[],COLUMN(Y$1)-COLUMN($A$1),FALSE))</f>
        <v>9.915178421528589</v>
      </c>
      <c r="Y283" s="70">
        <f>IF(VLOOKUP($A283,raw_ub[],COLUMN(Z$1)-COLUMN($A$1),FALSE)=0, VLOOKUP($D283, regions_ub[], COLUMN(Z$1)-COLUMN($A$1), FALSE), VLOOKUP($A283,raw_ub[],COLUMN(Z$1)-COLUMN($A$1),FALSE))</f>
        <v>14.188678421528589</v>
      </c>
      <c r="Z283" s="70">
        <f>IF(VLOOKUP($A283,raw_ub[],COLUMN(AA$1)-COLUMN($A$1),FALSE)=0, VLOOKUP($D283, regions_ub[], COLUMN(AA$1)-COLUMN($A$1), FALSE), VLOOKUP($A283,raw_ub[],COLUMN(AA$1)-COLUMN($A$1),FALSE))</f>
        <v>14.174070739186641</v>
      </c>
      <c r="AA283" s="70">
        <f>IF(VLOOKUP($A283,raw_ub[],COLUMN(AB$1)-COLUMN($A$1),FALSE)=0, VLOOKUP($D283, regions_ub[], COLUMN(AB$1)-COLUMN($A$1), FALSE), VLOOKUP($A283,raw_ub[],COLUMN(AB$1)-COLUMN($A$1),FALSE))</f>
        <v>9.9469028430571793</v>
      </c>
      <c r="AB283" s="70">
        <f>IF(VLOOKUP($A283,raw_ub[],COLUMN(AC$1)-COLUMN($A$1),FALSE)=0, VLOOKUP($D283, regions_ub[], COLUMN(AC$1)-COLUMN($A$1), FALSE), VLOOKUP($A283,raw_ub[],COLUMN(AC$1)-COLUMN($A$1),FALSE))</f>
        <v>14.22040284305718</v>
      </c>
      <c r="AC283" s="72">
        <f>IF(VLOOKUP($A283,raw_ub[],COLUMN(AD$1)-COLUMN($A$1),FALSE)=0, VLOOKUP($D283, regions_ub[], COLUMN(AD$1)-COLUMN($A$1), FALSE), VLOOKUP($A283,raw_ub[],COLUMN(AD$1)-COLUMN($A$1),FALSE))</f>
        <v>1.1305622999999949E-2</v>
      </c>
      <c r="AD283" s="72">
        <f>IF(VLOOKUP($A283,raw_ub[],COLUMN(AE$1)-COLUMN($A$1),FALSE)=0, VLOOKUP($D283, regions_ub[], COLUMN(AE$1)-COLUMN($A$1), FALSE), VLOOKUP($A283,raw_ub[],COLUMN(AE$1)-COLUMN($A$1),FALSE))</f>
        <v>6.3538712841229702E-4</v>
      </c>
      <c r="AE283" s="72">
        <f>IF(VLOOKUP($A283,raw_ub[],COLUMN(AF$1)-COLUMN($A$1),FALSE)=0, VLOOKUP($D283, regions_ub[], COLUMN(AF$1)-COLUMN($A$1), FALSE), VLOOKUP($A283,raw_ub[],COLUMN(AF$1)-COLUMN($A$1),FALSE))</f>
        <v>2.036205972877062E-4</v>
      </c>
      <c r="AF283" s="72">
        <f>IF(VLOOKUP($A283,raw_ub[],COLUMN(AG$1)-COLUMN($A$1),FALSE)=0, VLOOKUP($D283, regions_ub[], COLUMN(AG$1)-COLUMN($A$1), FALSE), VLOOKUP($A283,raw_ub[],COLUMN(AG$1)-COLUMN($A$1),FALSE))</f>
        <v>2.6074018110619208E-4</v>
      </c>
      <c r="AG283" s="72">
        <f>IF(VLOOKUP($A283,raw_ub[],COLUMN(AH$1)-COLUMN($A$1),FALSE)=0, VLOOKUP($D283, regions_ub[], COLUMN(AH$1)-COLUMN($A$1), FALSE), VLOOKUP($A283,raw_ub[],COLUMN(AH$1)-COLUMN($A$1),FALSE))</f>
        <v>6.6139323819383599E-4</v>
      </c>
      <c r="AH283" s="72">
        <f>IF(VLOOKUP($A283,raw_ub[],COLUMN(AI$1)-COLUMN($A$1),FALSE)=0, VLOOKUP($D283, regions_ub[], COLUMN(AI$1)-COLUMN($A$1), FALSE), VLOOKUP($A283,raw_ub[],COLUMN(AI$1)-COLUMN($A$1),FALSE))</f>
        <v>6.4808945827407572E-4</v>
      </c>
      <c r="AI283" s="72">
        <f>IF(VLOOKUP($A283,raw_ub[],COLUMN(AJ$1)-COLUMN($A$1),FALSE)=0, VLOOKUP($D283, regions_ub[], COLUMN(AJ$1)-COLUMN($A$1), FALSE), VLOOKUP($A283,raw_ub[],COLUMN(AJ$1)-COLUMN($A$1),FALSE))</f>
        <v>6.1303933032236962E-4</v>
      </c>
      <c r="AJ283" s="72">
        <f>IF(VLOOKUP($A283,raw_ub[],COLUMN(AK$1)-COLUMN($A$1),FALSE)=0, VLOOKUP($D283, regions_ub[], COLUMN(AK$1)-COLUMN($A$1), FALSE), VLOOKUP($A283,raw_ub[],COLUMN(AK$1)-COLUMN($A$1),FALSE))</f>
        <v>8.0725571675903374E-4</v>
      </c>
      <c r="AK283" s="72">
        <f>IF(VLOOKUP($A283,raw_ub[],COLUMN(AL$1)-COLUMN($A$1),FALSE)=0, VLOOKUP($D283, regions_ub[], COLUMN(AL$1)-COLUMN($A$1), FALSE), VLOOKUP($A283,raw_ub[],COLUMN(AL$1)-COLUMN($A$1),FALSE))</f>
        <v>1.2139930181896412E-3</v>
      </c>
      <c r="AL283" s="72">
        <f>IF(VLOOKUP($A283,raw_ub[],COLUMN(AM$1)-COLUMN($A$1),FALSE)=0, VLOOKUP($D283, regions_ub[], COLUMN(AM$1)-COLUMN($A$1), FALSE), VLOOKUP($A283,raw_ub[],COLUMN(AM$1)-COLUMN($A$1),FALSE))</f>
        <v>2.2839225345098143E-3</v>
      </c>
      <c r="AM283" s="72">
        <f>IF(VLOOKUP($A283,raw_ub[],COLUMN(AN$1)-COLUMN($A$1),FALSE)=0, VLOOKUP($D283, regions_ub[], COLUMN(AN$1)-COLUMN($A$1), FALSE), VLOOKUP($A283,raw_ub[],COLUMN(AN$1)-COLUMN($A$1),FALSE))</f>
        <v>3.7918392970737861E-3</v>
      </c>
      <c r="AN283" s="72">
        <f>IF(VLOOKUP($A283,raw_ub[],COLUMN(AO$1)-COLUMN($A$1),FALSE)=0, VLOOKUP($D283, regions_ub[], COLUMN(AO$1)-COLUMN($A$1), FALSE), VLOOKUP($A283,raw_ub[],COLUMN(AO$1)-COLUMN($A$1),FALSE))</f>
        <v>6.2356902461657782E-3</v>
      </c>
      <c r="AO283" s="72">
        <f>IF(VLOOKUP($A283,raw_ub[],COLUMN(AP$1)-COLUMN($A$1),FALSE)=0, VLOOKUP($D283, regions_ub[], COLUMN(AP$1)-COLUMN($A$1), FALSE), VLOOKUP($A283,raw_ub[],COLUMN(AP$1)-COLUMN($A$1),FALSE))</f>
        <v>9.3726257396530184E-3</v>
      </c>
      <c r="AP283" s="72">
        <f>IF(VLOOKUP($A283,raw_ub[],COLUMN(AQ$1)-COLUMN($A$1),FALSE)=0, VLOOKUP($D283, regions_ub[], COLUMN(AQ$1)-COLUMN($A$1), FALSE), VLOOKUP($A283,raw_ub[],COLUMN(AQ$1)-COLUMN($A$1),FALSE))</f>
        <v>1.4598259772619906E-2</v>
      </c>
      <c r="AQ283" s="72">
        <f>IF(VLOOKUP($A283,raw_ub[],COLUMN(AR$1)-COLUMN($A$1),FALSE)=0, VLOOKUP($D283, regions_ub[], COLUMN(AR$1)-COLUMN($A$1), FALSE), VLOOKUP($A283,raw_ub[],COLUMN(AR$1)-COLUMN($A$1),FALSE))</f>
        <v>2.2032205194243204E-2</v>
      </c>
      <c r="AR283" s="72">
        <f>IF(VLOOKUP($A283,raw_ub[],COLUMN(AS$1)-COLUMN($A$1),FALSE)=0, VLOOKUP($D283, regions_ub[], COLUMN(AS$1)-COLUMN($A$1), FALSE), VLOOKUP($A283,raw_ub[],COLUMN(AS$1)-COLUMN($A$1),FALSE))</f>
        <v>3.5071574389257419E-2</v>
      </c>
      <c r="AS283" s="72">
        <f>IF(VLOOKUP($A283,raw_ub[],COLUMN(AT$1)-COLUMN($A$1),FALSE)=0, VLOOKUP($D283, regions_ub[], COLUMN(AT$1)-COLUMN($A$1), FALSE), VLOOKUP($A283,raw_ub[],COLUMN(AT$1)-COLUMN($A$1),FALSE))</f>
        <v>5.7391741988149142E-2</v>
      </c>
      <c r="AT283" s="82">
        <f>IF(VLOOKUP($A283,raw_ub[],COLUMN(AT$1),FALSE)=0, VLOOKUP($D283, regions_ub[], COLUMN(AT$1), FALSE), VLOOKUP($A283,raw_ub[],COLUMN(AT$1),FALSE))</f>
        <v>8.7063913993442293E-2</v>
      </c>
      <c r="AU283" s="82">
        <f>IF(VLOOKUP($A283,raw_ub[],COLUMN(AU$1),FALSE)=0, VLOOKUP($D283, regions_ub[], COLUMN(AU$1), FALSE), VLOOKUP($A283,raw_ub[],COLUMN(AU$1),FALSE))</f>
        <v>0.12189283652912442</v>
      </c>
      <c r="AV283" s="82">
        <f>IF(VLOOKUP($A283,raw_ub[],COLUMN(AV$1),FALSE)=0, VLOOKUP($D283, regions_ub[], COLUMN(AV$1), FALSE), VLOOKUP($A283,raw_ub[],COLUMN(AV$1),FALSE))</f>
        <v>0.15665459761307635</v>
      </c>
      <c r="AW283" s="82">
        <f>IF(VLOOKUP($A283,raw_ub[],COLUMN(AW$1),FALSE)=0, VLOOKUP($D283, regions_ub[], COLUMN(AW$1), FALSE), VLOOKUP($A283,raw_ub[],COLUMN(AW$1),FALSE))</f>
        <v>0.17908283942329489</v>
      </c>
      <c r="AX283" s="82">
        <f>IF(VLOOKUP($A283,raw_ub[],COLUMN(AX$1),FALSE)=0, VLOOKUP($D283, regions_ub[], COLUMN(AX$1), FALSE), VLOOKUP($A283,raw_ub[],COLUMN(AX$1),FALSE))</f>
        <v>78.609300000000005</v>
      </c>
      <c r="AY283" t="str">
        <f t="shared" si="10"/>
        <v>No</v>
      </c>
    </row>
    <row r="284" spans="1:51" x14ac:dyDescent="0.25">
      <c r="A284" s="53" t="s">
        <v>221</v>
      </c>
      <c r="B284" s="54" t="s">
        <v>222</v>
      </c>
      <c r="C284" s="54">
        <v>31</v>
      </c>
      <c r="D284" s="54" t="s">
        <v>201</v>
      </c>
      <c r="E284" s="54" t="s">
        <v>220</v>
      </c>
      <c r="F284" s="54" t="s">
        <v>203</v>
      </c>
      <c r="G284" s="54" t="s">
        <v>204</v>
      </c>
      <c r="H284" s="73"/>
      <c r="I284" s="73"/>
      <c r="J284" s="67">
        <f>IF(VLOOKUP($A284,raw_ub[],COLUMN(J$1),FALSE)=0, VLOOKUP($D284, regions_ub[], COLUMN(J$1), FALSE), VLOOKUP($A284,raw_ub[],COLUMN(J$1),FALSE))</f>
        <v>0.999</v>
      </c>
      <c r="K284" s="77">
        <f>VLOOKUP($A284, raw_ub[], 11, FALSE)</f>
        <v>0.999</v>
      </c>
      <c r="L284" s="77">
        <f>VLOOKUP($A284, raw_ub[], 12, FALSE)</f>
        <v>0.82950000000000013</v>
      </c>
      <c r="M284" s="77">
        <f>IF(VLOOKUP($A284,raw_ub[],COLUMN(M$1),FALSE)=0, VLOOKUP($D284, regions_ub[], COLUMN(M$1), FALSE), VLOOKUP($A284,raw_ub[],COLUMN(M$1),FALSE))</f>
        <v>3.15E-2</v>
      </c>
      <c r="N284" s="68">
        <f>IF(VLOOKUP($A284,raw_ub[],COLUMN(N$1),FALSE)=0, VLOOKUP($D284, regions_ub[], COLUMN(N$1), FALSE), VLOOKUP($A284,raw_ub[],COLUMN(N$1),FALSE))</f>
        <v>0.43079999999999996</v>
      </c>
      <c r="O284" s="67">
        <f>IF(VLOOKUP($A284,raw_ub[],COLUMN(O$1),FALSE)=0, VLOOKUP($D284, regions_ub[], COLUMN(O$1), FALSE), VLOOKUP($A284,raw_ub[],COLUMN(O$1),FALSE))</f>
        <v>0.9</v>
      </c>
      <c r="P284" s="68">
        <f>IF(VLOOKUP($A284,raw_ub[],COLUMN(P$1),FALSE)=0, VLOOKUP($D284, regions_ub[], COLUMN(P$1), FALSE), VLOOKUP($A284,raw_ub[],COLUMN(P$1),FALSE))</f>
        <v>0.3</v>
      </c>
      <c r="Q284" s="70">
        <f>IF(VLOOKUP($A284,raw_ub[],COLUMN(Q$1),FALSE)=0, VLOOKUP($D284, regions_ub[], COLUMN(Q$1), FALSE), VLOOKUP($A284,raw_ub[],COLUMN(Q$1),FALSE))</f>
        <v>25.567430665665295</v>
      </c>
      <c r="R284" s="70">
        <f>IF(VLOOKUP($A284,raw_ub[],COLUMN(R$1),FALSE)=0, VLOOKUP($D284, regions_ub[], COLUMN(R$1), FALSE), VLOOKUP($A284,raw_ub[],COLUMN(R$1),FALSE))</f>
        <v>134.55323066566527</v>
      </c>
      <c r="S284" s="70">
        <f>IF(VLOOKUP($A284,raw_ub[],COLUMN(S$1),FALSE)=0, VLOOKUP($D284, regions_ub[], COLUMN(S$1), FALSE), VLOOKUP($A284,raw_ub[],COLUMN(S$1),FALSE))</f>
        <v>221.69198571092022</v>
      </c>
      <c r="T284" s="70">
        <f>IF(VLOOKUP($A284,raw_ub[],COLUMN(U$1)-COLUMN($A$1),FALSE)=0, VLOOKUP($D284, regions_ub[], COLUMN(U$1)-COLUMN($A$1), FALSE), VLOOKUP($A284,raw_ub[],COLUMN(U$1)-COLUMN($A$1),FALSE))</f>
        <v>251.83667338502664</v>
      </c>
      <c r="U284" s="70">
        <f>IF(VLOOKUP($A284,raw_ub[],COLUMN(V$1)-COLUMN($A$1),FALSE)=0, VLOOKUP($D284, regions_ub[], COLUMN(V$1)-COLUMN($A$1), FALSE), VLOOKUP($A284,raw_ub[],COLUMN(V$1)-COLUMN($A$1),FALSE))</f>
        <v>237.99486998260102</v>
      </c>
      <c r="V284" s="70">
        <f>IF(VLOOKUP($A284,raw_ub[],COLUMN(W$1)-COLUMN($A$1),FALSE)=0, VLOOKUP($D284, regions_ub[], COLUMN(W$1)-COLUMN($A$1), FALSE), VLOOKUP($A284,raw_ub[],COLUMN(W$1)-COLUMN($A$1),FALSE))</f>
        <v>8.9707615847713296</v>
      </c>
      <c r="W284" s="70">
        <f>IF(VLOOKUP($A284,raw_ub[],COLUMN(X$1)-COLUMN($A$1),FALSE)=0, VLOOKUP($D284, regions_ub[], COLUMN(X$1)-COLUMN($A$1), FALSE), VLOOKUP($A284,raw_ub[],COLUMN(X$1)-COLUMN($A$1),FALSE))</f>
        <v>13.24426158477133</v>
      </c>
      <c r="X284" s="70">
        <f>IF(VLOOKUP($A284,raw_ub[],COLUMN(Y$1)-COLUMN($A$1),FALSE)=0, VLOOKUP($D284, regions_ub[], COLUMN(Y$1)-COLUMN($A$1), FALSE), VLOOKUP($A284,raw_ub[],COLUMN(Y$1)-COLUMN($A$1),FALSE))</f>
        <v>8.9456260467703892</v>
      </c>
      <c r="Y284" s="70">
        <f>IF(VLOOKUP($A284,raw_ub[],COLUMN(Z$1)-COLUMN($A$1),FALSE)=0, VLOOKUP($D284, regions_ub[], COLUMN(Z$1)-COLUMN($A$1), FALSE), VLOOKUP($A284,raw_ub[],COLUMN(Z$1)-COLUMN($A$1),FALSE))</f>
        <v>13.219126046770389</v>
      </c>
      <c r="Z284" s="70">
        <f>IF(VLOOKUP($A284,raw_ub[],COLUMN(AA$1)-COLUMN($A$1),FALSE)=0, VLOOKUP($D284, regions_ub[], COLUMN(AA$1)-COLUMN($A$1), FALSE), VLOOKUP($A284,raw_ub[],COLUMN(AA$1)-COLUMN($A$1),FALSE))</f>
        <v>13.205127746055624</v>
      </c>
      <c r="AA284" s="70">
        <f>IF(VLOOKUP($A284,raw_ub[],COLUMN(AB$1)-COLUMN($A$1),FALSE)=0, VLOOKUP($D284, regions_ub[], COLUMN(AB$1)-COLUMN($A$1), FALSE), VLOOKUP($A284,raw_ub[],COLUMN(AB$1)-COLUMN($A$1),FALSE))</f>
        <v>8.9765620935407782</v>
      </c>
      <c r="AB284" s="70">
        <f>IF(VLOOKUP($A284,raw_ub[],COLUMN(AC$1)-COLUMN($A$1),FALSE)=0, VLOOKUP($D284, regions_ub[], COLUMN(AC$1)-COLUMN($A$1), FALSE), VLOOKUP($A284,raw_ub[],COLUMN(AC$1)-COLUMN($A$1),FALSE))</f>
        <v>13.250062093540778</v>
      </c>
      <c r="AC284" s="72">
        <f>IF(VLOOKUP($A284,raw_ub[],COLUMN(AD$1)-COLUMN($A$1),FALSE)=0, VLOOKUP($D284, regions_ub[], COLUMN(AD$1)-COLUMN($A$1), FALSE), VLOOKUP($A284,raw_ub[],COLUMN(AD$1)-COLUMN($A$1),FALSE))</f>
        <v>2.1846110999999946E-2</v>
      </c>
      <c r="AD284" s="72">
        <f>IF(VLOOKUP($A284,raw_ub[],COLUMN(AE$1)-COLUMN($A$1),FALSE)=0, VLOOKUP($D284, regions_ub[], COLUMN(AE$1)-COLUMN($A$1), FALSE), VLOOKUP($A284,raw_ub[],COLUMN(AE$1)-COLUMN($A$1),FALSE))</f>
        <v>1.1793885202626491E-3</v>
      </c>
      <c r="AE284" s="72">
        <f>IF(VLOOKUP($A284,raw_ub[],COLUMN(AF$1)-COLUMN($A$1),FALSE)=0, VLOOKUP($D284, regions_ub[], COLUMN(AF$1)-COLUMN($A$1), FALSE), VLOOKUP($A284,raw_ub[],COLUMN(AF$1)-COLUMN($A$1),FALSE))</f>
        <v>4.0230899889438917E-4</v>
      </c>
      <c r="AF284" s="72">
        <f>IF(VLOOKUP($A284,raw_ub[],COLUMN(AG$1)-COLUMN($A$1),FALSE)=0, VLOOKUP($D284, regions_ub[], COLUMN(AG$1)-COLUMN($A$1), FALSE), VLOOKUP($A284,raw_ub[],COLUMN(AG$1)-COLUMN($A$1),FALSE))</f>
        <v>3.4391203420671416E-4</v>
      </c>
      <c r="AG284" s="72">
        <f>IF(VLOOKUP($A284,raw_ub[],COLUMN(AH$1)-COLUMN($A$1),FALSE)=0, VLOOKUP($D284, regions_ub[], COLUMN(AH$1)-COLUMN($A$1), FALSE), VLOOKUP($A284,raw_ub[],COLUMN(AH$1)-COLUMN($A$1),FALSE))</f>
        <v>7.0461586053505046E-4</v>
      </c>
      <c r="AH284" s="72">
        <f>IF(VLOOKUP($A284,raw_ub[],COLUMN(AI$1)-COLUMN($A$1),FALSE)=0, VLOOKUP($D284, regions_ub[], COLUMN(AI$1)-COLUMN($A$1), FALSE), VLOOKUP($A284,raw_ub[],COLUMN(AI$1)-COLUMN($A$1),FALSE))</f>
        <v>8.7594253175536923E-4</v>
      </c>
      <c r="AI284" s="72">
        <f>IF(VLOOKUP($A284,raw_ub[],COLUMN(AJ$1)-COLUMN($A$1),FALSE)=0, VLOOKUP($D284, regions_ub[], COLUMN(AJ$1)-COLUMN($A$1), FALSE), VLOOKUP($A284,raw_ub[],COLUMN(AJ$1)-COLUMN($A$1),FALSE))</f>
        <v>8.8235187946452234E-4</v>
      </c>
      <c r="AJ284" s="72">
        <f>IF(VLOOKUP($A284,raw_ub[],COLUMN(AK$1)-COLUMN($A$1),FALSE)=0, VLOOKUP($D284, regions_ub[], COLUMN(AK$1)-COLUMN($A$1), FALSE), VLOOKUP($A284,raw_ub[],COLUMN(AK$1)-COLUMN($A$1),FALSE))</f>
        <v>1.0582051565842872E-3</v>
      </c>
      <c r="AK284" s="72">
        <f>IF(VLOOKUP($A284,raw_ub[],COLUMN(AL$1)-COLUMN($A$1),FALSE)=0, VLOOKUP($D284, regions_ub[], COLUMN(AL$1)-COLUMN($A$1), FALSE), VLOOKUP($A284,raw_ub[],COLUMN(AL$1)-COLUMN($A$1),FALSE))</f>
        <v>1.4819226964225328E-3</v>
      </c>
      <c r="AL284" s="72">
        <f>IF(VLOOKUP($A284,raw_ub[],COLUMN(AM$1)-COLUMN($A$1),FALSE)=0, VLOOKUP($D284, regions_ub[], COLUMN(AM$1)-COLUMN($A$1), FALSE), VLOOKUP($A284,raw_ub[],COLUMN(AM$1)-COLUMN($A$1),FALSE))</f>
        <v>2.2408441197714385E-3</v>
      </c>
      <c r="AM284" s="72">
        <f>IF(VLOOKUP($A284,raw_ub[],COLUMN(AN$1)-COLUMN($A$1),FALSE)=0, VLOOKUP($D284, regions_ub[], COLUMN(AN$1)-COLUMN($A$1), FALSE), VLOOKUP($A284,raw_ub[],COLUMN(AN$1)-COLUMN($A$1),FALSE))</f>
        <v>3.6372907403722865E-3</v>
      </c>
      <c r="AN284" s="72">
        <f>IF(VLOOKUP($A284,raw_ub[],COLUMN(AO$1)-COLUMN($A$1),FALSE)=0, VLOOKUP($D284, regions_ub[], COLUMN(AO$1)-COLUMN($A$1), FALSE), VLOOKUP($A284,raw_ub[],COLUMN(AO$1)-COLUMN($A$1),FALSE))</f>
        <v>5.9156551461323819E-3</v>
      </c>
      <c r="AO284" s="72">
        <f>IF(VLOOKUP($A284,raw_ub[],COLUMN(AP$1)-COLUMN($A$1),FALSE)=0, VLOOKUP($D284, regions_ub[], COLUMN(AP$1)-COLUMN($A$1), FALSE), VLOOKUP($A284,raw_ub[],COLUMN(AP$1)-COLUMN($A$1),FALSE))</f>
        <v>9.5894514051201515E-3</v>
      </c>
      <c r="AP284" s="72">
        <f>IF(VLOOKUP($A284,raw_ub[],COLUMN(AQ$1)-COLUMN($A$1),FALSE)=0, VLOOKUP($D284, regions_ub[], COLUMN(AQ$1)-COLUMN($A$1), FALSE), VLOOKUP($A284,raw_ub[],COLUMN(AQ$1)-COLUMN($A$1),FALSE))</f>
        <v>1.5643340281275005E-2</v>
      </c>
      <c r="AQ284" s="72">
        <f>IF(VLOOKUP($A284,raw_ub[],COLUMN(AR$1)-COLUMN($A$1),FALSE)=0, VLOOKUP($D284, regions_ub[], COLUMN(AR$1)-COLUMN($A$1), FALSE), VLOOKUP($A284,raw_ub[],COLUMN(AR$1)-COLUMN($A$1),FALSE))</f>
        <v>2.5292856682757672E-2</v>
      </c>
      <c r="AR284" s="72">
        <f>IF(VLOOKUP($A284,raw_ub[],COLUMN(AS$1)-COLUMN($A$1),FALSE)=0, VLOOKUP($D284, regions_ub[], COLUMN(AS$1)-COLUMN($A$1), FALSE), VLOOKUP($A284,raw_ub[],COLUMN(AS$1)-COLUMN($A$1),FALSE))</f>
        <v>4.0843168590751461E-2</v>
      </c>
      <c r="AS284" s="72">
        <f>IF(VLOOKUP($A284,raw_ub[],COLUMN(AT$1)-COLUMN($A$1),FALSE)=0, VLOOKUP($D284, regions_ub[], COLUMN(AT$1)-COLUMN($A$1), FALSE), VLOOKUP($A284,raw_ub[],COLUMN(AT$1)-COLUMN($A$1),FALSE))</f>
        <v>6.4703097396811488E-2</v>
      </c>
      <c r="AT284" s="82">
        <f>IF(VLOOKUP($A284,raw_ub[],COLUMN(AT$1),FALSE)=0, VLOOKUP($D284, regions_ub[], COLUMN(AT$1), FALSE), VLOOKUP($A284,raw_ub[],COLUMN(AT$1),FALSE))</f>
        <v>9.6037780124671776E-2</v>
      </c>
      <c r="AU284" s="82">
        <f>IF(VLOOKUP($A284,raw_ub[],COLUMN(AU$1),FALSE)=0, VLOOKUP($D284, regions_ub[], COLUMN(AU$1), FALSE), VLOOKUP($A284,raw_ub[],COLUMN(AU$1),FALSE))</f>
        <v>0.13172421793735517</v>
      </c>
      <c r="AV284" s="82">
        <f>IF(VLOOKUP($A284,raw_ub[],COLUMN(AV$1),FALSE)=0, VLOOKUP($D284, regions_ub[], COLUMN(AV$1), FALSE), VLOOKUP($A284,raw_ub[],COLUMN(AV$1),FALSE))</f>
        <v>0.16248624718434443</v>
      </c>
      <c r="AW284" s="82">
        <f>IF(VLOOKUP($A284,raw_ub[],COLUMN(AW$1),FALSE)=0, VLOOKUP($D284, regions_ub[], COLUMN(AW$1), FALSE), VLOOKUP($A284,raw_ub[],COLUMN(AW$1),FALSE))</f>
        <v>0.1828268974179951</v>
      </c>
      <c r="AX284" s="82">
        <f>IF(VLOOKUP($A284,raw_ub[],COLUMN(AX$1),FALSE)=0, VLOOKUP($D284, regions_ub[], COLUMN(AX$1), FALSE), VLOOKUP($A284,raw_ub[],COLUMN(AX$1),FALSE))</f>
        <v>76.450500000000005</v>
      </c>
      <c r="AY284" t="str">
        <f t="shared" si="10"/>
        <v>No</v>
      </c>
    </row>
    <row r="285" spans="1:51" x14ac:dyDescent="0.25">
      <c r="A285" s="55" t="s">
        <v>223</v>
      </c>
      <c r="B285" s="56" t="s">
        <v>224</v>
      </c>
      <c r="C285" s="56">
        <v>50</v>
      </c>
      <c r="D285" s="56" t="s">
        <v>225</v>
      </c>
      <c r="E285" s="56" t="s">
        <v>226</v>
      </c>
      <c r="F285" s="56" t="s">
        <v>226</v>
      </c>
      <c r="G285" s="56" t="s">
        <v>212</v>
      </c>
      <c r="H285" s="74"/>
      <c r="I285" s="74"/>
      <c r="J285" s="67">
        <f>IF(VLOOKUP($A285,raw_ub[],COLUMN(J$1),FALSE)=0, VLOOKUP($D285, regions_ub[], COLUMN(J$1), FALSE), VLOOKUP($A285,raw_ub[],COLUMN(J$1),FALSE))</f>
        <v>0.56070000000000009</v>
      </c>
      <c r="K285" s="77">
        <f>VLOOKUP($A285, raw_ub[], 11, FALSE)</f>
        <v>0</v>
      </c>
      <c r="L285" s="77">
        <f>VLOOKUP($A285, raw_ub[], 12, FALSE)</f>
        <v>0.999</v>
      </c>
      <c r="M285" s="77">
        <f>IF(VLOOKUP($A285,raw_ub[],COLUMN(M$1),FALSE)=0, VLOOKUP($D285, regions_ub[], COLUMN(M$1), FALSE), VLOOKUP($A285,raw_ub[],COLUMN(M$1),FALSE))</f>
        <v>3.2400000000000005E-2</v>
      </c>
      <c r="N285" s="68">
        <f>IF(VLOOKUP($A285,raw_ub[],COLUMN(N$1),FALSE)=0, VLOOKUP($D285, regions_ub[], COLUMN(N$1), FALSE), VLOOKUP($A285,raw_ub[],COLUMN(N$1),FALSE))</f>
        <v>0.35830000000000001</v>
      </c>
      <c r="O285" s="67">
        <f>IF(VLOOKUP($A285,raw_ub[],COLUMN(O$1),FALSE)=0, VLOOKUP($D285, regions_ub[], COLUMN(O$1), FALSE), VLOOKUP($A285,raw_ub[],COLUMN(O$1),FALSE))</f>
        <v>0.9</v>
      </c>
      <c r="P285" s="68">
        <f>IF(VLOOKUP($A285,raw_ub[],COLUMN(P$1),FALSE)=0, VLOOKUP($D285, regions_ub[], COLUMN(P$1), FALSE), VLOOKUP($A285,raw_ub[],COLUMN(P$1),FALSE))</f>
        <v>0.3</v>
      </c>
      <c r="Q285" s="70">
        <f>IF(VLOOKUP($A285,raw_ub[],COLUMN(Q$1),FALSE)=0, VLOOKUP($D285, regions_ub[], COLUMN(Q$1), FALSE), VLOOKUP($A285,raw_ub[],COLUMN(Q$1),FALSE))</f>
        <v>9.9667002047596274</v>
      </c>
      <c r="R285" s="70">
        <f>IF(VLOOKUP($A285,raw_ub[],COLUMN(R$1),FALSE)=0, VLOOKUP($D285, regions_ub[], COLUMN(R$1), FALSE), VLOOKUP($A285,raw_ub[],COLUMN(R$1),FALSE))</f>
        <v>118.95250020475962</v>
      </c>
      <c r="S285" s="70">
        <f>IF(VLOOKUP($A285,raw_ub[],COLUMN(S$1),FALSE)=0, VLOOKUP($D285, regions_ub[], COLUMN(S$1), FALSE), VLOOKUP($A285,raw_ub[],COLUMN(S$1),FALSE))</f>
        <v>157.48588624128527</v>
      </c>
      <c r="T285" s="70">
        <f>IF(VLOOKUP($A285,raw_ub[],COLUMN(U$1)-COLUMN($A$1),FALSE)=0, VLOOKUP($D285, regions_ub[], COLUMN(U$1)-COLUMN($A$1), FALSE), VLOOKUP($A285,raw_ub[],COLUMN(U$1)-COLUMN($A$1),FALSE))</f>
        <v>162.33317815976801</v>
      </c>
      <c r="U285" s="70">
        <f>IF(VLOOKUP($A285,raw_ub[],COLUMN(V$1)-COLUMN($A$1),FALSE)=0, VLOOKUP($D285, regions_ub[], COLUMN(V$1)-COLUMN($A$1), FALSE), VLOOKUP($A285,raw_ub[],COLUMN(V$1)-COLUMN($A$1),FALSE))</f>
        <v>160.10740416949915</v>
      </c>
      <c r="V285" s="70">
        <f>IF(VLOOKUP($A285,raw_ub[],COLUMN(W$1)-COLUMN($A$1),FALSE)=0, VLOOKUP($D285, regions_ub[], COLUMN(W$1)-COLUMN($A$1), FALSE), VLOOKUP($A285,raw_ub[],COLUMN(W$1)-COLUMN($A$1),FALSE))</f>
        <v>5.2460913518969674</v>
      </c>
      <c r="W285" s="70">
        <f>IF(VLOOKUP($A285,raw_ub[],COLUMN(X$1)-COLUMN($A$1),FALSE)=0, VLOOKUP($D285, regions_ub[], COLUMN(X$1)-COLUMN($A$1), FALSE), VLOOKUP($A285,raw_ub[],COLUMN(X$1)-COLUMN($A$1),FALSE))</f>
        <v>7.1464311859556453</v>
      </c>
      <c r="X285" s="70">
        <f>IF(VLOOKUP($A285,raw_ub[],COLUMN(Y$1)-COLUMN($A$1),FALSE)=0, VLOOKUP($D285, regions_ub[], COLUMN(Y$1)-COLUMN($A$1), FALSE), VLOOKUP($A285,raw_ub[],COLUMN(Y$1)-COLUMN($A$1),FALSE))</f>
        <v>5.2228404700121196</v>
      </c>
      <c r="Y285" s="70">
        <f>IF(VLOOKUP($A285,raw_ub[],COLUMN(Z$1)-COLUMN($A$1),FALSE)=0, VLOOKUP($D285, regions_ub[], COLUMN(Z$1)-COLUMN($A$1), FALSE), VLOOKUP($A285,raw_ub[],COLUMN(Z$1)-COLUMN($A$1),FALSE))</f>
        <v>7.1231803040707966</v>
      </c>
      <c r="Z285" s="70">
        <f>IF(VLOOKUP($A285,raw_ub[],COLUMN(AA$1)-COLUMN($A$1),FALSE)=0, VLOOKUP($D285, regions_ub[], COLUMN(AA$1)-COLUMN($A$1), FALSE), VLOOKUP($A285,raw_ub[],COLUMN(AA$1)-COLUMN($A$1),FALSE))</f>
        <v>7.1090943062719258</v>
      </c>
      <c r="AA285" s="70">
        <f>IF(VLOOKUP($A285,raw_ub[],COLUMN(AB$1)-COLUMN($A$1),FALSE)=0, VLOOKUP($D285, regions_ub[], COLUMN(AB$1)-COLUMN($A$1), FALSE), VLOOKUP($A285,raw_ub[],COLUMN(AB$1)-COLUMN($A$1),FALSE))</f>
        <v>5.2514569400242399</v>
      </c>
      <c r="AB285" s="70">
        <f>IF(VLOOKUP($A285,raw_ub[],COLUMN(AC$1)-COLUMN($A$1),FALSE)=0, VLOOKUP($D285, regions_ub[], COLUMN(AC$1)-COLUMN($A$1), FALSE), VLOOKUP($A285,raw_ub[],COLUMN(AC$1)-COLUMN($A$1),FALSE))</f>
        <v>7.1517967740829178</v>
      </c>
      <c r="AC285" s="72">
        <f>IF(VLOOKUP($A285,raw_ub[],COLUMN(AD$1)-COLUMN($A$1),FALSE)=0, VLOOKUP($D285, regions_ub[], COLUMN(AD$1)-COLUMN($A$1), FALSE), VLOOKUP($A285,raw_ub[],COLUMN(AD$1)-COLUMN($A$1),FALSE))</f>
        <v>2.8192899000000004E-2</v>
      </c>
      <c r="AD285" s="72">
        <f>IF(VLOOKUP($A285,raw_ub[],COLUMN(AE$1)-COLUMN($A$1),FALSE)=0, VLOOKUP($D285, regions_ub[], COLUMN(AE$1)-COLUMN($A$1), FALSE), VLOOKUP($A285,raw_ub[],COLUMN(AE$1)-COLUMN($A$1),FALSE))</f>
        <v>1.4986931043553069E-3</v>
      </c>
      <c r="AE285" s="72">
        <f>IF(VLOOKUP($A285,raw_ub[],COLUMN(AF$1)-COLUMN($A$1),FALSE)=0, VLOOKUP($D285, regions_ub[], COLUMN(AF$1)-COLUMN($A$1), FALSE), VLOOKUP($A285,raw_ub[],COLUMN(AF$1)-COLUMN($A$1),FALSE))</f>
        <v>7.8563003325332961E-4</v>
      </c>
      <c r="AF285" s="72">
        <f>IF(VLOOKUP($A285,raw_ub[],COLUMN(AG$1)-COLUMN($A$1),FALSE)=0, VLOOKUP($D285, regions_ub[], COLUMN(AG$1)-COLUMN($A$1), FALSE), VLOOKUP($A285,raw_ub[],COLUMN(AG$1)-COLUMN($A$1),FALSE))</f>
        <v>6.6779422157501136E-4</v>
      </c>
      <c r="AG285" s="72">
        <f>IF(VLOOKUP($A285,raw_ub[],COLUMN(AH$1)-COLUMN($A$1),FALSE)=0, VLOOKUP($D285, regions_ub[], COLUMN(AH$1)-COLUMN($A$1), FALSE), VLOOKUP($A285,raw_ub[],COLUMN(AH$1)-COLUMN($A$1),FALSE))</f>
        <v>1.063212751384799E-3</v>
      </c>
      <c r="AH285" s="72">
        <f>IF(VLOOKUP($A285,raw_ub[],COLUMN(AI$1)-COLUMN($A$1),FALSE)=0, VLOOKUP($D285, regions_ub[], COLUMN(AI$1)-COLUMN($A$1), FALSE), VLOOKUP($A285,raw_ub[],COLUMN(AI$1)-COLUMN($A$1),FALSE))</f>
        <v>1.0913486411609861E-3</v>
      </c>
      <c r="AI285" s="72">
        <f>IF(VLOOKUP($A285,raw_ub[],COLUMN(AJ$1)-COLUMN($A$1),FALSE)=0, VLOOKUP($D285, regions_ub[], COLUMN(AJ$1)-COLUMN($A$1), FALSE), VLOOKUP($A285,raw_ub[],COLUMN(AJ$1)-COLUMN($A$1),FALSE))</f>
        <v>1.0459760013848676E-3</v>
      </c>
      <c r="AJ285" s="72">
        <f>IF(VLOOKUP($A285,raw_ub[],COLUMN(AK$1)-COLUMN($A$1),FALSE)=0, VLOOKUP($D285, regions_ub[], COLUMN(AK$1)-COLUMN($A$1), FALSE), VLOOKUP($A285,raw_ub[],COLUMN(AK$1)-COLUMN($A$1),FALSE))</f>
        <v>1.3084921595591435E-3</v>
      </c>
      <c r="AK285" s="72">
        <f>IF(VLOOKUP($A285,raw_ub[],COLUMN(AL$1)-COLUMN($A$1),FALSE)=0, VLOOKUP($D285, regions_ub[], COLUMN(AL$1)-COLUMN($A$1), FALSE), VLOOKUP($A285,raw_ub[],COLUMN(AL$1)-COLUMN($A$1),FALSE))</f>
        <v>1.7796586704125564E-3</v>
      </c>
      <c r="AL285" s="72">
        <f>IF(VLOOKUP($A285,raw_ub[],COLUMN(AM$1)-COLUMN($A$1),FALSE)=0, VLOOKUP($D285, regions_ub[], COLUMN(AM$1)-COLUMN($A$1), FALSE), VLOOKUP($A285,raw_ub[],COLUMN(AM$1)-COLUMN($A$1),FALSE))</f>
        <v>2.6143720126092776E-3</v>
      </c>
      <c r="AM285" s="72">
        <f>IF(VLOOKUP($A285,raw_ub[],COLUMN(AN$1)-COLUMN($A$1),FALSE)=0, VLOOKUP($D285, regions_ub[], COLUMN(AN$1)-COLUMN($A$1), FALSE), VLOOKUP($A285,raw_ub[],COLUMN(AN$1)-COLUMN($A$1),FALSE))</f>
        <v>4.0728585310740931E-3</v>
      </c>
      <c r="AN285" s="72">
        <f>IF(VLOOKUP($A285,raw_ub[],COLUMN(AO$1)-COLUMN($A$1),FALSE)=0, VLOOKUP($D285, regions_ub[], COLUMN(AO$1)-COLUMN($A$1), FALSE), VLOOKUP($A285,raw_ub[],COLUMN(AO$1)-COLUMN($A$1),FALSE))</f>
        <v>6.6860062866684819E-3</v>
      </c>
      <c r="AO285" s="72">
        <f>IF(VLOOKUP($A285,raw_ub[],COLUMN(AP$1)-COLUMN($A$1),FALSE)=0, VLOOKUP($D285, regions_ub[], COLUMN(AP$1)-COLUMN($A$1), FALSE), VLOOKUP($A285,raw_ub[],COLUMN(AP$1)-COLUMN($A$1),FALSE))</f>
        <v>1.0524517731137347E-2</v>
      </c>
      <c r="AP285" s="72">
        <f>IF(VLOOKUP($A285,raw_ub[],COLUMN(AQ$1)-COLUMN($A$1),FALSE)=0, VLOOKUP($D285, regions_ub[], COLUMN(AQ$1)-COLUMN($A$1), FALSE), VLOOKUP($A285,raw_ub[],COLUMN(AQ$1)-COLUMN($A$1),FALSE))</f>
        <v>1.7482220111529546E-2</v>
      </c>
      <c r="AQ285" s="72">
        <f>IF(VLOOKUP($A285,raw_ub[],COLUMN(AR$1)-COLUMN($A$1),FALSE)=0, VLOOKUP($D285, regions_ub[], COLUMN(AR$1)-COLUMN($A$1), FALSE), VLOOKUP($A285,raw_ub[],COLUMN(AR$1)-COLUMN($A$1),FALSE))</f>
        <v>2.5341885398422238E-2</v>
      </c>
      <c r="AR285" s="72">
        <f>IF(VLOOKUP($A285,raw_ub[],COLUMN(AS$1)-COLUMN($A$1),FALSE)=0, VLOOKUP($D285, regions_ub[], COLUMN(AS$1)-COLUMN($A$1), FALSE), VLOOKUP($A285,raw_ub[],COLUMN(AS$1)-COLUMN($A$1),FALSE))</f>
        <v>4.1097138602292867E-2</v>
      </c>
      <c r="AS285" s="72">
        <f>IF(VLOOKUP($A285,raw_ub[],COLUMN(AT$1)-COLUMN($A$1),FALSE)=0, VLOOKUP($D285, regions_ub[], COLUMN(AT$1)-COLUMN($A$1), FALSE), VLOOKUP($A285,raw_ub[],COLUMN(AT$1)-COLUMN($A$1),FALSE))</f>
        <v>5.5612030207403025E-2</v>
      </c>
      <c r="AT285" s="82">
        <f>IF(VLOOKUP($A285,raw_ub[],COLUMN(AT$1),FALSE)=0, VLOOKUP($D285, regions_ub[], COLUMN(AT$1), FALSE), VLOOKUP($A285,raw_ub[],COLUMN(AT$1),FALSE))</f>
        <v>8.0003176281822214E-2</v>
      </c>
      <c r="AU285" s="82">
        <f>IF(VLOOKUP($A285,raw_ub[],COLUMN(AU$1),FALSE)=0, VLOOKUP($D285, regions_ub[], COLUMN(AU$1), FALSE), VLOOKUP($A285,raw_ub[],COLUMN(AU$1),FALSE))</f>
        <v>0.10572073696016218</v>
      </c>
      <c r="AV285" s="82">
        <f>IF(VLOOKUP($A285,raw_ub[],COLUMN(AV$1),FALSE)=0, VLOOKUP($D285, regions_ub[], COLUMN(AV$1), FALSE), VLOOKUP($A285,raw_ub[],COLUMN(AV$1),FALSE))</f>
        <v>0.13082793838293505</v>
      </c>
      <c r="AW285" s="82">
        <f>IF(VLOOKUP($A285,raw_ub[],COLUMN(AW$1),FALSE)=0, VLOOKUP($D285, regions_ub[], COLUMN(AW$1), FALSE), VLOOKUP($A285,raw_ub[],COLUMN(AW$1),FALSE))</f>
        <v>0.14828933962360599</v>
      </c>
      <c r="AX285" s="82">
        <f>IF(VLOOKUP($A285,raw_ub[],COLUMN(AX$1),FALSE)=0, VLOOKUP($D285, regions_ub[], COLUMN(AX$1), FALSE), VLOOKUP($A285,raw_ub[],COLUMN(AX$1),FALSE))</f>
        <v>75.757500000000007</v>
      </c>
      <c r="AY285" t="str">
        <f t="shared" si="10"/>
        <v>Yes</v>
      </c>
    </row>
    <row r="286" spans="1:51" x14ac:dyDescent="0.25">
      <c r="A286" s="53" t="s">
        <v>227</v>
      </c>
      <c r="B286" s="54" t="s">
        <v>228</v>
      </c>
      <c r="C286" s="54">
        <v>112</v>
      </c>
      <c r="D286" s="54" t="s">
        <v>201</v>
      </c>
      <c r="E286" s="54" t="s">
        <v>229</v>
      </c>
      <c r="F286" s="54" t="s">
        <v>203</v>
      </c>
      <c r="G286" s="54" t="s">
        <v>204</v>
      </c>
      <c r="H286" s="73"/>
      <c r="I286" s="73"/>
      <c r="J286" s="67">
        <f>IF(VLOOKUP($A286,raw_ub[],COLUMN(J$1),FALSE)=0, VLOOKUP($D286, regions_ub[], COLUMN(J$1), FALSE), VLOOKUP($A286,raw_ub[],COLUMN(J$1),FALSE))</f>
        <v>0.999</v>
      </c>
      <c r="K286" s="77">
        <f>VLOOKUP($A286, raw_ub[], 11, FALSE)</f>
        <v>0.999</v>
      </c>
      <c r="L286" s="77">
        <f>VLOOKUP($A286, raw_ub[], 12, FALSE)</f>
        <v>0.999</v>
      </c>
      <c r="M286" s="77">
        <f>IF(VLOOKUP($A286,raw_ub[],COLUMN(M$1),FALSE)=0, VLOOKUP($D286, regions_ub[], COLUMN(M$1), FALSE), VLOOKUP($A286,raw_ub[],COLUMN(M$1),FALSE))</f>
        <v>0.12529999999999999</v>
      </c>
      <c r="N286" s="68">
        <f>IF(VLOOKUP($A286,raw_ub[],COLUMN(N$1),FALSE)=0, VLOOKUP($D286, regions_ub[], COLUMN(N$1), FALSE), VLOOKUP($A286,raw_ub[],COLUMN(N$1),FALSE))</f>
        <v>0.42969999999999997</v>
      </c>
      <c r="O286" s="67">
        <f>IF(VLOOKUP($A286,raw_ub[],COLUMN(O$1),FALSE)=0, VLOOKUP($D286, regions_ub[], COLUMN(O$1), FALSE), VLOOKUP($A286,raw_ub[],COLUMN(O$1),FALSE))</f>
        <v>0.9</v>
      </c>
      <c r="P286" s="68">
        <f>IF(VLOOKUP($A286,raw_ub[],COLUMN(P$1),FALSE)=0, VLOOKUP($D286, regions_ub[], COLUMN(P$1), FALSE), VLOOKUP($A286,raw_ub[],COLUMN(P$1),FALSE))</f>
        <v>0.3</v>
      </c>
      <c r="Q286" s="70">
        <f>IF(VLOOKUP($A286,raw_ub[],COLUMN(Q$1),FALSE)=0, VLOOKUP($D286, regions_ub[], COLUMN(Q$1), FALSE), VLOOKUP($A286,raw_ub[],COLUMN(Q$1),FALSE))</f>
        <v>24.3582388144359</v>
      </c>
      <c r="R286" s="70">
        <f>IF(VLOOKUP($A286,raw_ub[],COLUMN(R$1),FALSE)=0, VLOOKUP($D286, regions_ub[], COLUMN(R$1), FALSE), VLOOKUP($A286,raw_ub[],COLUMN(R$1),FALSE))</f>
        <v>133.34403881443592</v>
      </c>
      <c r="S286" s="70">
        <f>IF(VLOOKUP($A286,raw_ub[],COLUMN(S$1),FALSE)=0, VLOOKUP($D286, regions_ub[], COLUMN(S$1), FALSE), VLOOKUP($A286,raw_ub[],COLUMN(S$1),FALSE))</f>
        <v>219.02878339088298</v>
      </c>
      <c r="T286" s="70">
        <f>IF(VLOOKUP($A286,raw_ub[],COLUMN(U$1)-COLUMN($A$1),FALSE)=0, VLOOKUP($D286, regions_ub[], COLUMN(U$1)-COLUMN($A$1), FALSE), VLOOKUP($A286,raw_ub[],COLUMN(U$1)-COLUMN($A$1),FALSE))</f>
        <v>248.41670943530912</v>
      </c>
      <c r="U286" s="70">
        <f>IF(VLOOKUP($A286,raw_ub[],COLUMN(V$1)-COLUMN($A$1),FALSE)=0, VLOOKUP($D286, regions_ub[], COLUMN(V$1)-COLUMN($A$1), FALSE), VLOOKUP($A286,raw_ub[],COLUMN(V$1)-COLUMN($A$1),FALSE))</f>
        <v>234.92239497732962</v>
      </c>
      <c r="V286" s="70">
        <f>IF(VLOOKUP($A286,raw_ub[],COLUMN(W$1)-COLUMN($A$1),FALSE)=0, VLOOKUP($D286, regions_ub[], COLUMN(W$1)-COLUMN($A$1), FALSE), VLOOKUP($A286,raw_ub[],COLUMN(W$1)-COLUMN($A$1),FALSE))</f>
        <v>10.102255652904972</v>
      </c>
      <c r="W286" s="70">
        <f>IF(VLOOKUP($A286,raw_ub[],COLUMN(X$1)-COLUMN($A$1),FALSE)=0, VLOOKUP($D286, regions_ub[], COLUMN(X$1)-COLUMN($A$1), FALSE), VLOOKUP($A286,raw_ub[],COLUMN(X$1)-COLUMN($A$1),FALSE))</f>
        <v>14.375755652904973</v>
      </c>
      <c r="X286" s="70">
        <f>IF(VLOOKUP($A286,raw_ub[],COLUMN(Y$1)-COLUMN($A$1),FALSE)=0, VLOOKUP($D286, regions_ub[], COLUMN(Y$1)-COLUMN($A$1), FALSE), VLOOKUP($A286,raw_ub[],COLUMN(Y$1)-COLUMN($A$1),FALSE))</f>
        <v>10.064231256775157</v>
      </c>
      <c r="Y286" s="70">
        <f>IF(VLOOKUP($A286,raw_ub[],COLUMN(Z$1)-COLUMN($A$1),FALSE)=0, VLOOKUP($D286, regions_ub[], COLUMN(Z$1)-COLUMN($A$1), FALSE), VLOOKUP($A286,raw_ub[],COLUMN(Z$1)-COLUMN($A$1),FALSE))</f>
        <v>14.337731256775157</v>
      </c>
      <c r="Z286" s="70">
        <f>IF(VLOOKUP($A286,raw_ub[],COLUMN(AA$1)-COLUMN($A$1),FALSE)=0, VLOOKUP($D286, regions_ub[], COLUMN(AA$1)-COLUMN($A$1), FALSE), VLOOKUP($A286,raw_ub[],COLUMN(AA$1)-COLUMN($A$1),FALSE))</f>
        <v>14.316707919226404</v>
      </c>
      <c r="AA286" s="70">
        <f>IF(VLOOKUP($A286,raw_ub[],COLUMN(AB$1)-COLUMN($A$1),FALSE)=0, VLOOKUP($D286, regions_ub[], COLUMN(AB$1)-COLUMN($A$1), FALSE), VLOOKUP($A286,raw_ub[],COLUMN(AB$1)-COLUMN($A$1),FALSE))</f>
        <v>10.111030513550315</v>
      </c>
      <c r="AB286" s="70">
        <f>IF(VLOOKUP($A286,raw_ub[],COLUMN(AC$1)-COLUMN($A$1),FALSE)=0, VLOOKUP($D286, regions_ub[], COLUMN(AC$1)-COLUMN($A$1), FALSE), VLOOKUP($A286,raw_ub[],COLUMN(AC$1)-COLUMN($A$1),FALSE))</f>
        <v>14.384530513550315</v>
      </c>
      <c r="AC286" s="72">
        <f>IF(VLOOKUP($A286,raw_ub[],COLUMN(AD$1)-COLUMN($A$1),FALSE)=0, VLOOKUP($D286, regions_ub[], COLUMN(AD$1)-COLUMN($A$1), FALSE), VLOOKUP($A286,raw_ub[],COLUMN(AD$1)-COLUMN($A$1),FALSE))</f>
        <v>3.1142160000000442E-3</v>
      </c>
      <c r="AD286" s="72">
        <f>IF(VLOOKUP($A286,raw_ub[],COLUMN(AE$1)-COLUMN($A$1),FALSE)=0, VLOOKUP($D286, regions_ub[], COLUMN(AE$1)-COLUMN($A$1), FALSE), VLOOKUP($A286,raw_ub[],COLUMN(AE$1)-COLUMN($A$1),FALSE))</f>
        <v>2.2903592723731752E-4</v>
      </c>
      <c r="AE286" s="72">
        <f>IF(VLOOKUP($A286,raw_ub[],COLUMN(AF$1)-COLUMN($A$1),FALSE)=0, VLOOKUP($D286, regions_ub[], COLUMN(AF$1)-COLUMN($A$1), FALSE), VLOOKUP($A286,raw_ub[],COLUMN(AF$1)-COLUMN($A$1),FALSE))</f>
        <v>1.4563292605942237E-4</v>
      </c>
      <c r="AF286" s="72">
        <f>IF(VLOOKUP($A286,raw_ub[],COLUMN(AG$1)-COLUMN($A$1),FALSE)=0, VLOOKUP($D286, regions_ub[], COLUMN(AG$1)-COLUMN($A$1), FALSE), VLOOKUP($A286,raw_ub[],COLUMN(AG$1)-COLUMN($A$1),FALSE))</f>
        <v>1.3827040588088927E-4</v>
      </c>
      <c r="AG286" s="72">
        <f>IF(VLOOKUP($A286,raw_ub[],COLUMN(AH$1)-COLUMN($A$1),FALSE)=0, VLOOKUP($D286, regions_ub[], COLUMN(AH$1)-COLUMN($A$1), FALSE), VLOOKUP($A286,raw_ub[],COLUMN(AH$1)-COLUMN($A$1),FALSE))</f>
        <v>3.6928136403498733E-4</v>
      </c>
      <c r="AH286" s="72">
        <f>IF(VLOOKUP($A286,raw_ub[],COLUMN(AI$1)-COLUMN($A$1),FALSE)=0, VLOOKUP($D286, regions_ub[], COLUMN(AI$1)-COLUMN($A$1), FALSE), VLOOKUP($A286,raw_ub[],COLUMN(AI$1)-COLUMN($A$1),FALSE))</f>
        <v>6.2866237324011481E-4</v>
      </c>
      <c r="AI286" s="72">
        <f>IF(VLOOKUP($A286,raw_ub[],COLUMN(AJ$1)-COLUMN($A$1),FALSE)=0, VLOOKUP($D286, regions_ub[], COLUMN(AJ$1)-COLUMN($A$1), FALSE), VLOOKUP($A286,raw_ub[],COLUMN(AJ$1)-COLUMN($A$1),FALSE))</f>
        <v>9.1833463519413452E-4</v>
      </c>
      <c r="AJ286" s="72">
        <f>IF(VLOOKUP($A286,raw_ub[],COLUMN(AK$1)-COLUMN($A$1),FALSE)=0, VLOOKUP($D286, regions_ub[], COLUMN(AK$1)-COLUMN($A$1), FALSE), VLOOKUP($A286,raw_ub[],COLUMN(AK$1)-COLUMN($A$1),FALSE))</f>
        <v>1.5047410190924481E-3</v>
      </c>
      <c r="AK286" s="72">
        <f>IF(VLOOKUP($A286,raw_ub[],COLUMN(AL$1)-COLUMN($A$1),FALSE)=0, VLOOKUP($D286, regions_ub[], COLUMN(AL$1)-COLUMN($A$1), FALSE), VLOOKUP($A286,raw_ub[],COLUMN(AL$1)-COLUMN($A$1),FALSE))</f>
        <v>2.4092155402448421E-3</v>
      </c>
      <c r="AL286" s="72">
        <f>IF(VLOOKUP($A286,raw_ub[],COLUMN(AM$1)-COLUMN($A$1),FALSE)=0, VLOOKUP($D286, regions_ub[], COLUMN(AM$1)-COLUMN($A$1), FALSE), VLOOKUP($A286,raw_ub[],COLUMN(AM$1)-COLUMN($A$1),FALSE))</f>
        <v>3.4813995843920647E-3</v>
      </c>
      <c r="AM286" s="72">
        <f>IF(VLOOKUP($A286,raw_ub[],COLUMN(AN$1)-COLUMN($A$1),FALSE)=0, VLOOKUP($D286, regions_ub[], COLUMN(AN$1)-COLUMN($A$1), FALSE), VLOOKUP($A286,raw_ub[],COLUMN(AN$1)-COLUMN($A$1),FALSE))</f>
        <v>5.2246224328802889E-3</v>
      </c>
      <c r="AN286" s="72">
        <f>IF(VLOOKUP($A286,raw_ub[],COLUMN(AO$1)-COLUMN($A$1),FALSE)=0, VLOOKUP($D286, regions_ub[], COLUMN(AO$1)-COLUMN($A$1), FALSE), VLOOKUP($A286,raw_ub[],COLUMN(AO$1)-COLUMN($A$1),FALSE))</f>
        <v>7.6689845751383521E-3</v>
      </c>
      <c r="AO286" s="72">
        <f>IF(VLOOKUP($A286,raw_ub[],COLUMN(AP$1)-COLUMN($A$1),FALSE)=0, VLOOKUP($D286, regions_ub[], COLUMN(AP$1)-COLUMN($A$1), FALSE), VLOOKUP($A286,raw_ub[],COLUMN(AP$1)-COLUMN($A$1),FALSE))</f>
        <v>1.1408770639083786E-2</v>
      </c>
      <c r="AP286" s="72">
        <f>IF(VLOOKUP($A286,raw_ub[],COLUMN(AQ$1)-COLUMN($A$1),FALSE)=0, VLOOKUP($D286, regions_ub[], COLUMN(AQ$1)-COLUMN($A$1), FALSE), VLOOKUP($A286,raw_ub[],COLUMN(AQ$1)-COLUMN($A$1),FALSE))</f>
        <v>1.7257845009927643E-2</v>
      </c>
      <c r="AQ286" s="72">
        <f>IF(VLOOKUP($A286,raw_ub[],COLUMN(AR$1)-COLUMN($A$1),FALSE)=0, VLOOKUP($D286, regions_ub[], COLUMN(AR$1)-COLUMN($A$1), FALSE), VLOOKUP($A286,raw_ub[],COLUMN(AR$1)-COLUMN($A$1),FALSE))</f>
        <v>2.4325331760250705E-2</v>
      </c>
      <c r="AR286" s="72">
        <f>IF(VLOOKUP($A286,raw_ub[],COLUMN(AS$1)-COLUMN($A$1),FALSE)=0, VLOOKUP($D286, regions_ub[], COLUMN(AS$1)-COLUMN($A$1), FALSE), VLOOKUP($A286,raw_ub[],COLUMN(AS$1)-COLUMN($A$1),FALSE))</f>
        <v>3.494601896342301E-2</v>
      </c>
      <c r="AS286" s="72">
        <f>IF(VLOOKUP($A286,raw_ub[],COLUMN(AT$1)-COLUMN($A$1),FALSE)=0, VLOOKUP($D286, regions_ub[], COLUMN(AT$1)-COLUMN($A$1), FALSE), VLOOKUP($A286,raw_ub[],COLUMN(AT$1)-COLUMN($A$1),FALSE))</f>
        <v>5.2843723380311923E-2</v>
      </c>
      <c r="AT286" s="82">
        <f>IF(VLOOKUP($A286,raw_ub[],COLUMN(AT$1),FALSE)=0, VLOOKUP($D286, regions_ub[], COLUMN(AT$1), FALSE), VLOOKUP($A286,raw_ub[],COLUMN(AT$1),FALSE))</f>
        <v>8.1226126212398428E-2</v>
      </c>
      <c r="AU286" s="82">
        <f>IF(VLOOKUP($A286,raw_ub[],COLUMN(AU$1),FALSE)=0, VLOOKUP($D286, regions_ub[], COLUMN(AU$1), FALSE), VLOOKUP($A286,raw_ub[],COLUMN(AU$1),FALSE))</f>
        <v>0.11524829500926877</v>
      </c>
      <c r="AV286" s="82">
        <f>IF(VLOOKUP($A286,raw_ub[],COLUMN(AV$1),FALSE)=0, VLOOKUP($D286, regions_ub[], COLUMN(AV$1), FALSE), VLOOKUP($A286,raw_ub[],COLUMN(AV$1),FALSE))</f>
        <v>0.15259072776501603</v>
      </c>
      <c r="AW286" s="82">
        <f>IF(VLOOKUP($A286,raw_ub[],COLUMN(AW$1),FALSE)=0, VLOOKUP($D286, regions_ub[], COLUMN(AW$1), FALSE), VLOOKUP($A286,raw_ub[],COLUMN(AW$1),FALSE))</f>
        <v>0.18060359571210541</v>
      </c>
      <c r="AX286" s="82">
        <f>IF(VLOOKUP($A286,raw_ub[],COLUMN(AX$1),FALSE)=0, VLOOKUP($D286, regions_ub[], COLUMN(AX$1), FALSE), VLOOKUP($A286,raw_ub[],COLUMN(AX$1),FALSE))</f>
        <v>78.214500000000001</v>
      </c>
      <c r="AY286" t="str">
        <f t="shared" si="10"/>
        <v>No</v>
      </c>
    </row>
    <row r="287" spans="1:51" x14ac:dyDescent="0.25">
      <c r="A287" s="55" t="s">
        <v>230</v>
      </c>
      <c r="B287" s="56" t="s">
        <v>231</v>
      </c>
      <c r="C287" s="56">
        <v>84</v>
      </c>
      <c r="D287" s="56" t="s">
        <v>215</v>
      </c>
      <c r="E287" s="56" t="s">
        <v>232</v>
      </c>
      <c r="F287" s="56" t="s">
        <v>217</v>
      </c>
      <c r="G287" s="56" t="s">
        <v>204</v>
      </c>
      <c r="H287" s="74"/>
      <c r="I287" s="74"/>
      <c r="J287" s="67">
        <f>IF(VLOOKUP($A287,raw_ub[],COLUMN(J$1),FALSE)=0, VLOOKUP($D287, regions_ub[], COLUMN(J$1), FALSE), VLOOKUP($A287,raw_ub[],COLUMN(J$1),FALSE))</f>
        <v>0.999</v>
      </c>
      <c r="K287" s="77">
        <f>VLOOKUP($A287, raw_ub[], 11, FALSE)</f>
        <v>0.70350000000000013</v>
      </c>
      <c r="L287" s="77">
        <f>VLOOKUP($A287, raw_ub[], 12, FALSE)</f>
        <v>0.82950000000000013</v>
      </c>
      <c r="M287" s="77">
        <f>IF(VLOOKUP($A287,raw_ub[],COLUMN(M$1),FALSE)=0, VLOOKUP($D287, regions_ub[], COLUMN(M$1), FALSE), VLOOKUP($A287,raw_ub[],COLUMN(M$1),FALSE))</f>
        <v>4.2300000000000004E-2</v>
      </c>
      <c r="N287" s="68">
        <f>IF(VLOOKUP($A287,raw_ub[],COLUMN(N$1),FALSE)=0, VLOOKUP($D287, regions_ub[], COLUMN(N$1), FALSE), VLOOKUP($A287,raw_ub[],COLUMN(N$1),FALSE))</f>
        <v>0.43</v>
      </c>
      <c r="O287" s="67">
        <f>IF(VLOOKUP($A287,raw_ub[],COLUMN(O$1),FALSE)=0, VLOOKUP($D287, regions_ub[], COLUMN(O$1), FALSE), VLOOKUP($A287,raw_ub[],COLUMN(O$1),FALSE))</f>
        <v>0.9</v>
      </c>
      <c r="P287" s="68">
        <f>IF(VLOOKUP($A287,raw_ub[],COLUMN(P$1),FALSE)=0, VLOOKUP($D287, regions_ub[], COLUMN(P$1), FALSE), VLOOKUP($A287,raw_ub[],COLUMN(P$1),FALSE))</f>
        <v>0.3</v>
      </c>
      <c r="Q287" s="70">
        <f>IF(VLOOKUP($A287,raw_ub[],COLUMN(Q$1),FALSE)=0, VLOOKUP($D287, regions_ub[], COLUMN(Q$1), FALSE), VLOOKUP($A287,raw_ub[],COLUMN(Q$1),FALSE))</f>
        <v>23.127402629725299</v>
      </c>
      <c r="R287" s="70">
        <f>IF(VLOOKUP($A287,raw_ub[],COLUMN(R$1),FALSE)=0, VLOOKUP($D287, regions_ub[], COLUMN(R$1), FALSE), VLOOKUP($A287,raw_ub[],COLUMN(R$1),FALSE))</f>
        <v>132.11320262972532</v>
      </c>
      <c r="S287" s="70">
        <f>IF(VLOOKUP($A287,raw_ub[],COLUMN(S$1),FALSE)=0, VLOOKUP($D287, regions_ub[], COLUMN(S$1), FALSE), VLOOKUP($A287,raw_ub[],COLUMN(S$1),FALSE))</f>
        <v>198.63072462983635</v>
      </c>
      <c r="T287" s="70">
        <f>IF(VLOOKUP($A287,raw_ub[],COLUMN(U$1)-COLUMN($A$1),FALSE)=0, VLOOKUP($D287, regions_ub[], COLUMN(U$1)-COLUMN($A$1), FALSE), VLOOKUP($A287,raw_ub[],COLUMN(U$1)-COLUMN($A$1),FALSE))</f>
        <v>218.04278123970246</v>
      </c>
      <c r="U287" s="70">
        <f>IF(VLOOKUP($A287,raw_ub[],COLUMN(V$1)-COLUMN($A$1),FALSE)=0, VLOOKUP($D287, regions_ub[], COLUMN(V$1)-COLUMN($A$1), FALSE), VLOOKUP($A287,raw_ub[],COLUMN(V$1)-COLUMN($A$1),FALSE))</f>
        <v>209.12917516305603</v>
      </c>
      <c r="V287" s="70">
        <f>IF(VLOOKUP($A287,raw_ub[],COLUMN(W$1)-COLUMN($A$1),FALSE)=0, VLOOKUP($D287, regions_ub[], COLUMN(W$1)-COLUMN($A$1), FALSE), VLOOKUP($A287,raw_ub[],COLUMN(W$1)-COLUMN($A$1),FALSE))</f>
        <v>20.81846446193272</v>
      </c>
      <c r="W287" s="70">
        <f>IF(VLOOKUP($A287,raw_ub[],COLUMN(X$1)-COLUMN($A$1),FALSE)=0, VLOOKUP($D287, regions_ub[], COLUMN(X$1)-COLUMN($A$1), FALSE), VLOOKUP($A287,raw_ub[],COLUMN(X$1)-COLUMN($A$1),FALSE))</f>
        <v>20.839464461932721</v>
      </c>
      <c r="X287" s="70">
        <f>IF(VLOOKUP($A287,raw_ub[],COLUMN(Y$1)-COLUMN($A$1),FALSE)=0, VLOOKUP($D287, regions_ub[], COLUMN(Y$1)-COLUMN($A$1), FALSE), VLOOKUP($A287,raw_ub[],COLUMN(Y$1)-COLUMN($A$1),FALSE))</f>
        <v>20.772110737618053</v>
      </c>
      <c r="Y287" s="70">
        <f>IF(VLOOKUP($A287,raw_ub[],COLUMN(Z$1)-COLUMN($A$1),FALSE)=0, VLOOKUP($D287, regions_ub[], COLUMN(Z$1)-COLUMN($A$1), FALSE), VLOOKUP($A287,raw_ub[],COLUMN(Z$1)-COLUMN($A$1),FALSE))</f>
        <v>20.793110737618054</v>
      </c>
      <c r="Z287" s="70">
        <f>IF(VLOOKUP($A287,raw_ub[],COLUMN(AA$1)-COLUMN($A$1),FALSE)=0, VLOOKUP($D287, regions_ub[], COLUMN(AA$1)-COLUMN($A$1), FALSE), VLOOKUP($A287,raw_ub[],COLUMN(AA$1)-COLUMN($A$1),FALSE))</f>
        <v>20.766542792651528</v>
      </c>
      <c r="AA287" s="70">
        <f>IF(VLOOKUP($A287,raw_ub[],COLUMN(AB$1)-COLUMN($A$1),FALSE)=0, VLOOKUP($D287, regions_ub[], COLUMN(AB$1)-COLUMN($A$1), FALSE), VLOOKUP($A287,raw_ub[],COLUMN(AB$1)-COLUMN($A$1),FALSE))</f>
        <v>20.829161475236106</v>
      </c>
      <c r="AB287" s="70">
        <f>IF(VLOOKUP($A287,raw_ub[],COLUMN(AC$1)-COLUMN($A$1),FALSE)=0, VLOOKUP($D287, regions_ub[], COLUMN(AC$1)-COLUMN($A$1), FALSE), VLOOKUP($A287,raw_ub[],COLUMN(AC$1)-COLUMN($A$1),FALSE))</f>
        <v>20.850161475236106</v>
      </c>
      <c r="AC287" s="72">
        <f>IF(VLOOKUP($A287,raw_ub[],COLUMN(AD$1)-COLUMN($A$1),FALSE)=0, VLOOKUP($D287, regions_ub[], COLUMN(AD$1)-COLUMN($A$1), FALSE), VLOOKUP($A287,raw_ub[],COLUMN(AD$1)-COLUMN($A$1),FALSE))</f>
        <v>1.3456873500000037E-2</v>
      </c>
      <c r="AD287" s="72">
        <f>IF(VLOOKUP($A287,raw_ub[],COLUMN(AE$1)-COLUMN($A$1),FALSE)=0, VLOOKUP($D287, regions_ub[], COLUMN(AE$1)-COLUMN($A$1), FALSE), VLOOKUP($A287,raw_ub[],COLUMN(AE$1)-COLUMN($A$1),FALSE))</f>
        <v>5.5481416213893861E-4</v>
      </c>
      <c r="AE287" s="72">
        <f>IF(VLOOKUP($A287,raw_ub[],COLUMN(AF$1)-COLUMN($A$1),FALSE)=0, VLOOKUP($D287, regions_ub[], COLUMN(AF$1)-COLUMN($A$1), FALSE), VLOOKUP($A287,raw_ub[],COLUMN(AF$1)-COLUMN($A$1),FALSE))</f>
        <v>3.1954788147657982E-4</v>
      </c>
      <c r="AF287" s="72">
        <f>IF(VLOOKUP($A287,raw_ub[],COLUMN(AG$1)-COLUMN($A$1),FALSE)=0, VLOOKUP($D287, regions_ub[], COLUMN(AG$1)-COLUMN($A$1), FALSE), VLOOKUP($A287,raw_ub[],COLUMN(AG$1)-COLUMN($A$1),FALSE))</f>
        <v>3.4660729338680028E-4</v>
      </c>
      <c r="AG287" s="72">
        <f>IF(VLOOKUP($A287,raw_ub[],COLUMN(AH$1)-COLUMN($A$1),FALSE)=0, VLOOKUP($D287, regions_ub[], COLUMN(AH$1)-COLUMN($A$1), FALSE), VLOOKUP($A287,raw_ub[],COLUMN(AH$1)-COLUMN($A$1),FALSE))</f>
        <v>1.0430379379711484E-3</v>
      </c>
      <c r="AH287" s="72">
        <f>IF(VLOOKUP($A287,raw_ub[],COLUMN(AI$1)-COLUMN($A$1),FALSE)=0, VLOOKUP($D287, regions_ub[], COLUMN(AI$1)-COLUMN($A$1), FALSE), VLOOKUP($A287,raw_ub[],COLUMN(AI$1)-COLUMN($A$1),FALSE))</f>
        <v>1.6363446562201701E-3</v>
      </c>
      <c r="AI287" s="72">
        <f>IF(VLOOKUP($A287,raw_ub[],COLUMN(AJ$1)-COLUMN($A$1),FALSE)=0, VLOOKUP($D287, regions_ub[], COLUMN(AJ$1)-COLUMN($A$1), FALSE), VLOOKUP($A287,raw_ub[],COLUMN(AJ$1)-COLUMN($A$1),FALSE))</f>
        <v>2.4450489148846533E-3</v>
      </c>
      <c r="AJ287" s="72">
        <f>IF(VLOOKUP($A287,raw_ub[],COLUMN(AK$1)-COLUMN($A$1),FALSE)=0, VLOOKUP($D287, regions_ub[], COLUMN(AK$1)-COLUMN($A$1), FALSE), VLOOKUP($A287,raw_ub[],COLUMN(AK$1)-COLUMN($A$1),FALSE))</f>
        <v>2.8888744868287622E-3</v>
      </c>
      <c r="AK287" s="72">
        <f>IF(VLOOKUP($A287,raw_ub[],COLUMN(AL$1)-COLUMN($A$1),FALSE)=0, VLOOKUP($D287, regions_ub[], COLUMN(AL$1)-COLUMN($A$1), FALSE), VLOOKUP($A287,raw_ub[],COLUMN(AL$1)-COLUMN($A$1),FALSE))</f>
        <v>3.0103773615054075E-3</v>
      </c>
      <c r="AL287" s="72">
        <f>IF(VLOOKUP($A287,raw_ub[],COLUMN(AM$1)-COLUMN($A$1),FALSE)=0, VLOOKUP($D287, regions_ub[], COLUMN(AM$1)-COLUMN($A$1), FALSE), VLOOKUP($A287,raw_ub[],COLUMN(AM$1)-COLUMN($A$1),FALSE))</f>
        <v>3.6910390693347039E-3</v>
      </c>
      <c r="AM287" s="72">
        <f>IF(VLOOKUP($A287,raw_ub[],COLUMN(AN$1)-COLUMN($A$1),FALSE)=0, VLOOKUP($D287, regions_ub[], COLUMN(AN$1)-COLUMN($A$1), FALSE), VLOOKUP($A287,raw_ub[],COLUMN(AN$1)-COLUMN($A$1),FALSE))</f>
        <v>5.0869788486900347E-3</v>
      </c>
      <c r="AN287" s="72">
        <f>IF(VLOOKUP($A287,raw_ub[],COLUMN(AO$1)-COLUMN($A$1),FALSE)=0, VLOOKUP($D287, regions_ub[], COLUMN(AO$1)-COLUMN($A$1), FALSE), VLOOKUP($A287,raw_ub[],COLUMN(AO$1)-COLUMN($A$1),FALSE))</f>
        <v>7.0578026459482785E-3</v>
      </c>
      <c r="AO287" s="72">
        <f>IF(VLOOKUP($A287,raw_ub[],COLUMN(AP$1)-COLUMN($A$1),FALSE)=0, VLOOKUP($D287, regions_ub[], COLUMN(AP$1)-COLUMN($A$1), FALSE), VLOOKUP($A287,raw_ub[],COLUMN(AP$1)-COLUMN($A$1),FALSE))</f>
        <v>1.1106750884387824E-2</v>
      </c>
      <c r="AP287" s="72">
        <f>IF(VLOOKUP($A287,raw_ub[],COLUMN(AQ$1)-COLUMN($A$1),FALSE)=0, VLOOKUP($D287, regions_ub[], COLUMN(AQ$1)-COLUMN($A$1), FALSE), VLOOKUP($A287,raw_ub[],COLUMN(AQ$1)-COLUMN($A$1),FALSE))</f>
        <v>1.4790352880018072E-2</v>
      </c>
      <c r="AQ287" s="72">
        <f>IF(VLOOKUP($A287,raw_ub[],COLUMN(AR$1)-COLUMN($A$1),FALSE)=0, VLOOKUP($D287, regions_ub[], COLUMN(AR$1)-COLUMN($A$1), FALSE), VLOOKUP($A287,raw_ub[],COLUMN(AR$1)-COLUMN($A$1),FALSE))</f>
        <v>1.9978271426964601E-2</v>
      </c>
      <c r="AR287" s="72">
        <f>IF(VLOOKUP($A287,raw_ub[],COLUMN(AS$1)-COLUMN($A$1),FALSE)=0, VLOOKUP($D287, regions_ub[], COLUMN(AS$1)-COLUMN($A$1), FALSE), VLOOKUP($A287,raw_ub[],COLUMN(AS$1)-COLUMN($A$1),FALSE))</f>
        <v>2.7879687364920636E-2</v>
      </c>
      <c r="AS287" s="72">
        <f>IF(VLOOKUP($A287,raw_ub[],COLUMN(AT$1)-COLUMN($A$1),FALSE)=0, VLOOKUP($D287, regions_ub[], COLUMN(AT$1)-COLUMN($A$1), FALSE), VLOOKUP($A287,raw_ub[],COLUMN(AT$1)-COLUMN($A$1),FALSE))</f>
        <v>4.0603684682718563E-2</v>
      </c>
      <c r="AT287" s="82">
        <f>IF(VLOOKUP($A287,raw_ub[],COLUMN(AT$1),FALSE)=0, VLOOKUP($D287, regions_ub[], COLUMN(AT$1), FALSE), VLOOKUP($A287,raw_ub[],COLUMN(AT$1),FALSE))</f>
        <v>6.4248609432827355E-2</v>
      </c>
      <c r="AU287" s="82">
        <f>IF(VLOOKUP($A287,raw_ub[],COLUMN(AU$1),FALSE)=0, VLOOKUP($D287, regions_ub[], COLUMN(AU$1), FALSE), VLOOKUP($A287,raw_ub[],COLUMN(AU$1),FALSE))</f>
        <v>8.9522645266624915E-2</v>
      </c>
      <c r="AV287" s="82">
        <f>IF(VLOOKUP($A287,raw_ub[],COLUMN(AV$1),FALSE)=0, VLOOKUP($D287, regions_ub[], COLUMN(AV$1), FALSE), VLOOKUP($A287,raw_ub[],COLUMN(AV$1),FALSE))</f>
        <v>0.11484669495853277</v>
      </c>
      <c r="AW287" s="82">
        <f>IF(VLOOKUP($A287,raw_ub[],COLUMN(AW$1),FALSE)=0, VLOOKUP($D287, regions_ub[], COLUMN(AW$1), FALSE), VLOOKUP($A287,raw_ub[],COLUMN(AW$1),FALSE))</f>
        <v>0.15868235455120486</v>
      </c>
      <c r="AX287" s="82">
        <f>IF(VLOOKUP($A287,raw_ub[],COLUMN(AX$1),FALSE)=0, VLOOKUP($D287, regions_ub[], COLUMN(AX$1), FALSE), VLOOKUP($A287,raw_ub[],COLUMN(AX$1),FALSE))</f>
        <v>78.08850000000001</v>
      </c>
      <c r="AY287" t="str">
        <f t="shared" si="10"/>
        <v>No</v>
      </c>
    </row>
    <row r="288" spans="1:51" x14ac:dyDescent="0.25">
      <c r="A288" s="53" t="s">
        <v>233</v>
      </c>
      <c r="B288" s="54" t="s">
        <v>234</v>
      </c>
      <c r="C288" s="54">
        <v>204</v>
      </c>
      <c r="D288" s="54" t="s">
        <v>207</v>
      </c>
      <c r="E288" s="54" t="s">
        <v>235</v>
      </c>
      <c r="F288" s="54" t="s">
        <v>211</v>
      </c>
      <c r="G288" s="54" t="s">
        <v>198</v>
      </c>
      <c r="H288" s="73"/>
      <c r="I288" s="73"/>
      <c r="J288" s="67">
        <f>IF(VLOOKUP($A288,raw_ub[],COLUMN(J$1),FALSE)=0, VLOOKUP($D288, regions_ub[], COLUMN(J$1), FALSE), VLOOKUP($A288,raw_ub[],COLUMN(J$1),FALSE))</f>
        <v>0.88095000000000012</v>
      </c>
      <c r="K288" s="77">
        <f>VLOOKUP($A288, raw_ub[], 11, FALSE)</f>
        <v>0.2205</v>
      </c>
      <c r="L288" s="77">
        <f>VLOOKUP($A288, raw_ub[], 12, FALSE)</f>
        <v>0.75600000000000001</v>
      </c>
      <c r="M288" s="77">
        <f>IF(VLOOKUP($A288,raw_ub[],COLUMN(M$1),FALSE)=0, VLOOKUP($D288, regions_ub[], COLUMN(M$1), FALSE), VLOOKUP($A288,raw_ub[],COLUMN(M$1),FALSE))</f>
        <v>0.1052</v>
      </c>
      <c r="N288" s="68">
        <f>IF(VLOOKUP($A288,raw_ub[],COLUMN(N$1),FALSE)=0, VLOOKUP($D288, regions_ub[], COLUMN(N$1), FALSE), VLOOKUP($A288,raw_ub[],COLUMN(N$1),FALSE))</f>
        <v>0.41070000000000001</v>
      </c>
      <c r="O288" s="67">
        <f>IF(VLOOKUP($A288,raw_ub[],COLUMN(O$1),FALSE)=0, VLOOKUP($D288, regions_ub[], COLUMN(O$1), FALSE), VLOOKUP($A288,raw_ub[],COLUMN(O$1),FALSE))</f>
        <v>0.74399999999999999</v>
      </c>
      <c r="P288" s="68">
        <f>IF(VLOOKUP($A288,raw_ub[],COLUMN(P$1),FALSE)=0, VLOOKUP($D288, regions_ub[], COLUMN(P$1), FALSE), VLOOKUP($A288,raw_ub[],COLUMN(P$1),FALSE))</f>
        <v>0.13300000000000001</v>
      </c>
      <c r="Q288" s="70">
        <f>IF(VLOOKUP($A288,raw_ub[],COLUMN(Q$1),FALSE)=0, VLOOKUP($D288, regions_ub[], COLUMN(Q$1), FALSE), VLOOKUP($A288,raw_ub[],COLUMN(Q$1),FALSE))</f>
        <v>7.51474805401112</v>
      </c>
      <c r="R288" s="70">
        <f>IF(VLOOKUP($A288,raw_ub[],COLUMN(R$1),FALSE)=0, VLOOKUP($D288, regions_ub[], COLUMN(R$1), FALSE), VLOOKUP($A288,raw_ub[],COLUMN(R$1),FALSE))</f>
        <v>116.50054805401113</v>
      </c>
      <c r="S288" s="70">
        <f>IF(VLOOKUP($A288,raw_ub[],COLUMN(S$1),FALSE)=0, VLOOKUP($D288, regions_ub[], COLUMN(S$1), FALSE), VLOOKUP($A288,raw_ub[],COLUMN(S$1),FALSE))</f>
        <v>149.46826702068492</v>
      </c>
      <c r="T288" s="70">
        <f>IF(VLOOKUP($A288,raw_ub[],COLUMN(U$1)-COLUMN($A$1),FALSE)=0, VLOOKUP($D288, regions_ub[], COLUMN(U$1)-COLUMN($A$1), FALSE), VLOOKUP($A288,raw_ub[],COLUMN(U$1)-COLUMN($A$1),FALSE))</f>
        <v>151.41882375576034</v>
      </c>
      <c r="U288" s="70">
        <f>IF(VLOOKUP($A288,raw_ub[],COLUMN(V$1)-COLUMN($A$1),FALSE)=0, VLOOKUP($D288, regions_ub[], COLUMN(V$1)-COLUMN($A$1), FALSE), VLOOKUP($A288,raw_ub[],COLUMN(V$1)-COLUMN($A$1),FALSE))</f>
        <v>150.52316933253064</v>
      </c>
      <c r="V288" s="70">
        <f>IF(VLOOKUP($A288,raw_ub[],COLUMN(W$1)-COLUMN($A$1),FALSE)=0, VLOOKUP($D288, regions_ub[], COLUMN(W$1)-COLUMN($A$1), FALSE), VLOOKUP($A288,raw_ub[],COLUMN(W$1)-COLUMN($A$1),FALSE))</f>
        <v>3.5148587135415097</v>
      </c>
      <c r="W288" s="70">
        <f>IF(VLOOKUP($A288,raw_ub[],COLUMN(X$1)-COLUMN($A$1),FALSE)=0, VLOOKUP($D288, regions_ub[], COLUMN(X$1)-COLUMN($A$1), FALSE), VLOOKUP($A288,raw_ub[],COLUMN(X$1)-COLUMN($A$1),FALSE))</f>
        <v>8.5863587135415109</v>
      </c>
      <c r="X288" s="70">
        <f>IF(VLOOKUP($A288,raw_ub[],COLUMN(Y$1)-COLUMN($A$1),FALSE)=0, VLOOKUP($D288, regions_ub[], COLUMN(Y$1)-COLUMN($A$1), FALSE), VLOOKUP($A288,raw_ub[],COLUMN(Y$1)-COLUMN($A$1),FALSE))</f>
        <v>3.500769083333247</v>
      </c>
      <c r="Y288" s="70">
        <f>IF(VLOOKUP($A288,raw_ub[],COLUMN(Z$1)-COLUMN($A$1),FALSE)=0, VLOOKUP($D288, regions_ub[], COLUMN(Z$1)-COLUMN($A$1), FALSE), VLOOKUP($A288,raw_ub[],COLUMN(Z$1)-COLUMN($A$1),FALSE))</f>
        <v>8.5722690833332464</v>
      </c>
      <c r="Z288" s="70">
        <f>IF(VLOOKUP($A288,raw_ub[],COLUMN(AA$1)-COLUMN($A$1),FALSE)=0, VLOOKUP($D288, regions_ub[], COLUMN(AA$1)-COLUMN($A$1), FALSE), VLOOKUP($A288,raw_ub[],COLUMN(AA$1)-COLUMN($A$1),FALSE))</f>
        <v>8.5644912664604043</v>
      </c>
      <c r="AA288" s="70">
        <f>IF(VLOOKUP($A288,raw_ub[],COLUMN(AB$1)-COLUMN($A$1),FALSE)=0, VLOOKUP($D288, regions_ub[], COLUMN(AB$1)-COLUMN($A$1), FALSE), VLOOKUP($A288,raw_ub[],COLUMN(AB$1)-COLUMN($A$1),FALSE))</f>
        <v>3.5181101666664936</v>
      </c>
      <c r="AB288" s="70">
        <f>IF(VLOOKUP($A288,raw_ub[],COLUMN(AC$1)-COLUMN($A$1),FALSE)=0, VLOOKUP($D288, regions_ub[], COLUMN(AC$1)-COLUMN($A$1), FALSE), VLOOKUP($A288,raw_ub[],COLUMN(AC$1)-COLUMN($A$1),FALSE))</f>
        <v>8.5896101666664944</v>
      </c>
      <c r="AC288" s="72">
        <f>IF(VLOOKUP($A288,raw_ub[],COLUMN(AD$1)-COLUMN($A$1),FALSE)=0, VLOOKUP($D288, regions_ub[], COLUMN(AD$1)-COLUMN($A$1), FALSE), VLOOKUP($A288,raw_ub[],COLUMN(AD$1)-COLUMN($A$1),FALSE))</f>
        <v>6.4223197499999954E-2</v>
      </c>
      <c r="AD288" s="72">
        <f>IF(VLOOKUP($A288,raw_ub[],COLUMN(AE$1)-COLUMN($A$1),FALSE)=0, VLOOKUP($D288, regions_ub[], COLUMN(AE$1)-COLUMN($A$1), FALSE), VLOOKUP($A288,raw_ub[],COLUMN(AE$1)-COLUMN($A$1),FALSE))</f>
        <v>9.6517014623602078E-3</v>
      </c>
      <c r="AE288" s="72">
        <f>IF(VLOOKUP($A288,raw_ub[],COLUMN(AF$1)-COLUMN($A$1),FALSE)=0, VLOOKUP($D288, regions_ub[], COLUMN(AF$1)-COLUMN($A$1), FALSE), VLOOKUP($A288,raw_ub[],COLUMN(AF$1)-COLUMN($A$1),FALSE))</f>
        <v>3.2513119313655431E-3</v>
      </c>
      <c r="AF288" s="72">
        <f>IF(VLOOKUP($A288,raw_ub[],COLUMN(AG$1)-COLUMN($A$1),FALSE)=0, VLOOKUP($D288, regions_ub[], COLUMN(AG$1)-COLUMN($A$1), FALSE), VLOOKUP($A288,raw_ub[],COLUMN(AG$1)-COLUMN($A$1),FALSE))</f>
        <v>1.924050127045536E-3</v>
      </c>
      <c r="AG288" s="72">
        <f>IF(VLOOKUP($A288,raw_ub[],COLUMN(AH$1)-COLUMN($A$1),FALSE)=0, VLOOKUP($D288, regions_ub[], COLUMN(AH$1)-COLUMN($A$1), FALSE), VLOOKUP($A288,raw_ub[],COLUMN(AH$1)-COLUMN($A$1),FALSE))</f>
        <v>2.5864408097693477E-3</v>
      </c>
      <c r="AH288" s="72">
        <f>IF(VLOOKUP($A288,raw_ub[],COLUMN(AI$1)-COLUMN($A$1),FALSE)=0, VLOOKUP($D288, regions_ub[], COLUMN(AI$1)-COLUMN($A$1), FALSE), VLOOKUP($A288,raw_ub[],COLUMN(AI$1)-COLUMN($A$1),FALSE))</f>
        <v>3.5010170695736953E-3</v>
      </c>
      <c r="AI288" s="72">
        <f>IF(VLOOKUP($A288,raw_ub[],COLUMN(AJ$1)-COLUMN($A$1),FALSE)=0, VLOOKUP($D288, regions_ub[], COLUMN(AJ$1)-COLUMN($A$1), FALSE), VLOOKUP($A288,raw_ub[],COLUMN(AJ$1)-COLUMN($A$1),FALSE))</f>
        <v>3.8485223485297867E-3</v>
      </c>
      <c r="AJ288" s="72">
        <f>IF(VLOOKUP($A288,raw_ub[],COLUMN(AK$1)-COLUMN($A$1),FALSE)=0, VLOOKUP($D288, regions_ub[], COLUMN(AK$1)-COLUMN($A$1), FALSE), VLOOKUP($A288,raw_ub[],COLUMN(AK$1)-COLUMN($A$1),FALSE))</f>
        <v>4.2466843448027538E-3</v>
      </c>
      <c r="AK288" s="72">
        <f>IF(VLOOKUP($A288,raw_ub[],COLUMN(AL$1)-COLUMN($A$1),FALSE)=0, VLOOKUP($D288, regions_ub[], COLUMN(AL$1)-COLUMN($A$1), FALSE), VLOOKUP($A288,raw_ub[],COLUMN(AL$1)-COLUMN($A$1),FALSE))</f>
        <v>4.8386462970565636E-3</v>
      </c>
      <c r="AL288" s="72">
        <f>IF(VLOOKUP($A288,raw_ub[],COLUMN(AM$1)-COLUMN($A$1),FALSE)=0, VLOOKUP($D288, regions_ub[], COLUMN(AM$1)-COLUMN($A$1), FALSE), VLOOKUP($A288,raw_ub[],COLUMN(AM$1)-COLUMN($A$1),FALSE))</f>
        <v>5.9794547993026843E-3</v>
      </c>
      <c r="AM288" s="72">
        <f>IF(VLOOKUP($A288,raw_ub[],COLUMN(AN$1)-COLUMN($A$1),FALSE)=0, VLOOKUP($D288, regions_ub[], COLUMN(AN$1)-COLUMN($A$1), FALSE), VLOOKUP($A288,raw_ub[],COLUMN(AN$1)-COLUMN($A$1),FALSE))</f>
        <v>7.2641983431902596E-3</v>
      </c>
      <c r="AN288" s="72">
        <f>IF(VLOOKUP($A288,raw_ub[],COLUMN(AO$1)-COLUMN($A$1),FALSE)=0, VLOOKUP($D288, regions_ub[], COLUMN(AO$1)-COLUMN($A$1), FALSE), VLOOKUP($A288,raw_ub[],COLUMN(AO$1)-COLUMN($A$1),FALSE))</f>
        <v>1.0099702290179638E-2</v>
      </c>
      <c r="AO288" s="72">
        <f>IF(VLOOKUP($A288,raw_ub[],COLUMN(AP$1)-COLUMN($A$1),FALSE)=0, VLOOKUP($D288, regions_ub[], COLUMN(AP$1)-COLUMN($A$1), FALSE), VLOOKUP($A288,raw_ub[],COLUMN(AP$1)-COLUMN($A$1),FALSE))</f>
        <v>1.3507770441399284E-2</v>
      </c>
      <c r="AP288" s="72">
        <f>IF(VLOOKUP($A288,raw_ub[],COLUMN(AQ$1)-COLUMN($A$1),FALSE)=0, VLOOKUP($D288, regions_ub[], COLUMN(AQ$1)-COLUMN($A$1), FALSE), VLOOKUP($A288,raw_ub[],COLUMN(AQ$1)-COLUMN($A$1),FALSE))</f>
        <v>2.03071383658684E-2</v>
      </c>
      <c r="AQ288" s="72">
        <f>IF(VLOOKUP($A288,raw_ub[],COLUMN(AR$1)-COLUMN($A$1),FALSE)=0, VLOOKUP($D288, regions_ub[], COLUMN(AR$1)-COLUMN($A$1), FALSE), VLOOKUP($A288,raw_ub[],COLUMN(AR$1)-COLUMN($A$1),FALSE))</f>
        <v>3.09578419760803E-2</v>
      </c>
      <c r="AR288" s="72">
        <f>IF(VLOOKUP($A288,raw_ub[],COLUMN(AS$1)-COLUMN($A$1),FALSE)=0, VLOOKUP($D288, regions_ub[], COLUMN(AS$1)-COLUMN($A$1), FALSE), VLOOKUP($A288,raw_ub[],COLUMN(AS$1)-COLUMN($A$1),FALSE))</f>
        <v>4.7513756849464357E-2</v>
      </c>
      <c r="AS288" s="72">
        <f>IF(VLOOKUP($A288,raw_ub[],COLUMN(AT$1)-COLUMN($A$1),FALSE)=0, VLOOKUP($D288, regions_ub[], COLUMN(AT$1)-COLUMN($A$1), FALSE), VLOOKUP($A288,raw_ub[],COLUMN(AT$1)-COLUMN($A$1),FALSE))</f>
        <v>7.1127576709599932E-2</v>
      </c>
      <c r="AT288" s="82">
        <f>IF(VLOOKUP($A288,raw_ub[],COLUMN(AT$1),FALSE)=0, VLOOKUP($D288, regions_ub[], COLUMN(AT$1), FALSE), VLOOKUP($A288,raw_ub[],COLUMN(AT$1),FALSE))</f>
        <v>0.10244396135590166</v>
      </c>
      <c r="AU288" s="82">
        <f>IF(VLOOKUP($A288,raw_ub[],COLUMN(AU$1),FALSE)=0, VLOOKUP($D288, regions_ub[], COLUMN(AU$1), FALSE), VLOOKUP($A288,raw_ub[],COLUMN(AU$1),FALSE))</f>
        <v>0.13602144411677536</v>
      </c>
      <c r="AV288" s="82">
        <f>IF(VLOOKUP($A288,raw_ub[],COLUMN(AV$1),FALSE)=0, VLOOKUP($D288, regions_ub[], COLUMN(AV$1), FALSE), VLOOKUP($A288,raw_ub[],COLUMN(AV$1),FALSE))</f>
        <v>0.16527335436667051</v>
      </c>
      <c r="AW288" s="82">
        <f>IF(VLOOKUP($A288,raw_ub[],COLUMN(AW$1),FALSE)=0, VLOOKUP($D288, regions_ub[], COLUMN(AW$1), FALSE), VLOOKUP($A288,raw_ub[],COLUMN(AW$1),FALSE))</f>
        <v>0.18491714023966346</v>
      </c>
      <c r="AX288" s="82">
        <f>IF(VLOOKUP($A288,raw_ub[],COLUMN(AX$1),FALSE)=0, VLOOKUP($D288, regions_ub[], COLUMN(AX$1), FALSE), VLOOKUP($A288,raw_ub[],COLUMN(AX$1),FALSE))</f>
        <v>64.36815</v>
      </c>
      <c r="AY288" t="str">
        <f t="shared" si="10"/>
        <v>No</v>
      </c>
    </row>
    <row r="289" spans="1:51" x14ac:dyDescent="0.25">
      <c r="A289" s="55" t="s">
        <v>236</v>
      </c>
      <c r="B289" s="56" t="s">
        <v>237</v>
      </c>
      <c r="C289" s="56">
        <v>64</v>
      </c>
      <c r="D289" s="56" t="s">
        <v>225</v>
      </c>
      <c r="E289" s="56" t="s">
        <v>226</v>
      </c>
      <c r="F289" s="56" t="s">
        <v>226</v>
      </c>
      <c r="G289" s="56" t="s">
        <v>212</v>
      </c>
      <c r="H289" s="74"/>
      <c r="I289" s="74"/>
      <c r="J289" s="67">
        <f>IF(VLOOKUP($A289,raw_ub[],COLUMN(J$1),FALSE)=0, VLOOKUP($D289, regions_ub[], COLUMN(J$1), FALSE), VLOOKUP($A289,raw_ub[],COLUMN(J$1),FALSE))</f>
        <v>0.77490000000000003</v>
      </c>
      <c r="K289" s="77">
        <f>VLOOKUP($A289, raw_ub[], 11, FALSE)</f>
        <v>0.89249999999999996</v>
      </c>
      <c r="L289" s="77">
        <f>VLOOKUP($A289, raw_ub[], 12, FALSE)</f>
        <v>0.999</v>
      </c>
      <c r="M289" s="77">
        <f>IF(VLOOKUP($A289,raw_ub[],COLUMN(M$1),FALSE)=0, VLOOKUP($D289, regions_ub[], COLUMN(M$1), FALSE), VLOOKUP($A289,raw_ub[],COLUMN(M$1),FALSE))</f>
        <v>4.0199999999999993E-2</v>
      </c>
      <c r="N289" s="68">
        <f>IF(VLOOKUP($A289,raw_ub[],COLUMN(N$1),FALSE)=0, VLOOKUP($D289, regions_ub[], COLUMN(N$1), FALSE), VLOOKUP($A289,raw_ub[],COLUMN(N$1),FALSE))</f>
        <v>0.35830000000000001</v>
      </c>
      <c r="O289" s="67">
        <f>IF(VLOOKUP($A289,raw_ub[],COLUMN(O$1),FALSE)=0, VLOOKUP($D289, regions_ub[], COLUMN(O$1), FALSE), VLOOKUP($A289,raw_ub[],COLUMN(O$1),FALSE))</f>
        <v>0.9</v>
      </c>
      <c r="P289" s="68">
        <f>IF(VLOOKUP($A289,raw_ub[],COLUMN(P$1),FALSE)=0, VLOOKUP($D289, regions_ub[], COLUMN(P$1), FALSE), VLOOKUP($A289,raw_ub[],COLUMN(P$1),FALSE))</f>
        <v>0.3</v>
      </c>
      <c r="Q289" s="70">
        <f>IF(VLOOKUP($A289,raw_ub[],COLUMN(Q$1),FALSE)=0, VLOOKUP($D289, regions_ub[], COLUMN(Q$1), FALSE), VLOOKUP($A289,raw_ub[],COLUMN(Q$1),FALSE))</f>
        <v>13.085819220009871</v>
      </c>
      <c r="R289" s="70">
        <f>IF(VLOOKUP($A289,raw_ub[],COLUMN(R$1),FALSE)=0, VLOOKUP($D289, regions_ub[], COLUMN(R$1), FALSE), VLOOKUP($A289,raw_ub[],COLUMN(R$1),FALSE))</f>
        <v>122.07161922000988</v>
      </c>
      <c r="S289" s="70">
        <f>IF(VLOOKUP($A289,raw_ub[],COLUMN(S$1),FALSE)=0, VLOOKUP($D289, regions_ub[], COLUMN(S$1), FALSE), VLOOKUP($A289,raw_ub[],COLUMN(S$1),FALSE))</f>
        <v>167.04784029178174</v>
      </c>
      <c r="T289" s="70">
        <f>IF(VLOOKUP($A289,raw_ub[],COLUMN(U$1)-COLUMN($A$1),FALSE)=0, VLOOKUP($D289, regions_ub[], COLUMN(U$1)-COLUMN($A$1), FALSE), VLOOKUP($A289,raw_ub[],COLUMN(U$1)-COLUMN($A$1),FALSE))</f>
        <v>175.24840266163275</v>
      </c>
      <c r="U289" s="70">
        <f>IF(VLOOKUP($A289,raw_ub[],COLUMN(V$1)-COLUMN($A$1),FALSE)=0, VLOOKUP($D289, regions_ub[], COLUMN(V$1)-COLUMN($A$1), FALSE), VLOOKUP($A289,raw_ub[],COLUMN(V$1)-COLUMN($A$1),FALSE))</f>
        <v>171.48287775920326</v>
      </c>
      <c r="V289" s="70">
        <f>IF(VLOOKUP($A289,raw_ub[],COLUMN(W$1)-COLUMN($A$1),FALSE)=0, VLOOKUP($D289, regions_ub[], COLUMN(W$1)-COLUMN($A$1), FALSE), VLOOKUP($A289,raw_ub[],COLUMN(W$1)-COLUMN($A$1),FALSE))</f>
        <v>15.501400934128295</v>
      </c>
      <c r="W289" s="70">
        <f>IF(VLOOKUP($A289,raw_ub[],COLUMN(X$1)-COLUMN($A$1),FALSE)=0, VLOOKUP($D289, regions_ub[], COLUMN(X$1)-COLUMN($A$1), FALSE), VLOOKUP($A289,raw_ub[],COLUMN(X$1)-COLUMN($A$1),FALSE))</f>
        <v>17.401740768186972</v>
      </c>
      <c r="X289" s="70">
        <f>IF(VLOOKUP($A289,raw_ub[],COLUMN(Y$1)-COLUMN($A$1),FALSE)=0, VLOOKUP($D289, regions_ub[], COLUMN(Y$1)-COLUMN($A$1), FALSE), VLOOKUP($A289,raw_ub[],COLUMN(Y$1)-COLUMN($A$1),FALSE))</f>
        <v>15.468533825725956</v>
      </c>
      <c r="Y289" s="70">
        <f>IF(VLOOKUP($A289,raw_ub[],COLUMN(Z$1)-COLUMN($A$1),FALSE)=0, VLOOKUP($D289, regions_ub[], COLUMN(Z$1)-COLUMN($A$1), FALSE), VLOOKUP($A289,raw_ub[],COLUMN(Z$1)-COLUMN($A$1),FALSE))</f>
        <v>17.368873659784633</v>
      </c>
      <c r="Z289" s="70">
        <f>IF(VLOOKUP($A289,raw_ub[],COLUMN(AA$1)-COLUMN($A$1),FALSE)=0, VLOOKUP($D289, regions_ub[], COLUMN(AA$1)-COLUMN($A$1), FALSE), VLOOKUP($A289,raw_ub[],COLUMN(AA$1)-COLUMN($A$1),FALSE))</f>
        <v>17.350649829073713</v>
      </c>
      <c r="AA289" s="70">
        <f>IF(VLOOKUP($A289,raw_ub[],COLUMN(AB$1)-COLUMN($A$1),FALSE)=0, VLOOKUP($D289, regions_ub[], COLUMN(AB$1)-COLUMN($A$1), FALSE), VLOOKUP($A289,raw_ub[],COLUMN(AB$1)-COLUMN($A$1),FALSE))</f>
        <v>15.508985651451912</v>
      </c>
      <c r="AB289" s="70">
        <f>IF(VLOOKUP($A289,raw_ub[],COLUMN(AC$1)-COLUMN($A$1),FALSE)=0, VLOOKUP($D289, regions_ub[], COLUMN(AC$1)-COLUMN($A$1), FALSE), VLOOKUP($A289,raw_ub[],COLUMN(AC$1)-COLUMN($A$1),FALSE))</f>
        <v>17.409325485510589</v>
      </c>
      <c r="AC289" s="72">
        <f>IF(VLOOKUP($A289,raw_ub[],COLUMN(AD$1)-COLUMN($A$1),FALSE)=0, VLOOKUP($D289, regions_ub[], COLUMN(AD$1)-COLUMN($A$1), FALSE), VLOOKUP($A289,raw_ub[],COLUMN(AD$1)-COLUMN($A$1),FALSE))</f>
        <v>2.5273636500000068E-2</v>
      </c>
      <c r="AD289" s="72">
        <f>IF(VLOOKUP($A289,raw_ub[],COLUMN(AE$1)-COLUMN($A$1),FALSE)=0, VLOOKUP($D289, regions_ub[], COLUMN(AE$1)-COLUMN($A$1), FALSE), VLOOKUP($A289,raw_ub[],COLUMN(AE$1)-COLUMN($A$1),FALSE))</f>
        <v>1.4880623543164773E-3</v>
      </c>
      <c r="AE289" s="72">
        <f>IF(VLOOKUP($A289,raw_ub[],COLUMN(AF$1)-COLUMN($A$1),FALSE)=0, VLOOKUP($D289, regions_ub[], COLUMN(AF$1)-COLUMN($A$1), FALSE), VLOOKUP($A289,raw_ub[],COLUMN(AF$1)-COLUMN($A$1),FALSE))</f>
        <v>8.1232164332327341E-4</v>
      </c>
      <c r="AF289" s="72">
        <f>IF(VLOOKUP($A289,raw_ub[],COLUMN(AG$1)-COLUMN($A$1),FALSE)=0, VLOOKUP($D289, regions_ub[], COLUMN(AG$1)-COLUMN($A$1), FALSE), VLOOKUP($A289,raw_ub[],COLUMN(AG$1)-COLUMN($A$1),FALSE))</f>
        <v>6.583264557569749E-4</v>
      </c>
      <c r="AG289" s="72">
        <f>IF(VLOOKUP($A289,raw_ub[],COLUMN(AH$1)-COLUMN($A$1),FALSE)=0, VLOOKUP($D289, regions_ub[], COLUMN(AH$1)-COLUMN($A$1), FALSE), VLOOKUP($A289,raw_ub[],COLUMN(AH$1)-COLUMN($A$1),FALSE))</f>
        <v>8.9074187939460587E-4</v>
      </c>
      <c r="AH289" s="72">
        <f>IF(VLOOKUP($A289,raw_ub[],COLUMN(AI$1)-COLUMN($A$1),FALSE)=0, VLOOKUP($D289, regions_ub[], COLUMN(AI$1)-COLUMN($A$1), FALSE), VLOOKUP($A289,raw_ub[],COLUMN(AI$1)-COLUMN($A$1),FALSE))</f>
        <v>1.4505843462056264E-3</v>
      </c>
      <c r="AI289" s="72">
        <f>IF(VLOOKUP($A289,raw_ub[],COLUMN(AJ$1)-COLUMN($A$1),FALSE)=0, VLOOKUP($D289, regions_ub[], COLUMN(AJ$1)-COLUMN($A$1), FALSE), VLOOKUP($A289,raw_ub[],COLUMN(AJ$1)-COLUMN($A$1),FALSE))</f>
        <v>2.0993890176562802E-3</v>
      </c>
      <c r="AJ289" s="72">
        <f>IF(VLOOKUP($A289,raw_ub[],COLUMN(AK$1)-COLUMN($A$1),FALSE)=0, VLOOKUP($D289, regions_ub[], COLUMN(AK$1)-COLUMN($A$1), FALSE), VLOOKUP($A289,raw_ub[],COLUMN(AK$1)-COLUMN($A$1),FALSE))</f>
        <v>3.0428864845611068E-3</v>
      </c>
      <c r="AK289" s="72">
        <f>IF(VLOOKUP($A289,raw_ub[],COLUMN(AL$1)-COLUMN($A$1),FALSE)=0, VLOOKUP($D289, regions_ub[], COLUMN(AL$1)-COLUMN($A$1), FALSE), VLOOKUP($A289,raw_ub[],COLUMN(AL$1)-COLUMN($A$1),FALSE))</f>
        <v>4.1372774217063417E-3</v>
      </c>
      <c r="AL289" s="72">
        <f>IF(VLOOKUP($A289,raw_ub[],COLUMN(AM$1)-COLUMN($A$1),FALSE)=0, VLOOKUP($D289, regions_ub[], COLUMN(AM$1)-COLUMN($A$1), FALSE), VLOOKUP($A289,raw_ub[],COLUMN(AM$1)-COLUMN($A$1),FALSE))</f>
        <v>5.409922572236275E-3</v>
      </c>
      <c r="AM289" s="72">
        <f>IF(VLOOKUP($A289,raw_ub[],COLUMN(AN$1)-COLUMN($A$1),FALSE)=0, VLOOKUP($D289, regions_ub[], COLUMN(AN$1)-COLUMN($A$1), FALSE), VLOOKUP($A289,raw_ub[],COLUMN(AN$1)-COLUMN($A$1),FALSE))</f>
        <v>7.0236254889374725E-3</v>
      </c>
      <c r="AN289" s="72">
        <f>IF(VLOOKUP($A289,raw_ub[],COLUMN(AO$1)-COLUMN($A$1),FALSE)=0, VLOOKUP($D289, regions_ub[], COLUMN(AO$1)-COLUMN($A$1), FALSE), VLOOKUP($A289,raw_ub[],COLUMN(AO$1)-COLUMN($A$1),FALSE))</f>
        <v>9.2363020299652612E-3</v>
      </c>
      <c r="AO289" s="72">
        <f>IF(VLOOKUP($A289,raw_ub[],COLUMN(AP$1)-COLUMN($A$1),FALSE)=0, VLOOKUP($D289, regions_ub[], COLUMN(AP$1)-COLUMN($A$1), FALSE), VLOOKUP($A289,raw_ub[],COLUMN(AP$1)-COLUMN($A$1),FALSE))</f>
        <v>1.2510046807870724E-2</v>
      </c>
      <c r="AP289" s="72">
        <f>IF(VLOOKUP($A289,raw_ub[],COLUMN(AQ$1)-COLUMN($A$1),FALSE)=0, VLOOKUP($D289, regions_ub[], COLUMN(AQ$1)-COLUMN($A$1), FALSE), VLOOKUP($A289,raw_ub[],COLUMN(AQ$1)-COLUMN($A$1),FALSE))</f>
        <v>1.6786747696941679E-2</v>
      </c>
      <c r="AQ289" s="72">
        <f>IF(VLOOKUP($A289,raw_ub[],COLUMN(AR$1)-COLUMN($A$1),FALSE)=0, VLOOKUP($D289, regions_ub[], COLUMN(AR$1)-COLUMN($A$1), FALSE), VLOOKUP($A289,raw_ub[],COLUMN(AR$1)-COLUMN($A$1),FALSE))</f>
        <v>2.3489863690990945E-2</v>
      </c>
      <c r="AR289" s="72">
        <f>IF(VLOOKUP($A289,raw_ub[],COLUMN(AS$1)-COLUMN($A$1),FALSE)=0, VLOOKUP($D289, regions_ub[], COLUMN(AS$1)-COLUMN($A$1), FALSE), VLOOKUP($A289,raw_ub[],COLUMN(AS$1)-COLUMN($A$1),FALSE))</f>
        <v>3.3247989295890477E-2</v>
      </c>
      <c r="AS289" s="72">
        <f>IF(VLOOKUP($A289,raw_ub[],COLUMN(AT$1)-COLUMN($A$1),FALSE)=0, VLOOKUP($D289, regions_ub[], COLUMN(AT$1)-COLUMN($A$1), FALSE), VLOOKUP($A289,raw_ub[],COLUMN(AT$1)-COLUMN($A$1),FALSE))</f>
        <v>4.7486109853810528E-2</v>
      </c>
      <c r="AT289" s="82">
        <f>IF(VLOOKUP($A289,raw_ub[],COLUMN(AT$1),FALSE)=0, VLOOKUP($D289, regions_ub[], COLUMN(AT$1), FALSE), VLOOKUP($A289,raw_ub[],COLUMN(AT$1),FALSE))</f>
        <v>6.704478414251791E-2</v>
      </c>
      <c r="AU289" s="82">
        <f>IF(VLOOKUP($A289,raw_ub[],COLUMN(AU$1),FALSE)=0, VLOOKUP($D289, regions_ub[], COLUMN(AU$1), FALSE), VLOOKUP($A289,raw_ub[],COLUMN(AU$1),FALSE))</f>
        <v>8.8344914825090437E-2</v>
      </c>
      <c r="AV289" s="82">
        <f>IF(VLOOKUP($A289,raw_ub[],COLUMN(AV$1),FALSE)=0, VLOOKUP($D289, regions_ub[], COLUMN(AV$1), FALSE), VLOOKUP($A289,raw_ub[],COLUMN(AV$1),FALSE))</f>
        <v>0.11295039410957219</v>
      </c>
      <c r="AW289" s="82">
        <f>IF(VLOOKUP($A289,raw_ub[],COLUMN(AW$1),FALSE)=0, VLOOKUP($D289, regions_ub[], COLUMN(AW$1), FALSE), VLOOKUP($A289,raw_ub[],COLUMN(AW$1),FALSE))</f>
        <v>0.13700278494419421</v>
      </c>
      <c r="AX289" s="82">
        <f>IF(VLOOKUP($A289,raw_ub[],COLUMN(AX$1),FALSE)=0, VLOOKUP($D289, regions_ub[], COLUMN(AX$1), FALSE), VLOOKUP($A289,raw_ub[],COLUMN(AX$1),FALSE))</f>
        <v>74.847149999999999</v>
      </c>
      <c r="AY289" t="str">
        <f t="shared" si="10"/>
        <v>No</v>
      </c>
    </row>
    <row r="290" spans="1:51" x14ac:dyDescent="0.25">
      <c r="A290" s="53" t="s">
        <v>238</v>
      </c>
      <c r="B290" s="54" t="s">
        <v>239</v>
      </c>
      <c r="C290" s="54">
        <v>68</v>
      </c>
      <c r="D290" s="54" t="s">
        <v>215</v>
      </c>
      <c r="E290" s="54" t="s">
        <v>240</v>
      </c>
      <c r="F290" s="54" t="s">
        <v>217</v>
      </c>
      <c r="G290" s="54" t="s">
        <v>212</v>
      </c>
      <c r="H290" s="73"/>
      <c r="I290" s="73"/>
      <c r="J290" s="67">
        <f>IF(VLOOKUP($A290,raw_ub[],COLUMN(J$1),FALSE)=0, VLOOKUP($D290, regions_ub[], COLUMN(J$1), FALSE), VLOOKUP($A290,raw_ub[],COLUMN(J$1),FALSE))</f>
        <v>0.92085000000000006</v>
      </c>
      <c r="K290" s="77">
        <f>VLOOKUP($A290, raw_ub[], 11, FALSE)</f>
        <v>0</v>
      </c>
      <c r="L290" s="77">
        <f>VLOOKUP($A290, raw_ub[], 12, FALSE)</f>
        <v>0.71400000000000008</v>
      </c>
      <c r="M290" s="77">
        <f>IF(VLOOKUP($A290,raw_ub[],COLUMN(M$1),FALSE)=0, VLOOKUP($D290, regions_ub[], COLUMN(M$1), FALSE), VLOOKUP($A290,raw_ub[],COLUMN(M$1),FALSE))</f>
        <v>1.2199999999999999E-2</v>
      </c>
      <c r="N290" s="68">
        <f>IF(VLOOKUP($A290,raw_ub[],COLUMN(N$1),FALSE)=0, VLOOKUP($D290, regions_ub[], COLUMN(N$1), FALSE), VLOOKUP($A290,raw_ub[],COLUMN(N$1),FALSE))</f>
        <v>0.43020000000000003</v>
      </c>
      <c r="O290" s="67">
        <f>IF(VLOOKUP($A290,raw_ub[],COLUMN(O$1),FALSE)=0, VLOOKUP($D290, regions_ub[], COLUMN(O$1), FALSE), VLOOKUP($A290,raw_ub[],COLUMN(O$1),FALSE))</f>
        <v>0.9</v>
      </c>
      <c r="P290" s="68">
        <f>IF(VLOOKUP($A290,raw_ub[],COLUMN(P$1),FALSE)=0, VLOOKUP($D290, regions_ub[], COLUMN(P$1), FALSE), VLOOKUP($A290,raw_ub[],COLUMN(P$1),FALSE))</f>
        <v>0.3</v>
      </c>
      <c r="Q290" s="70">
        <f>IF(VLOOKUP($A290,raw_ub[],COLUMN(Q$1),FALSE)=0, VLOOKUP($D290, regions_ub[], COLUMN(Q$1), FALSE), VLOOKUP($A290,raw_ub[],COLUMN(Q$1),FALSE))</f>
        <v>12.801088217522659</v>
      </c>
      <c r="R290" s="70">
        <f>IF(VLOOKUP($A290,raw_ub[],COLUMN(R$1),FALSE)=0, VLOOKUP($D290, regions_ub[], COLUMN(R$1), FALSE), VLOOKUP($A290,raw_ub[],COLUMN(R$1),FALSE))</f>
        <v>121.78688821752267</v>
      </c>
      <c r="S290" s="70">
        <f>IF(VLOOKUP($A290,raw_ub[],COLUMN(S$1),FALSE)=0, VLOOKUP($D290, regions_ub[], COLUMN(S$1), FALSE), VLOOKUP($A290,raw_ub[],COLUMN(S$1),FALSE))</f>
        <v>165.64559175715087</v>
      </c>
      <c r="T290" s="70">
        <f>IF(VLOOKUP($A290,raw_ub[],COLUMN(U$1)-COLUMN($A$1),FALSE)=0, VLOOKUP($D290, regions_ub[], COLUMN(U$1)-COLUMN($A$1), FALSE), VLOOKUP($A290,raw_ub[],COLUMN(U$1)-COLUMN($A$1),FALSE))</f>
        <v>173.26452531004114</v>
      </c>
      <c r="U290" s="70">
        <f>IF(VLOOKUP($A290,raw_ub[],COLUMN(V$1)-COLUMN($A$1),FALSE)=0, VLOOKUP($D290, regions_ub[], COLUMN(V$1)-COLUMN($A$1), FALSE), VLOOKUP($A290,raw_ub[],COLUMN(V$1)-COLUMN($A$1),FALSE))</f>
        <v>169.76607206629305</v>
      </c>
      <c r="V290" s="70">
        <f>IF(VLOOKUP($A290,raw_ub[],COLUMN(W$1)-COLUMN($A$1),FALSE)=0, VLOOKUP($D290, regions_ub[], COLUMN(W$1)-COLUMN($A$1), FALSE), VLOOKUP($A290,raw_ub[],COLUMN(W$1)-COLUMN($A$1),FALSE))</f>
        <v>6.0693641280431159</v>
      </c>
      <c r="W290" s="70">
        <f>IF(VLOOKUP($A290,raw_ub[],COLUMN(X$1)-COLUMN($A$1),FALSE)=0, VLOOKUP($D290, regions_ub[], COLUMN(X$1)-COLUMN($A$1), FALSE), VLOOKUP($A290,raw_ub[],COLUMN(X$1)-COLUMN($A$1),FALSE))</f>
        <v>6.0903641280431158</v>
      </c>
      <c r="X290" s="70">
        <f>IF(VLOOKUP($A290,raw_ub[],COLUMN(Y$1)-COLUMN($A$1),FALSE)=0, VLOOKUP($D290, regions_ub[], COLUMN(Y$1)-COLUMN($A$1), FALSE), VLOOKUP($A290,raw_ub[],COLUMN(Y$1)-COLUMN($A$1),FALSE))</f>
        <v>6.0327946223686153</v>
      </c>
      <c r="Y290" s="70">
        <f>IF(VLOOKUP($A290,raw_ub[],COLUMN(Z$1)-COLUMN($A$1),FALSE)=0, VLOOKUP($D290, regions_ub[], COLUMN(Z$1)-COLUMN($A$1), FALSE), VLOOKUP($A290,raw_ub[],COLUMN(Z$1)-COLUMN($A$1),FALSE))</f>
        <v>6.0537946223686152</v>
      </c>
      <c r="Z290" s="70">
        <f>IF(VLOOKUP($A290,raw_ub[],COLUMN(AA$1)-COLUMN($A$1),FALSE)=0, VLOOKUP($D290, regions_ub[], COLUMN(AA$1)-COLUMN($A$1), FALSE), VLOOKUP($A290,raw_ub[],COLUMN(AA$1)-COLUMN($A$1),FALSE))</f>
        <v>6.0319941466904803</v>
      </c>
      <c r="AA290" s="70">
        <f>IF(VLOOKUP($A290,raw_ub[],COLUMN(AB$1)-COLUMN($A$1),FALSE)=0, VLOOKUP($D290, regions_ub[], COLUMN(AB$1)-COLUMN($A$1), FALSE), VLOOKUP($A290,raw_ub[],COLUMN(AB$1)-COLUMN($A$1),FALSE))</f>
        <v>6.0778032447372317</v>
      </c>
      <c r="AB290" s="70">
        <f>IF(VLOOKUP($A290,raw_ub[],COLUMN(AC$1)-COLUMN($A$1),FALSE)=0, VLOOKUP($D290, regions_ub[], COLUMN(AC$1)-COLUMN($A$1), FALSE), VLOOKUP($A290,raw_ub[],COLUMN(AC$1)-COLUMN($A$1),FALSE))</f>
        <v>6.0988032447372316</v>
      </c>
      <c r="AC290" s="72">
        <f>IF(VLOOKUP($A290,raw_ub[],COLUMN(AD$1)-COLUMN($A$1),FALSE)=0, VLOOKUP($D290, regions_ub[], COLUMN(AD$1)-COLUMN($A$1), FALSE), VLOOKUP($A290,raw_ub[],COLUMN(AD$1)-COLUMN($A$1),FALSE))</f>
        <v>3.1194555000000037E-2</v>
      </c>
      <c r="AD290" s="72">
        <f>IF(VLOOKUP($A290,raw_ub[],COLUMN(AE$1)-COLUMN($A$1),FALSE)=0, VLOOKUP($D290, regions_ub[], COLUMN(AE$1)-COLUMN($A$1), FALSE), VLOOKUP($A290,raw_ub[],COLUMN(AE$1)-COLUMN($A$1),FALSE))</f>
        <v>5.1420534037781782E-3</v>
      </c>
      <c r="AE290" s="72">
        <f>IF(VLOOKUP($A290,raw_ub[],COLUMN(AF$1)-COLUMN($A$1),FALSE)=0, VLOOKUP($D290, regions_ub[], COLUMN(AF$1)-COLUMN($A$1), FALSE), VLOOKUP($A290,raw_ub[],COLUMN(AF$1)-COLUMN($A$1),FALSE))</f>
        <v>1.4351608676646708E-3</v>
      </c>
      <c r="AF290" s="72">
        <f>IF(VLOOKUP($A290,raw_ub[],COLUMN(AG$1)-COLUMN($A$1),FALSE)=0, VLOOKUP($D290, regions_ub[], COLUMN(AG$1)-COLUMN($A$1), FALSE), VLOOKUP($A290,raw_ub[],COLUMN(AG$1)-COLUMN($A$1),FALSE))</f>
        <v>8.4152442129246388E-4</v>
      </c>
      <c r="AG290" s="72">
        <f>IF(VLOOKUP($A290,raw_ub[],COLUMN(AH$1)-COLUMN($A$1),FALSE)=0, VLOOKUP($D290, regions_ub[], COLUMN(AH$1)-COLUMN($A$1), FALSE), VLOOKUP($A290,raw_ub[],COLUMN(AH$1)-COLUMN($A$1),FALSE))</f>
        <v>1.6698044912856235E-3</v>
      </c>
      <c r="AH290" s="72">
        <f>IF(VLOOKUP($A290,raw_ub[],COLUMN(AI$1)-COLUMN($A$1),FALSE)=0, VLOOKUP($D290, regions_ub[], COLUMN(AI$1)-COLUMN($A$1), FALSE), VLOOKUP($A290,raw_ub[],COLUMN(AI$1)-COLUMN($A$1),FALSE))</f>
        <v>2.3275463574947523E-3</v>
      </c>
      <c r="AI290" s="72">
        <f>IF(VLOOKUP($A290,raw_ub[],COLUMN(AJ$1)-COLUMN($A$1),FALSE)=0, VLOOKUP($D290, regions_ub[], COLUMN(AJ$1)-COLUMN($A$1), FALSE), VLOOKUP($A290,raw_ub[],COLUMN(AJ$1)-COLUMN($A$1),FALSE))</f>
        <v>2.4998669256271239E-3</v>
      </c>
      <c r="AJ290" s="72">
        <f>IF(VLOOKUP($A290,raw_ub[],COLUMN(AK$1)-COLUMN($A$1),FALSE)=0, VLOOKUP($D290, regions_ub[], COLUMN(AK$1)-COLUMN($A$1), FALSE), VLOOKUP($A290,raw_ub[],COLUMN(AK$1)-COLUMN($A$1),FALSE))</f>
        <v>2.8368557087298674E-3</v>
      </c>
      <c r="AK290" s="72">
        <f>IF(VLOOKUP($A290,raw_ub[],COLUMN(AL$1)-COLUMN($A$1),FALSE)=0, VLOOKUP($D290, regions_ub[], COLUMN(AL$1)-COLUMN($A$1), FALSE), VLOOKUP($A290,raw_ub[],COLUMN(AL$1)-COLUMN($A$1),FALSE))</f>
        <v>3.5753180508881414E-3</v>
      </c>
      <c r="AL290" s="72">
        <f>IF(VLOOKUP($A290,raw_ub[],COLUMN(AM$1)-COLUMN($A$1),FALSE)=0, VLOOKUP($D290, regions_ub[], COLUMN(AM$1)-COLUMN($A$1), FALSE), VLOOKUP($A290,raw_ub[],COLUMN(AM$1)-COLUMN($A$1),FALSE))</f>
        <v>4.2234484927379957E-3</v>
      </c>
      <c r="AM290" s="72">
        <f>IF(VLOOKUP($A290,raw_ub[],COLUMN(AN$1)-COLUMN($A$1),FALSE)=0, VLOOKUP($D290, regions_ub[], COLUMN(AN$1)-COLUMN($A$1), FALSE), VLOOKUP($A290,raw_ub[],COLUMN(AN$1)-COLUMN($A$1),FALSE))</f>
        <v>5.7181041167092385E-3</v>
      </c>
      <c r="AN290" s="72">
        <f>IF(VLOOKUP($A290,raw_ub[],COLUMN(AO$1)-COLUMN($A$1),FALSE)=0, VLOOKUP($D290, regions_ub[], COLUMN(AO$1)-COLUMN($A$1), FALSE), VLOOKUP($A290,raw_ub[],COLUMN(AO$1)-COLUMN($A$1),FALSE))</f>
        <v>7.7343078713497122E-3</v>
      </c>
      <c r="AO290" s="72">
        <f>IF(VLOOKUP($A290,raw_ub[],COLUMN(AP$1)-COLUMN($A$1),FALSE)=0, VLOOKUP($D290, regions_ub[], COLUMN(AP$1)-COLUMN($A$1), FALSE), VLOOKUP($A290,raw_ub[],COLUMN(AP$1)-COLUMN($A$1),FALSE))</f>
        <v>1.0862247438071713E-2</v>
      </c>
      <c r="AP290" s="72">
        <f>IF(VLOOKUP($A290,raw_ub[],COLUMN(AQ$1)-COLUMN($A$1),FALSE)=0, VLOOKUP($D290, regions_ub[], COLUMN(AQ$1)-COLUMN($A$1), FALSE), VLOOKUP($A290,raw_ub[],COLUMN(AQ$1)-COLUMN($A$1),FALSE))</f>
        <v>1.6037130171302493E-2</v>
      </c>
      <c r="AQ290" s="72">
        <f>IF(VLOOKUP($A290,raw_ub[],COLUMN(AR$1)-COLUMN($A$1),FALSE)=0, VLOOKUP($D290, regions_ub[], COLUMN(AR$1)-COLUMN($A$1), FALSE), VLOOKUP($A290,raw_ub[],COLUMN(AR$1)-COLUMN($A$1),FALSE))</f>
        <v>2.1230883603528618E-2</v>
      </c>
      <c r="AR290" s="72">
        <f>IF(VLOOKUP($A290,raw_ub[],COLUMN(AS$1)-COLUMN($A$1),FALSE)=0, VLOOKUP($D290, regions_ub[], COLUMN(AS$1)-COLUMN($A$1), FALSE), VLOOKUP($A290,raw_ub[],COLUMN(AS$1)-COLUMN($A$1),FALSE))</f>
        <v>2.7537782677896489E-2</v>
      </c>
      <c r="AS290" s="72">
        <f>IF(VLOOKUP($A290,raw_ub[],COLUMN(AT$1)-COLUMN($A$1),FALSE)=0, VLOOKUP($D290, regions_ub[], COLUMN(AT$1)-COLUMN($A$1), FALSE), VLOOKUP($A290,raw_ub[],COLUMN(AT$1)-COLUMN($A$1),FALSE))</f>
        <v>3.9593325762970179E-2</v>
      </c>
      <c r="AT290" s="82">
        <f>IF(VLOOKUP($A290,raw_ub[],COLUMN(AT$1),FALSE)=0, VLOOKUP($D290, regions_ub[], COLUMN(AT$1), FALSE), VLOOKUP($A290,raw_ub[],COLUMN(AT$1),FALSE))</f>
        <v>5.6086631322577185E-2</v>
      </c>
      <c r="AU290" s="82">
        <f>IF(VLOOKUP($A290,raw_ub[],COLUMN(AU$1),FALSE)=0, VLOOKUP($D290, regions_ub[], COLUMN(AU$1), FALSE), VLOOKUP($A290,raw_ub[],COLUMN(AU$1),FALSE))</f>
        <v>7.8811888530146035E-2</v>
      </c>
      <c r="AV290" s="82">
        <f>IF(VLOOKUP($A290,raw_ub[],COLUMN(AV$1),FALSE)=0, VLOOKUP($D290, regions_ub[], COLUMN(AV$1), FALSE), VLOOKUP($A290,raw_ub[],COLUMN(AV$1),FALSE))</f>
        <v>0.10512944576538689</v>
      </c>
      <c r="AW290" s="82">
        <f>IF(VLOOKUP($A290,raw_ub[],COLUMN(AW$1),FALSE)=0, VLOOKUP($D290, regions_ub[], COLUMN(AW$1), FALSE), VLOOKUP($A290,raw_ub[],COLUMN(AW$1),FALSE))</f>
        <v>0.13073230314131756</v>
      </c>
      <c r="AX290" s="82">
        <f>IF(VLOOKUP($A290,raw_ub[],COLUMN(AX$1),FALSE)=0, VLOOKUP($D290, regions_ub[], COLUMN(AX$1), FALSE), VLOOKUP($A290,raw_ub[],COLUMN(AX$1),FALSE))</f>
        <v>74.636099999999999</v>
      </c>
      <c r="AY290" t="str">
        <f t="shared" si="10"/>
        <v>Yes</v>
      </c>
    </row>
    <row r="291" spans="1:51" x14ac:dyDescent="0.25">
      <c r="A291" s="55" t="s">
        <v>241</v>
      </c>
      <c r="B291" s="56" t="s">
        <v>242</v>
      </c>
      <c r="C291" s="56">
        <v>70</v>
      </c>
      <c r="D291" s="56" t="s">
        <v>201</v>
      </c>
      <c r="E291" s="56" t="s">
        <v>202</v>
      </c>
      <c r="F291" s="56" t="s">
        <v>203</v>
      </c>
      <c r="G291" s="56" t="s">
        <v>204</v>
      </c>
      <c r="H291" s="74"/>
      <c r="I291" s="74"/>
      <c r="J291" s="67">
        <f>IF(VLOOKUP($A291,raw_ub[],COLUMN(J$1),FALSE)=0, VLOOKUP($D291, regions_ub[], COLUMN(J$1), FALSE), VLOOKUP($A291,raw_ub[],COLUMN(J$1),FALSE))</f>
        <v>0.999</v>
      </c>
      <c r="K291" s="77">
        <f>VLOOKUP($A291, raw_ub[], 11, FALSE)</f>
        <v>0</v>
      </c>
      <c r="L291" s="77">
        <f>VLOOKUP($A291, raw_ub[], 12, FALSE)</f>
        <v>0.84000000000000008</v>
      </c>
      <c r="M291" s="77">
        <f>IF(VLOOKUP($A291,raw_ub[],COLUMN(M$1),FALSE)=0, VLOOKUP($D291, regions_ub[], COLUMN(M$1), FALSE), VLOOKUP($A291,raw_ub[],COLUMN(M$1),FALSE))</f>
        <v>8.8499999999999995E-2</v>
      </c>
      <c r="N291" s="68">
        <f>IF(VLOOKUP($A291,raw_ub[],COLUMN(N$1),FALSE)=0, VLOOKUP($D291, regions_ub[], COLUMN(N$1), FALSE), VLOOKUP($A291,raw_ub[],COLUMN(N$1),FALSE))</f>
        <v>0.42849999999999999</v>
      </c>
      <c r="O291" s="67">
        <f>IF(VLOOKUP($A291,raw_ub[],COLUMN(O$1),FALSE)=0, VLOOKUP($D291, regions_ub[], COLUMN(O$1), FALSE), VLOOKUP($A291,raw_ub[],COLUMN(O$1),FALSE))</f>
        <v>0.9</v>
      </c>
      <c r="P291" s="68">
        <f>IF(VLOOKUP($A291,raw_ub[],COLUMN(P$1),FALSE)=0, VLOOKUP($D291, regions_ub[], COLUMN(P$1), FALSE), VLOOKUP($A291,raw_ub[],COLUMN(P$1),FALSE))</f>
        <v>0.3</v>
      </c>
      <c r="Q291" s="70">
        <f>IF(VLOOKUP($A291,raw_ub[],COLUMN(Q$1),FALSE)=0, VLOOKUP($D291, regions_ub[], COLUMN(Q$1), FALSE), VLOOKUP($A291,raw_ub[],COLUMN(Q$1),FALSE))</f>
        <v>22.481474085882201</v>
      </c>
      <c r="R291" s="70">
        <f>IF(VLOOKUP($A291,raw_ub[],COLUMN(R$1),FALSE)=0, VLOOKUP($D291, regions_ub[], COLUMN(R$1), FALSE), VLOOKUP($A291,raw_ub[],COLUMN(R$1),FALSE))</f>
        <v>131.4672740858822</v>
      </c>
      <c r="S291" s="70">
        <f>IF(VLOOKUP($A291,raw_ub[],COLUMN(S$1),FALSE)=0, VLOOKUP($D291, regions_ub[], COLUMN(S$1), FALSE), VLOOKUP($A291,raw_ub[],COLUMN(S$1),FALSE))</f>
        <v>200.95887628225267</v>
      </c>
      <c r="T291" s="70">
        <f>IF(VLOOKUP($A291,raw_ub[],COLUMN(U$1)-COLUMN($A$1),FALSE)=0, VLOOKUP($D291, regions_ub[], COLUMN(U$1)-COLUMN($A$1), FALSE), VLOOKUP($A291,raw_ub[],COLUMN(U$1)-COLUMN($A$1),FALSE))</f>
        <v>221.91883768675629</v>
      </c>
      <c r="U291" s="70">
        <f>IF(VLOOKUP($A291,raw_ub[],COLUMN(V$1)-COLUMN($A$1),FALSE)=0, VLOOKUP($D291, regions_ub[], COLUMN(V$1)-COLUMN($A$1), FALSE), VLOOKUP($A291,raw_ub[],COLUMN(V$1)-COLUMN($A$1),FALSE))</f>
        <v>212.2944664469515</v>
      </c>
      <c r="V291" s="70">
        <f>IF(VLOOKUP($A291,raw_ub[],COLUMN(W$1)-COLUMN($A$1),FALSE)=0, VLOOKUP($D291, regions_ub[], COLUMN(W$1)-COLUMN($A$1), FALSE), VLOOKUP($A291,raw_ub[],COLUMN(W$1)-COLUMN($A$1),FALSE))</f>
        <v>7.5101067809685063</v>
      </c>
      <c r="W291" s="70">
        <f>IF(VLOOKUP($A291,raw_ub[],COLUMN(X$1)-COLUMN($A$1),FALSE)=0, VLOOKUP($D291, regions_ub[], COLUMN(X$1)-COLUMN($A$1), FALSE), VLOOKUP($A291,raw_ub[],COLUMN(X$1)-COLUMN($A$1),FALSE))</f>
        <v>11.783606780968507</v>
      </c>
      <c r="X291" s="70">
        <f>IF(VLOOKUP($A291,raw_ub[],COLUMN(Y$1)-COLUMN($A$1),FALSE)=0, VLOOKUP($D291, regions_ub[], COLUMN(Y$1)-COLUMN($A$1), FALSE), VLOOKUP($A291,raw_ub[],COLUMN(Y$1)-COLUMN($A$1),FALSE))</f>
        <v>7.4744774653619341</v>
      </c>
      <c r="Y291" s="70">
        <f>IF(VLOOKUP($A291,raw_ub[],COLUMN(Z$1)-COLUMN($A$1),FALSE)=0, VLOOKUP($D291, regions_ub[], COLUMN(Z$1)-COLUMN($A$1), FALSE), VLOOKUP($A291,raw_ub[],COLUMN(Z$1)-COLUMN($A$1),FALSE))</f>
        <v>11.747977465361934</v>
      </c>
      <c r="Z291" s="70">
        <f>IF(VLOOKUP($A291,raw_ub[],COLUMN(AA$1)-COLUMN($A$1),FALSE)=0, VLOOKUP($D291, regions_ub[], COLUMN(AA$1)-COLUMN($A$1), FALSE), VLOOKUP($A291,raw_ub[],COLUMN(AA$1)-COLUMN($A$1),FALSE))</f>
        <v>11.728520011639144</v>
      </c>
      <c r="AA291" s="70">
        <f>IF(VLOOKUP($A291,raw_ub[],COLUMN(AB$1)-COLUMN($A$1),FALSE)=0, VLOOKUP($D291, regions_ub[], COLUMN(AB$1)-COLUMN($A$1), FALSE), VLOOKUP($A291,raw_ub[],COLUMN(AB$1)-COLUMN($A$1),FALSE))</f>
        <v>7.518328930723869</v>
      </c>
      <c r="AB291" s="70">
        <f>IF(VLOOKUP($A291,raw_ub[],COLUMN(AC$1)-COLUMN($A$1),FALSE)=0, VLOOKUP($D291, regions_ub[], COLUMN(AC$1)-COLUMN($A$1), FALSE), VLOOKUP($A291,raw_ub[],COLUMN(AC$1)-COLUMN($A$1),FALSE))</f>
        <v>11.79182893072387</v>
      </c>
      <c r="AC291" s="72">
        <f>IF(VLOOKUP($A291,raw_ub[],COLUMN(AD$1)-COLUMN($A$1),FALSE)=0, VLOOKUP($D291, regions_ub[], COLUMN(AD$1)-COLUMN($A$1), FALSE), VLOOKUP($A291,raw_ub[],COLUMN(AD$1)-COLUMN($A$1),FALSE))</f>
        <v>6.3066359999999775E-3</v>
      </c>
      <c r="AD291" s="72">
        <f>IF(VLOOKUP($A291,raw_ub[],COLUMN(AE$1)-COLUMN($A$1),FALSE)=0, VLOOKUP($D291, regions_ub[], COLUMN(AE$1)-COLUMN($A$1), FALSE), VLOOKUP($A291,raw_ub[],COLUMN(AE$1)-COLUMN($A$1),FALSE))</f>
        <v>2.0351801934998835E-4</v>
      </c>
      <c r="AE291" s="72">
        <f>IF(VLOOKUP($A291,raw_ub[],COLUMN(AF$1)-COLUMN($A$1),FALSE)=0, VLOOKUP($D291, regions_ub[], COLUMN(AF$1)-COLUMN($A$1), FALSE), VLOOKUP($A291,raw_ub[],COLUMN(AF$1)-COLUMN($A$1),FALSE))</f>
        <v>8.2756941308546631E-5</v>
      </c>
      <c r="AF291" s="72">
        <f>IF(VLOOKUP($A291,raw_ub[],COLUMN(AG$1)-COLUMN($A$1),FALSE)=0, VLOOKUP($D291, regions_ub[], COLUMN(AG$1)-COLUMN($A$1), FALSE), VLOOKUP($A291,raw_ub[],COLUMN(AG$1)-COLUMN($A$1),FALSE))</f>
        <v>1.494806339870646E-4</v>
      </c>
      <c r="AG291" s="72">
        <f>IF(VLOOKUP($A291,raw_ub[],COLUMN(AH$1)-COLUMN($A$1),FALSE)=0, VLOOKUP($D291, regions_ub[], COLUMN(AH$1)-COLUMN($A$1), FALSE), VLOOKUP($A291,raw_ub[],COLUMN(AH$1)-COLUMN($A$1),FALSE))</f>
        <v>2.4377676395605908E-4</v>
      </c>
      <c r="AH291" s="72">
        <f>IF(VLOOKUP($A291,raw_ub[],COLUMN(AI$1)-COLUMN($A$1),FALSE)=0, VLOOKUP($D291, regions_ub[], COLUMN(AI$1)-COLUMN($A$1), FALSE), VLOOKUP($A291,raw_ub[],COLUMN(AI$1)-COLUMN($A$1),FALSE))</f>
        <v>3.7164011729438375E-4</v>
      </c>
      <c r="AI291" s="72">
        <f>IF(VLOOKUP($A291,raw_ub[],COLUMN(AJ$1)-COLUMN($A$1),FALSE)=0, VLOOKUP($D291, regions_ub[], COLUMN(AJ$1)-COLUMN($A$1), FALSE), VLOOKUP($A291,raw_ub[],COLUMN(AJ$1)-COLUMN($A$1),FALSE))</f>
        <v>4.3995535186950246E-4</v>
      </c>
      <c r="AJ291" s="72">
        <f>IF(VLOOKUP($A291,raw_ub[],COLUMN(AK$1)-COLUMN($A$1),FALSE)=0, VLOOKUP($D291, regions_ub[], COLUMN(AK$1)-COLUMN($A$1), FALSE), VLOOKUP($A291,raw_ub[],COLUMN(AK$1)-COLUMN($A$1),FALSE))</f>
        <v>6.6440315380372717E-4</v>
      </c>
      <c r="AK291" s="72">
        <f>IF(VLOOKUP($A291,raw_ub[],COLUMN(AL$1)-COLUMN($A$1),FALSE)=0, VLOOKUP($D291, regions_ub[], COLUMN(AL$1)-COLUMN($A$1), FALSE), VLOOKUP($A291,raw_ub[],COLUMN(AL$1)-COLUMN($A$1),FALSE))</f>
        <v>9.1463025180476946E-4</v>
      </c>
      <c r="AL291" s="72">
        <f>IF(VLOOKUP($A291,raw_ub[],COLUMN(AM$1)-COLUMN($A$1),FALSE)=0, VLOOKUP($D291, regions_ub[], COLUMN(AM$1)-COLUMN($A$1), FALSE), VLOOKUP($A291,raw_ub[],COLUMN(AM$1)-COLUMN($A$1),FALSE))</f>
        <v>1.4985748180633648E-3</v>
      </c>
      <c r="AM291" s="72">
        <f>IF(VLOOKUP($A291,raw_ub[],COLUMN(AN$1)-COLUMN($A$1),FALSE)=0, VLOOKUP($D291, regions_ub[], COLUMN(AN$1)-COLUMN($A$1), FALSE), VLOOKUP($A291,raw_ub[],COLUMN(AN$1)-COLUMN($A$1),FALSE))</f>
        <v>2.7123135944377803E-3</v>
      </c>
      <c r="AN291" s="72">
        <f>IF(VLOOKUP($A291,raw_ub[],COLUMN(AO$1)-COLUMN($A$1),FALSE)=0, VLOOKUP($D291, regions_ub[], COLUMN(AO$1)-COLUMN($A$1), FALSE), VLOOKUP($A291,raw_ub[],COLUMN(AO$1)-COLUMN($A$1),FALSE))</f>
        <v>4.787711727519902E-3</v>
      </c>
      <c r="AO291" s="72">
        <f>IF(VLOOKUP($A291,raw_ub[],COLUMN(AP$1)-COLUMN($A$1),FALSE)=0, VLOOKUP($D291, regions_ub[], COLUMN(AP$1)-COLUMN($A$1), FALSE), VLOOKUP($A291,raw_ub[],COLUMN(AP$1)-COLUMN($A$1),FALSE))</f>
        <v>7.6445914553077855E-3</v>
      </c>
      <c r="AP291" s="72">
        <f>IF(VLOOKUP($A291,raw_ub[],COLUMN(AQ$1)-COLUMN($A$1),FALSE)=0, VLOOKUP($D291, regions_ub[], COLUMN(AQ$1)-COLUMN($A$1), FALSE), VLOOKUP($A291,raw_ub[],COLUMN(AQ$1)-COLUMN($A$1),FALSE))</f>
        <v>1.2393722316994753E-2</v>
      </c>
      <c r="AQ291" s="72">
        <f>IF(VLOOKUP($A291,raw_ub[],COLUMN(AR$1)-COLUMN($A$1),FALSE)=0, VLOOKUP($D291, regions_ub[], COLUMN(AR$1)-COLUMN($A$1), FALSE), VLOOKUP($A291,raw_ub[],COLUMN(AR$1)-COLUMN($A$1),FALSE))</f>
        <v>1.9622276603720144E-2</v>
      </c>
      <c r="AR291" s="72">
        <f>IF(VLOOKUP($A291,raw_ub[],COLUMN(AS$1)-COLUMN($A$1),FALSE)=0, VLOOKUP($D291, regions_ub[], COLUMN(AS$1)-COLUMN($A$1), FALSE), VLOOKUP($A291,raw_ub[],COLUMN(AS$1)-COLUMN($A$1),FALSE))</f>
        <v>3.2267249651167319E-2</v>
      </c>
      <c r="AS291" s="72">
        <f>IF(VLOOKUP($A291,raw_ub[],COLUMN(AT$1)-COLUMN($A$1),FALSE)=0, VLOOKUP($D291, regions_ub[], COLUMN(AT$1)-COLUMN($A$1), FALSE), VLOOKUP($A291,raw_ub[],COLUMN(AT$1)-COLUMN($A$1),FALSE))</f>
        <v>5.2923830130217744E-2</v>
      </c>
      <c r="AT291" s="82">
        <f>IF(VLOOKUP($A291,raw_ub[],COLUMN(AT$1),FALSE)=0, VLOOKUP($D291, regions_ub[], COLUMN(AT$1), FALSE), VLOOKUP($A291,raw_ub[],COLUMN(AT$1),FALSE))</f>
        <v>7.9646693829801274E-2</v>
      </c>
      <c r="AU291" s="82">
        <f>IF(VLOOKUP($A291,raw_ub[],COLUMN(AU$1),FALSE)=0, VLOOKUP($D291, regions_ub[], COLUMN(AU$1), FALSE), VLOOKUP($A291,raw_ub[],COLUMN(AU$1),FALSE))</f>
        <v>0.1134418847692828</v>
      </c>
      <c r="AV291" s="82">
        <f>IF(VLOOKUP($A291,raw_ub[],COLUMN(AV$1),FALSE)=0, VLOOKUP($D291, regions_ub[], COLUMN(AV$1), FALSE), VLOOKUP($A291,raw_ub[],COLUMN(AV$1),FALSE))</f>
        <v>0.14826164368020397</v>
      </c>
      <c r="AW291" s="82">
        <f>IF(VLOOKUP($A291,raw_ub[],COLUMN(AW$1),FALSE)=0, VLOOKUP($D291, regions_ub[], COLUMN(AW$1), FALSE), VLOOKUP($A291,raw_ub[],COLUMN(AW$1),FALSE))</f>
        <v>0.17661388082859331</v>
      </c>
      <c r="AX291" s="82">
        <f>IF(VLOOKUP($A291,raw_ub[],COLUMN(AX$1),FALSE)=0, VLOOKUP($D291, regions_ub[], COLUMN(AX$1), FALSE), VLOOKUP($A291,raw_ub[],COLUMN(AX$1),FALSE))</f>
        <v>81.034800000000004</v>
      </c>
      <c r="AY291" t="str">
        <f t="shared" si="10"/>
        <v>Yes</v>
      </c>
    </row>
    <row r="292" spans="1:51" x14ac:dyDescent="0.25">
      <c r="A292" s="53" t="s">
        <v>243</v>
      </c>
      <c r="B292" s="54" t="s">
        <v>244</v>
      </c>
      <c r="C292" s="54">
        <v>72</v>
      </c>
      <c r="D292" s="54" t="s">
        <v>207</v>
      </c>
      <c r="E292" s="54" t="s">
        <v>245</v>
      </c>
      <c r="F292" s="54" t="s">
        <v>211</v>
      </c>
      <c r="G292" s="54" t="s">
        <v>204</v>
      </c>
      <c r="H292" s="73"/>
      <c r="I292" s="73"/>
      <c r="J292" s="67">
        <f>IF(VLOOKUP($A292,raw_ub[],COLUMN(J$1),FALSE)=0, VLOOKUP($D292, regions_ub[], COLUMN(J$1), FALSE), VLOOKUP($A292,raw_ub[],COLUMN(J$1),FALSE))</f>
        <v>0.999</v>
      </c>
      <c r="K292" s="77">
        <f>VLOOKUP($A292, raw_ub[], 11, FALSE)</f>
        <v>0</v>
      </c>
      <c r="L292" s="77">
        <f>VLOOKUP($A292, raw_ub[], 12, FALSE)</f>
        <v>0.99749999999999994</v>
      </c>
      <c r="M292" s="77">
        <f>IF(VLOOKUP($A292,raw_ub[],COLUMN(M$1),FALSE)=0, VLOOKUP($D292, regions_ub[], COLUMN(M$1), FALSE), VLOOKUP($A292,raw_ub[],COLUMN(M$1),FALSE))</f>
        <v>1.6299999999999999E-2</v>
      </c>
      <c r="N292" s="68">
        <f>IF(VLOOKUP($A292,raw_ub[],COLUMN(N$1),FALSE)=0, VLOOKUP($D292, regions_ub[], COLUMN(N$1), FALSE), VLOOKUP($A292,raw_ub[],COLUMN(N$1),FALSE))</f>
        <v>0.3679</v>
      </c>
      <c r="O292" s="67">
        <f>IF(VLOOKUP($A292,raw_ub[],COLUMN(O$1),FALSE)=0, VLOOKUP($D292, regions_ub[], COLUMN(O$1), FALSE), VLOOKUP($A292,raw_ub[],COLUMN(O$1),FALSE))</f>
        <v>0.74399999999999999</v>
      </c>
      <c r="P292" s="68">
        <f>IF(VLOOKUP($A292,raw_ub[],COLUMN(P$1),FALSE)=0, VLOOKUP($D292, regions_ub[], COLUMN(P$1), FALSE), VLOOKUP($A292,raw_ub[],COLUMN(P$1),FALSE))</f>
        <v>0.13300000000000001</v>
      </c>
      <c r="Q292" s="70">
        <f>IF(VLOOKUP($A292,raw_ub[],COLUMN(Q$1),FALSE)=0, VLOOKUP($D292, regions_ub[], COLUMN(Q$1), FALSE), VLOOKUP($A292,raw_ub[],COLUMN(Q$1),FALSE))</f>
        <v>35.394808695652202</v>
      </c>
      <c r="R292" s="70">
        <f>IF(VLOOKUP($A292,raw_ub[],COLUMN(R$1),FALSE)=0, VLOOKUP($D292, regions_ub[], COLUMN(R$1), FALSE), VLOOKUP($A292,raw_ub[],COLUMN(R$1),FALSE))</f>
        <v>144.3806086956522</v>
      </c>
      <c r="S292" s="70">
        <f>IF(VLOOKUP($A292,raw_ub[],COLUMN(S$1),FALSE)=0, VLOOKUP($D292, regions_ub[], COLUMN(S$1), FALSE), VLOOKUP($A292,raw_ub[],COLUMN(S$1),FALSE))</f>
        <v>258.37795671969855</v>
      </c>
      <c r="T292" s="70">
        <f>IF(VLOOKUP($A292,raw_ub[],COLUMN(U$1)-COLUMN($A$1),FALSE)=0, VLOOKUP($D292, regions_ub[], COLUMN(U$1)-COLUMN($A$1), FALSE), VLOOKUP($A292,raw_ub[],COLUMN(U$1)-COLUMN($A$1),FALSE))</f>
        <v>302.50160330062181</v>
      </c>
      <c r="U292" s="70">
        <f>IF(VLOOKUP($A292,raw_ub[],COLUMN(V$1)-COLUMN($A$1),FALSE)=0, VLOOKUP($D292, regions_ub[], COLUMN(V$1)-COLUMN($A$1), FALSE), VLOOKUP($A292,raw_ub[],COLUMN(V$1)-COLUMN($A$1),FALSE))</f>
        <v>282.24095744573481</v>
      </c>
      <c r="V292" s="70">
        <f>IF(VLOOKUP($A292,raw_ub[],COLUMN(W$1)-COLUMN($A$1),FALSE)=0, VLOOKUP($D292, regions_ub[], COLUMN(W$1)-COLUMN($A$1), FALSE), VLOOKUP($A292,raw_ub[],COLUMN(W$1)-COLUMN($A$1),FALSE))</f>
        <v>14.354227839478382</v>
      </c>
      <c r="W292" s="70">
        <f>IF(VLOOKUP($A292,raw_ub[],COLUMN(X$1)-COLUMN($A$1),FALSE)=0, VLOOKUP($D292, regions_ub[], COLUMN(X$1)-COLUMN($A$1), FALSE), VLOOKUP($A292,raw_ub[],COLUMN(X$1)-COLUMN($A$1),FALSE))</f>
        <v>19.425727839478384</v>
      </c>
      <c r="X292" s="70">
        <f>IF(VLOOKUP($A292,raw_ub[],COLUMN(Y$1)-COLUMN($A$1),FALSE)=0, VLOOKUP($D292, regions_ub[], COLUMN(Y$1)-COLUMN($A$1), FALSE), VLOOKUP($A292,raw_ub[],COLUMN(Y$1)-COLUMN($A$1),FALSE))</f>
        <v>14.318178463160486</v>
      </c>
      <c r="Y292" s="70">
        <f>IF(VLOOKUP($A292,raw_ub[],COLUMN(Z$1)-COLUMN($A$1),FALSE)=0, VLOOKUP($D292, regions_ub[], COLUMN(Z$1)-COLUMN($A$1), FALSE), VLOOKUP($A292,raw_ub[],COLUMN(Z$1)-COLUMN($A$1),FALSE))</f>
        <v>19.389678463160486</v>
      </c>
      <c r="Z292" s="70">
        <f>IF(VLOOKUP($A292,raw_ub[],COLUMN(AA$1)-COLUMN($A$1),FALSE)=0, VLOOKUP($D292, regions_ub[], COLUMN(AA$1)-COLUMN($A$1), FALSE), VLOOKUP($A292,raw_ub[],COLUMN(AA$1)-COLUMN($A$1),FALSE))</f>
        <v>19.371008672565026</v>
      </c>
      <c r="AA292" s="70">
        <f>IF(VLOOKUP($A292,raw_ub[],COLUMN(AB$1)-COLUMN($A$1),FALSE)=0, VLOOKUP($D292, regions_ub[], COLUMN(AB$1)-COLUMN($A$1), FALSE), VLOOKUP($A292,raw_ub[],COLUMN(AB$1)-COLUMN($A$1),FALSE))</f>
        <v>14.362546926320974</v>
      </c>
      <c r="AB292" s="70">
        <f>IF(VLOOKUP($A292,raw_ub[],COLUMN(AC$1)-COLUMN($A$1),FALSE)=0, VLOOKUP($D292, regions_ub[], COLUMN(AC$1)-COLUMN($A$1), FALSE), VLOOKUP($A292,raw_ub[],COLUMN(AC$1)-COLUMN($A$1),FALSE))</f>
        <v>19.434046926320974</v>
      </c>
      <c r="AC292" s="72">
        <f>IF(VLOOKUP($A292,raw_ub[],COLUMN(AD$1)-COLUMN($A$1),FALSE)=0, VLOOKUP($D292, regions_ub[], COLUMN(AD$1)-COLUMN($A$1), FALSE), VLOOKUP($A292,raw_ub[],COLUMN(AD$1)-COLUMN($A$1),FALSE))</f>
        <v>3.1668776999999933E-2</v>
      </c>
      <c r="AD292" s="72">
        <f>IF(VLOOKUP($A292,raw_ub[],COLUMN(AE$1)-COLUMN($A$1),FALSE)=0, VLOOKUP($D292, regions_ub[], COLUMN(AE$1)-COLUMN($A$1), FALSE), VLOOKUP($A292,raw_ub[],COLUMN(AE$1)-COLUMN($A$1),FALSE))</f>
        <v>2.1163875650899279E-3</v>
      </c>
      <c r="AE292" s="72">
        <f>IF(VLOOKUP($A292,raw_ub[],COLUMN(AF$1)-COLUMN($A$1),FALSE)=0, VLOOKUP($D292, regions_ub[], COLUMN(AF$1)-COLUMN($A$1), FALSE), VLOOKUP($A292,raw_ub[],COLUMN(AF$1)-COLUMN($A$1),FALSE))</f>
        <v>5.480864223197145E-4</v>
      </c>
      <c r="AF292" s="72">
        <f>IF(VLOOKUP($A292,raw_ub[],COLUMN(AG$1)-COLUMN($A$1),FALSE)=0, VLOOKUP($D292, regions_ub[], COLUMN(AG$1)-COLUMN($A$1), FALSE), VLOOKUP($A292,raw_ub[],COLUMN(AG$1)-COLUMN($A$1),FALSE))</f>
        <v>4.6032565878809301E-4</v>
      </c>
      <c r="AG292" s="72">
        <f>IF(VLOOKUP($A292,raw_ub[],COLUMN(AH$1)-COLUMN($A$1),FALSE)=0, VLOOKUP($D292, regions_ub[], COLUMN(AH$1)-COLUMN($A$1), FALSE), VLOOKUP($A292,raw_ub[],COLUMN(AH$1)-COLUMN($A$1),FALSE))</f>
        <v>8.2431399630368194E-4</v>
      </c>
      <c r="AH292" s="72">
        <f>IF(VLOOKUP($A292,raw_ub[],COLUMN(AI$1)-COLUMN($A$1),FALSE)=0, VLOOKUP($D292, regions_ub[], COLUMN(AI$1)-COLUMN($A$1), FALSE), VLOOKUP($A292,raw_ub[],COLUMN(AI$1)-COLUMN($A$1),FALSE))</f>
        <v>1.4521115504894998E-3</v>
      </c>
      <c r="AI292" s="72">
        <f>IF(VLOOKUP($A292,raw_ub[],COLUMN(AJ$1)-COLUMN($A$1),FALSE)=0, VLOOKUP($D292, regions_ub[], COLUMN(AJ$1)-COLUMN($A$1), FALSE), VLOOKUP($A292,raw_ub[],COLUMN(AJ$1)-COLUMN($A$1),FALSE))</f>
        <v>2.3123795824377328E-3</v>
      </c>
      <c r="AJ292" s="72">
        <f>IF(VLOOKUP($A292,raw_ub[],COLUMN(AK$1)-COLUMN($A$1),FALSE)=0, VLOOKUP($D292, regions_ub[], COLUMN(AK$1)-COLUMN($A$1), FALSE), VLOOKUP($A292,raw_ub[],COLUMN(AK$1)-COLUMN($A$1),FALSE))</f>
        <v>3.2950728134911846E-3</v>
      </c>
      <c r="AK292" s="72">
        <f>IF(VLOOKUP($A292,raw_ub[],COLUMN(AL$1)-COLUMN($A$1),FALSE)=0, VLOOKUP($D292, regions_ub[], COLUMN(AL$1)-COLUMN($A$1), FALSE), VLOOKUP($A292,raw_ub[],COLUMN(AL$1)-COLUMN($A$1),FALSE))</f>
        <v>4.7428497106126585E-3</v>
      </c>
      <c r="AL292" s="72">
        <f>IF(VLOOKUP($A292,raw_ub[],COLUMN(AM$1)-COLUMN($A$1),FALSE)=0, VLOOKUP($D292, regions_ub[], COLUMN(AM$1)-COLUMN($A$1), FALSE), VLOOKUP($A292,raw_ub[],COLUMN(AM$1)-COLUMN($A$1),FALSE))</f>
        <v>5.9081482453454664E-3</v>
      </c>
      <c r="AM292" s="72">
        <f>IF(VLOOKUP($A292,raw_ub[],COLUMN(AN$1)-COLUMN($A$1),FALSE)=0, VLOOKUP($D292, regions_ub[], COLUMN(AN$1)-COLUMN($A$1), FALSE), VLOOKUP($A292,raw_ub[],COLUMN(AN$1)-COLUMN($A$1),FALSE))</f>
        <v>7.3598955269727692E-3</v>
      </c>
      <c r="AN292" s="72">
        <f>IF(VLOOKUP($A292,raw_ub[],COLUMN(AO$1)-COLUMN($A$1),FALSE)=0, VLOOKUP($D292, regions_ub[], COLUMN(AO$1)-COLUMN($A$1), FALSE), VLOOKUP($A292,raw_ub[],COLUMN(AO$1)-COLUMN($A$1),FALSE))</f>
        <v>9.410767981867546E-3</v>
      </c>
      <c r="AO292" s="72">
        <f>IF(VLOOKUP($A292,raw_ub[],COLUMN(AP$1)-COLUMN($A$1),FALSE)=0, VLOOKUP($D292, regions_ub[], COLUMN(AP$1)-COLUMN($A$1), FALSE), VLOOKUP($A292,raw_ub[],COLUMN(AP$1)-COLUMN($A$1),FALSE))</f>
        <v>1.175714992626482E-2</v>
      </c>
      <c r="AP292" s="72">
        <f>IF(VLOOKUP($A292,raw_ub[],COLUMN(AQ$1)-COLUMN($A$1),FALSE)=0, VLOOKUP($D292, regions_ub[], COLUMN(AQ$1)-COLUMN($A$1), FALSE), VLOOKUP($A292,raw_ub[],COLUMN(AQ$1)-COLUMN($A$1),FALSE))</f>
        <v>1.6431516288776406E-2</v>
      </c>
      <c r="AQ292" s="72">
        <f>IF(VLOOKUP($A292,raw_ub[],COLUMN(AR$1)-COLUMN($A$1),FALSE)=0, VLOOKUP($D292, regions_ub[], COLUMN(AR$1)-COLUMN($A$1), FALSE), VLOOKUP($A292,raw_ub[],COLUMN(AR$1)-COLUMN($A$1),FALSE))</f>
        <v>2.4670423154195223E-2</v>
      </c>
      <c r="AR292" s="72">
        <f>IF(VLOOKUP($A292,raw_ub[],COLUMN(AS$1)-COLUMN($A$1),FALSE)=0, VLOOKUP($D292, regions_ub[], COLUMN(AS$1)-COLUMN($A$1), FALSE), VLOOKUP($A292,raw_ub[],COLUMN(AS$1)-COLUMN($A$1),FALSE))</f>
        <v>3.7785146279498964E-2</v>
      </c>
      <c r="AS292" s="72">
        <f>IF(VLOOKUP($A292,raw_ub[],COLUMN(AT$1)-COLUMN($A$1),FALSE)=0, VLOOKUP($D292, regions_ub[], COLUMN(AT$1)-COLUMN($A$1), FALSE), VLOOKUP($A292,raw_ub[],COLUMN(AT$1)-COLUMN($A$1),FALSE))</f>
        <v>5.7724378869112074E-2</v>
      </c>
      <c r="AT292" s="82">
        <f>IF(VLOOKUP($A292,raw_ub[],COLUMN(AT$1),FALSE)=0, VLOOKUP($D292, regions_ub[], COLUMN(AT$1), FALSE), VLOOKUP($A292,raw_ub[],COLUMN(AT$1),FALSE))</f>
        <v>8.9846936039031933E-2</v>
      </c>
      <c r="AU292" s="82">
        <f>IF(VLOOKUP($A292,raw_ub[],COLUMN(AU$1),FALSE)=0, VLOOKUP($D292, regions_ub[], COLUMN(AU$1), FALSE), VLOOKUP($A292,raw_ub[],COLUMN(AU$1),FALSE))</f>
        <v>0.13209441830921578</v>
      </c>
      <c r="AV292" s="82">
        <f>IF(VLOOKUP($A292,raw_ub[],COLUMN(AV$1),FALSE)=0, VLOOKUP($D292, regions_ub[], COLUMN(AV$1), FALSE), VLOOKUP($A292,raw_ub[],COLUMN(AV$1),FALSE))</f>
        <v>0.17220229623260264</v>
      </c>
      <c r="AW292" s="82">
        <f>IF(VLOOKUP($A292,raw_ub[],COLUMN(AW$1),FALSE)=0, VLOOKUP($D292, regions_ub[], COLUMN(AW$1), FALSE), VLOOKUP($A292,raw_ub[],COLUMN(AW$1),FALSE))</f>
        <v>0.1915413169661577</v>
      </c>
      <c r="AX292" s="82">
        <f>IF(VLOOKUP($A292,raw_ub[],COLUMN(AX$1),FALSE)=0, VLOOKUP($D292, regions_ub[], COLUMN(AX$1), FALSE), VLOOKUP($A292,raw_ub[],COLUMN(AX$1),FALSE))</f>
        <v>72.549750000000003</v>
      </c>
      <c r="AY292" t="str">
        <f t="shared" si="10"/>
        <v>Yes</v>
      </c>
    </row>
    <row r="293" spans="1:51" x14ac:dyDescent="0.25">
      <c r="A293" s="55" t="s">
        <v>246</v>
      </c>
      <c r="B293" s="56" t="s">
        <v>247</v>
      </c>
      <c r="C293" s="56">
        <v>76</v>
      </c>
      <c r="D293" s="56" t="s">
        <v>215</v>
      </c>
      <c r="E293" s="56" t="s">
        <v>248</v>
      </c>
      <c r="F293" s="56" t="s">
        <v>217</v>
      </c>
      <c r="G293" s="56" t="s">
        <v>204</v>
      </c>
      <c r="H293" s="74"/>
      <c r="I293" s="74"/>
      <c r="J293" s="67">
        <f>IF(VLOOKUP($A293,raw_ub[],COLUMN(J$1),FALSE)=0, VLOOKUP($D293, regions_ub[], COLUMN(J$1), FALSE), VLOOKUP($A293,raw_ub[],COLUMN(J$1),FALSE))</f>
        <v>0.999</v>
      </c>
      <c r="K293" s="77">
        <f>VLOOKUP($A293, raw_ub[], 11, FALSE)</f>
        <v>0.66150000000000009</v>
      </c>
      <c r="L293" s="77">
        <f>VLOOKUP($A293, raw_ub[], 12, FALSE)</f>
        <v>0.80850000000000011</v>
      </c>
      <c r="M293" s="77">
        <f>IF(VLOOKUP($A293,raw_ub[],COLUMN(M$1),FALSE)=0, VLOOKUP($D293, regions_ub[], COLUMN(M$1), FALSE), VLOOKUP($A293,raw_ub[],COLUMN(M$1),FALSE))</f>
        <v>6.5000000000000006E-3</v>
      </c>
      <c r="N293" s="68">
        <f>IF(VLOOKUP($A293,raw_ub[],COLUMN(N$1),FALSE)=0, VLOOKUP($D293, regions_ub[], COLUMN(N$1), FALSE), VLOOKUP($A293,raw_ub[],COLUMN(N$1),FALSE))</f>
        <v>0.433</v>
      </c>
      <c r="O293" s="67">
        <f>IF(VLOOKUP($A293,raw_ub[],COLUMN(O$1),FALSE)=0, VLOOKUP($D293, regions_ub[], COLUMN(O$1), FALSE), VLOOKUP($A293,raw_ub[],COLUMN(O$1),FALSE))</f>
        <v>0.9</v>
      </c>
      <c r="P293" s="68">
        <f>IF(VLOOKUP($A293,raw_ub[],COLUMN(P$1),FALSE)=0, VLOOKUP($D293, regions_ub[], COLUMN(P$1), FALSE), VLOOKUP($A293,raw_ub[],COLUMN(P$1),FALSE))</f>
        <v>0.3</v>
      </c>
      <c r="Q293" s="70">
        <f>IF(VLOOKUP($A293,raw_ub[],COLUMN(Q$1),FALSE)=0, VLOOKUP($D293, regions_ub[], COLUMN(Q$1), FALSE), VLOOKUP($A293,raw_ub[],COLUMN(Q$1),FALSE))</f>
        <v>12.35942575869726</v>
      </c>
      <c r="R293" s="70">
        <f>IF(VLOOKUP($A293,raw_ub[],COLUMN(R$1),FALSE)=0, VLOOKUP($D293, regions_ub[], COLUMN(R$1), FALSE), VLOOKUP($A293,raw_ub[],COLUMN(R$1),FALSE))</f>
        <v>121.34522575869727</v>
      </c>
      <c r="S293" s="70">
        <f>IF(VLOOKUP($A293,raw_ub[],COLUMN(S$1),FALSE)=0, VLOOKUP($D293, regions_ub[], COLUMN(S$1), FALSE), VLOOKUP($A293,raw_ub[],COLUMN(S$1),FALSE))</f>
        <v>168.79327280226792</v>
      </c>
      <c r="T293" s="70">
        <f>IF(VLOOKUP($A293,raw_ub[],COLUMN(U$1)-COLUMN($A$1),FALSE)=0, VLOOKUP($D293, regions_ub[], COLUMN(U$1)-COLUMN($A$1), FALSE), VLOOKUP($A293,raw_ub[],COLUMN(U$1)-COLUMN($A$1),FALSE))</f>
        <v>178.28033419728618</v>
      </c>
      <c r="U293" s="70">
        <f>IF(VLOOKUP($A293,raw_ub[],COLUMN(V$1)-COLUMN($A$1),FALSE)=0, VLOOKUP($D293, regions_ub[], COLUMN(V$1)-COLUMN($A$1), FALSE), VLOOKUP($A293,raw_ub[],COLUMN(V$1)-COLUMN($A$1),FALSE))</f>
        <v>173.924076135625</v>
      </c>
      <c r="V293" s="70">
        <f>IF(VLOOKUP($A293,raw_ub[],COLUMN(W$1)-COLUMN($A$1),FALSE)=0, VLOOKUP($D293, regions_ub[], COLUMN(W$1)-COLUMN($A$1), FALSE), VLOOKUP($A293,raw_ub[],COLUMN(W$1)-COLUMN($A$1),FALSE))</f>
        <v>5.6316265346046137</v>
      </c>
      <c r="W293" s="70">
        <f>IF(VLOOKUP($A293,raw_ub[],COLUMN(X$1)-COLUMN($A$1),FALSE)=0, VLOOKUP($D293, regions_ub[], COLUMN(X$1)-COLUMN($A$1), FALSE), VLOOKUP($A293,raw_ub[],COLUMN(X$1)-COLUMN($A$1),FALSE))</f>
        <v>5.6526265346046136</v>
      </c>
      <c r="X293" s="70">
        <f>IF(VLOOKUP($A293,raw_ub[],COLUMN(Y$1)-COLUMN($A$1),FALSE)=0, VLOOKUP($D293, regions_ub[], COLUMN(Y$1)-COLUMN($A$1), FALSE), VLOOKUP($A293,raw_ub[],COLUMN(Y$1)-COLUMN($A$1),FALSE))</f>
        <v>5.5926271915059935</v>
      </c>
      <c r="Y293" s="70">
        <f>IF(VLOOKUP($A293,raw_ub[],COLUMN(Z$1)-COLUMN($A$1),FALSE)=0, VLOOKUP($D293, regions_ub[], COLUMN(Z$1)-COLUMN($A$1), FALSE), VLOOKUP($A293,raw_ub[],COLUMN(Z$1)-COLUMN($A$1),FALSE))</f>
        <v>5.6136271915059934</v>
      </c>
      <c r="Z293" s="70">
        <f>IF(VLOOKUP($A293,raw_ub[],COLUMN(AA$1)-COLUMN($A$1),FALSE)=0, VLOOKUP($D293, regions_ub[], COLUMN(AA$1)-COLUMN($A$1), FALSE), VLOOKUP($A293,raw_ub[],COLUMN(AA$1)-COLUMN($A$1),FALSE))</f>
        <v>5.5928992898301306</v>
      </c>
      <c r="AA293" s="70">
        <f>IF(VLOOKUP($A293,raw_ub[],COLUMN(AB$1)-COLUMN($A$1),FALSE)=0, VLOOKUP($D293, regions_ub[], COLUMN(AB$1)-COLUMN($A$1), FALSE), VLOOKUP($A293,raw_ub[],COLUMN(AB$1)-COLUMN($A$1),FALSE))</f>
        <v>5.6406263830119876</v>
      </c>
      <c r="AB293" s="70">
        <f>IF(VLOOKUP($A293,raw_ub[],COLUMN(AC$1)-COLUMN($A$1),FALSE)=0, VLOOKUP($D293, regions_ub[], COLUMN(AC$1)-COLUMN($A$1), FALSE), VLOOKUP($A293,raw_ub[],COLUMN(AC$1)-COLUMN($A$1),FALSE))</f>
        <v>5.6616263830119875</v>
      </c>
      <c r="AC293" s="72">
        <f>IF(VLOOKUP($A293,raw_ub[],COLUMN(AD$1)-COLUMN($A$1),FALSE)=0, VLOOKUP($D293, regions_ub[], COLUMN(AD$1)-COLUMN($A$1), FALSE), VLOOKUP($A293,raw_ub[],COLUMN(AD$1)-COLUMN($A$1),FALSE))</f>
        <v>1.3667944500000029E-2</v>
      </c>
      <c r="AD293" s="72">
        <f>IF(VLOOKUP($A293,raw_ub[],COLUMN(AE$1)-COLUMN($A$1),FALSE)=0, VLOOKUP($D293, regions_ub[], COLUMN(AE$1)-COLUMN($A$1), FALSE), VLOOKUP($A293,raw_ub[],COLUMN(AE$1)-COLUMN($A$1),FALSE))</f>
        <v>5.9374698291380528E-4</v>
      </c>
      <c r="AE293" s="72">
        <f>IF(VLOOKUP($A293,raw_ub[],COLUMN(AF$1)-COLUMN($A$1),FALSE)=0, VLOOKUP($D293, regions_ub[], COLUMN(AF$1)-COLUMN($A$1), FALSE), VLOOKUP($A293,raw_ub[],COLUMN(AF$1)-COLUMN($A$1),FALSE))</f>
        <v>2.3735800032021091E-4</v>
      </c>
      <c r="AF293" s="72">
        <f>IF(VLOOKUP($A293,raw_ub[],COLUMN(AG$1)-COLUMN($A$1),FALSE)=0, VLOOKUP($D293, regions_ub[], COLUMN(AG$1)-COLUMN($A$1), FALSE), VLOOKUP($A293,raw_ub[],COLUMN(AG$1)-COLUMN($A$1),FALSE))</f>
        <v>3.2610888268157998E-4</v>
      </c>
      <c r="AG293" s="72">
        <f>IF(VLOOKUP($A293,raw_ub[],COLUMN(AH$1)-COLUMN($A$1),FALSE)=0, VLOOKUP($D293, regions_ub[], COLUMN(AH$1)-COLUMN($A$1), FALSE), VLOOKUP($A293,raw_ub[],COLUMN(AH$1)-COLUMN($A$1),FALSE))</f>
        <v>1.1375936296662927E-3</v>
      </c>
      <c r="AH293" s="72">
        <f>IF(VLOOKUP($A293,raw_ub[],COLUMN(AI$1)-COLUMN($A$1),FALSE)=0, VLOOKUP($D293, regions_ub[], COLUMN(AI$1)-COLUMN($A$1), FALSE), VLOOKUP($A293,raw_ub[],COLUMN(AI$1)-COLUMN($A$1),FALSE))</f>
        <v>1.7288053386884028E-3</v>
      </c>
      <c r="AI293" s="72">
        <f>IF(VLOOKUP($A293,raw_ub[],COLUMN(AJ$1)-COLUMN($A$1),FALSE)=0, VLOOKUP($D293, regions_ub[], COLUMN(AJ$1)-COLUMN($A$1), FALSE), VLOOKUP($A293,raw_ub[],COLUMN(AJ$1)-COLUMN($A$1),FALSE))</f>
        <v>1.6526198133591807E-3</v>
      </c>
      <c r="AJ293" s="72">
        <f>IF(VLOOKUP($A293,raw_ub[],COLUMN(AK$1)-COLUMN($A$1),FALSE)=0, VLOOKUP($D293, regions_ub[], COLUMN(AK$1)-COLUMN($A$1), FALSE), VLOOKUP($A293,raw_ub[],COLUMN(AK$1)-COLUMN($A$1),FALSE))</f>
        <v>1.9060456586737252E-3</v>
      </c>
      <c r="AK293" s="72">
        <f>IF(VLOOKUP($A293,raw_ub[],COLUMN(AL$1)-COLUMN($A$1),FALSE)=0, VLOOKUP($D293, regions_ub[], COLUMN(AL$1)-COLUMN($A$1), FALSE), VLOOKUP($A293,raw_ub[],COLUMN(AL$1)-COLUMN($A$1),FALSE))</f>
        <v>2.4075288820521639E-3</v>
      </c>
      <c r="AL293" s="72">
        <f>IF(VLOOKUP($A293,raw_ub[],COLUMN(AM$1)-COLUMN($A$1),FALSE)=0, VLOOKUP($D293, regions_ub[], COLUMN(AM$1)-COLUMN($A$1), FALSE), VLOOKUP($A293,raw_ub[],COLUMN(AM$1)-COLUMN($A$1),FALSE))</f>
        <v>3.096660019454633E-3</v>
      </c>
      <c r="AM293" s="72">
        <f>IF(VLOOKUP($A293,raw_ub[],COLUMN(AN$1)-COLUMN($A$1),FALSE)=0, VLOOKUP($D293, regions_ub[], COLUMN(AN$1)-COLUMN($A$1), FALSE), VLOOKUP($A293,raw_ub[],COLUMN(AN$1)-COLUMN($A$1),FALSE))</f>
        <v>4.4668250245502193E-3</v>
      </c>
      <c r="AN293" s="72">
        <f>IF(VLOOKUP($A293,raw_ub[],COLUMN(AO$1)-COLUMN($A$1),FALSE)=0, VLOOKUP($D293, regions_ub[], COLUMN(AO$1)-COLUMN($A$1), FALSE), VLOOKUP($A293,raw_ub[],COLUMN(AO$1)-COLUMN($A$1),FALSE))</f>
        <v>6.3682316014096749E-3</v>
      </c>
      <c r="AO293" s="72">
        <f>IF(VLOOKUP($A293,raw_ub[],COLUMN(AP$1)-COLUMN($A$1),FALSE)=0, VLOOKUP($D293, regions_ub[], COLUMN(AP$1)-COLUMN($A$1), FALSE), VLOOKUP($A293,raw_ub[],COLUMN(AP$1)-COLUMN($A$1),FALSE))</f>
        <v>9.0009903017898626E-3</v>
      </c>
      <c r="AP293" s="72">
        <f>IF(VLOOKUP($A293,raw_ub[],COLUMN(AQ$1)-COLUMN($A$1),FALSE)=0, VLOOKUP($D293, regions_ub[], COLUMN(AQ$1)-COLUMN($A$1), FALSE), VLOOKUP($A293,raw_ub[],COLUMN(AQ$1)-COLUMN($A$1),FALSE))</f>
        <v>1.339743036590146E-2</v>
      </c>
      <c r="AQ293" s="72">
        <f>IF(VLOOKUP($A293,raw_ub[],COLUMN(AR$1)-COLUMN($A$1),FALSE)=0, VLOOKUP($D293, regions_ub[], COLUMN(AR$1)-COLUMN($A$1), FALSE), VLOOKUP($A293,raw_ub[],COLUMN(AR$1)-COLUMN($A$1),FALSE))</f>
        <v>1.9841491315275833E-2</v>
      </c>
      <c r="AR293" s="72">
        <f>IF(VLOOKUP($A293,raw_ub[],COLUMN(AS$1)-COLUMN($A$1),FALSE)=0, VLOOKUP($D293, regions_ub[], COLUMN(AS$1)-COLUMN($A$1), FALSE), VLOOKUP($A293,raw_ub[],COLUMN(AS$1)-COLUMN($A$1),FALSE))</f>
        <v>2.8204717282977843E-2</v>
      </c>
      <c r="AS293" s="72">
        <f>IF(VLOOKUP($A293,raw_ub[],COLUMN(AT$1)-COLUMN($A$1),FALSE)=0, VLOOKUP($D293, regions_ub[], COLUMN(AT$1)-COLUMN($A$1), FALSE), VLOOKUP($A293,raw_ub[],COLUMN(AT$1)-COLUMN($A$1),FALSE))</f>
        <v>4.2198648789536101E-2</v>
      </c>
      <c r="AT293" s="82">
        <f>IF(VLOOKUP($A293,raw_ub[],COLUMN(AT$1),FALSE)=0, VLOOKUP($D293, regions_ub[], COLUMN(AT$1), FALSE), VLOOKUP($A293,raw_ub[],COLUMN(AT$1),FALSE))</f>
        <v>6.1188720581459098E-2</v>
      </c>
      <c r="AU293" s="82">
        <f>IF(VLOOKUP($A293,raw_ub[],COLUMN(AU$1),FALSE)=0, VLOOKUP($D293, regions_ub[], COLUMN(AU$1), FALSE), VLOOKUP($A293,raw_ub[],COLUMN(AU$1),FALSE))</f>
        <v>8.4980171569558463E-2</v>
      </c>
      <c r="AV293" s="82">
        <f>IF(VLOOKUP($A293,raw_ub[],COLUMN(AV$1),FALSE)=0, VLOOKUP($D293, regions_ub[], COLUMN(AV$1), FALSE), VLOOKUP($A293,raw_ub[],COLUMN(AV$1),FALSE))</f>
        <v>0.11160538230564715</v>
      </c>
      <c r="AW293" s="82">
        <f>IF(VLOOKUP($A293,raw_ub[],COLUMN(AW$1),FALSE)=0, VLOOKUP($D293, regions_ub[], COLUMN(AW$1), FALSE), VLOOKUP($A293,raw_ub[],COLUMN(AW$1),FALSE))</f>
        <v>0.14449637120275161</v>
      </c>
      <c r="AX293" s="82">
        <f>IF(VLOOKUP($A293,raw_ub[],COLUMN(AX$1),FALSE)=0, VLOOKUP($D293, regions_ub[], COLUMN(AX$1), FALSE), VLOOKUP($A293,raw_ub[],COLUMN(AX$1),FALSE))</f>
        <v>79.339050000000015</v>
      </c>
      <c r="AY293" t="str">
        <f t="shared" si="10"/>
        <v>No</v>
      </c>
    </row>
    <row r="294" spans="1:51" x14ac:dyDescent="0.25">
      <c r="A294" s="53" t="s">
        <v>249</v>
      </c>
      <c r="B294" s="54" t="s">
        <v>250</v>
      </c>
      <c r="C294" s="54">
        <v>100</v>
      </c>
      <c r="D294" s="54" t="s">
        <v>201</v>
      </c>
      <c r="E294" s="54" t="s">
        <v>202</v>
      </c>
      <c r="F294" s="54" t="s">
        <v>203</v>
      </c>
      <c r="G294" s="54" t="s">
        <v>204</v>
      </c>
      <c r="H294" s="73"/>
      <c r="I294" s="73"/>
      <c r="J294" s="67">
        <f>IF(VLOOKUP($A294,raw_ub[],COLUMN(J$1),FALSE)=0, VLOOKUP($D294, regions_ub[], COLUMN(J$1), FALSE), VLOOKUP($A294,raw_ub[],COLUMN(J$1),FALSE))</f>
        <v>0.999</v>
      </c>
      <c r="K294" s="77">
        <f>VLOOKUP($A294, raw_ub[], 11, FALSE)</f>
        <v>0.999</v>
      </c>
      <c r="L294" s="77">
        <f>VLOOKUP($A294, raw_ub[], 12, FALSE)</f>
        <v>0.95550000000000013</v>
      </c>
      <c r="M294" s="77">
        <f>IF(VLOOKUP($A294,raw_ub[],COLUMN(M$1),FALSE)=0, VLOOKUP($D294, regions_ub[], COLUMN(M$1), FALSE), VLOOKUP($A294,raw_ub[],COLUMN(M$1),FALSE))</f>
        <v>2.5099999999999997E-2</v>
      </c>
      <c r="N294" s="68">
        <f>IF(VLOOKUP($A294,raw_ub[],COLUMN(N$1),FALSE)=0, VLOOKUP($D294, regions_ub[], COLUMN(N$1), FALSE), VLOOKUP($A294,raw_ub[],COLUMN(N$1),FALSE))</f>
        <v>0.42849999999999999</v>
      </c>
      <c r="O294" s="67">
        <f>IF(VLOOKUP($A294,raw_ub[],COLUMN(O$1),FALSE)=0, VLOOKUP($D294, regions_ub[], COLUMN(O$1), FALSE), VLOOKUP($A294,raw_ub[],COLUMN(O$1),FALSE))</f>
        <v>0.9</v>
      </c>
      <c r="P294" s="68">
        <f>IF(VLOOKUP($A294,raw_ub[],COLUMN(P$1),FALSE)=0, VLOOKUP($D294, regions_ub[], COLUMN(P$1), FALSE), VLOOKUP($A294,raw_ub[],COLUMN(P$1),FALSE))</f>
        <v>0.3</v>
      </c>
      <c r="Q294" s="70">
        <f>IF(VLOOKUP($A294,raw_ub[],COLUMN(Q$1),FALSE)=0, VLOOKUP($D294, regions_ub[], COLUMN(Q$1), FALSE), VLOOKUP($A294,raw_ub[],COLUMN(Q$1),FALSE))</f>
        <v>30.155888326113502</v>
      </c>
      <c r="R294" s="70">
        <f>IF(VLOOKUP($A294,raw_ub[],COLUMN(R$1),FALSE)=0, VLOOKUP($D294, regions_ub[], COLUMN(R$1), FALSE), VLOOKUP($A294,raw_ub[],COLUMN(R$1),FALSE))</f>
        <v>139.14168832611352</v>
      </c>
      <c r="S294" s="70">
        <f>IF(VLOOKUP($A294,raw_ub[],COLUMN(S$1),FALSE)=0, VLOOKUP($D294, regions_ub[], COLUMN(S$1), FALSE), VLOOKUP($A294,raw_ub[],COLUMN(S$1),FALSE))</f>
        <v>236.63241737140149</v>
      </c>
      <c r="T294" s="70">
        <f>IF(VLOOKUP($A294,raw_ub[],COLUMN(U$1)-COLUMN($A$1),FALSE)=0, VLOOKUP($D294, regions_ub[], COLUMN(U$1)-COLUMN($A$1), FALSE), VLOOKUP($A294,raw_ub[],COLUMN(U$1)-COLUMN($A$1),FALSE))</f>
        <v>272.16494569915517</v>
      </c>
      <c r="U294" s="70">
        <f>IF(VLOOKUP($A294,raw_ub[],COLUMN(V$1)-COLUMN($A$1),FALSE)=0, VLOOKUP($D294, regions_ub[], COLUMN(V$1)-COLUMN($A$1), FALSE), VLOOKUP($A294,raw_ub[],COLUMN(V$1)-COLUMN($A$1),FALSE))</f>
        <v>255.8491597530178</v>
      </c>
      <c r="V294" s="70">
        <f>IF(VLOOKUP($A294,raw_ub[],COLUMN(W$1)-COLUMN($A$1),FALSE)=0, VLOOKUP($D294, regions_ub[], COLUMN(W$1)-COLUMN($A$1), FALSE), VLOOKUP($A294,raw_ub[],COLUMN(W$1)-COLUMN($A$1),FALSE))</f>
        <v>11.020030571483529</v>
      </c>
      <c r="W294" s="70">
        <f>IF(VLOOKUP($A294,raw_ub[],COLUMN(X$1)-COLUMN($A$1),FALSE)=0, VLOOKUP($D294, regions_ub[], COLUMN(X$1)-COLUMN($A$1), FALSE), VLOOKUP($A294,raw_ub[],COLUMN(X$1)-COLUMN($A$1),FALSE))</f>
        <v>15.293530571483529</v>
      </c>
      <c r="X294" s="70">
        <f>IF(VLOOKUP($A294,raw_ub[],COLUMN(Y$1)-COLUMN($A$1),FALSE)=0, VLOOKUP($D294, regions_ub[], COLUMN(Y$1)-COLUMN($A$1), FALSE), VLOOKUP($A294,raw_ub[],COLUMN(Y$1)-COLUMN($A$1),FALSE))</f>
        <v>10.958664039439189</v>
      </c>
      <c r="Y294" s="70">
        <f>IF(VLOOKUP($A294,raw_ub[],COLUMN(Z$1)-COLUMN($A$1),FALSE)=0, VLOOKUP($D294, regions_ub[], COLUMN(Z$1)-COLUMN($A$1), FALSE), VLOOKUP($A294,raw_ub[],COLUMN(Z$1)-COLUMN($A$1),FALSE))</f>
        <v>15.232164039439189</v>
      </c>
      <c r="Z294" s="70">
        <f>IF(VLOOKUP($A294,raw_ub[],COLUMN(AA$1)-COLUMN($A$1),FALSE)=0, VLOOKUP($D294, regions_ub[], COLUMN(AA$1)-COLUMN($A$1), FALSE), VLOOKUP($A294,raw_ub[],COLUMN(AA$1)-COLUMN($A$1),FALSE))</f>
        <v>15.197077248134526</v>
      </c>
      <c r="AA294" s="70">
        <f>IF(VLOOKUP($A294,raw_ub[],COLUMN(AB$1)-COLUMN($A$1),FALSE)=0, VLOOKUP($D294, regions_ub[], COLUMN(AB$1)-COLUMN($A$1), FALSE), VLOOKUP($A294,raw_ub[],COLUMN(AB$1)-COLUMN($A$1),FALSE))</f>
        <v>11.034192078878378</v>
      </c>
      <c r="AB294" s="70">
        <f>IF(VLOOKUP($A294,raw_ub[],COLUMN(AC$1)-COLUMN($A$1),FALSE)=0, VLOOKUP($D294, regions_ub[], COLUMN(AC$1)-COLUMN($A$1), FALSE), VLOOKUP($A294,raw_ub[],COLUMN(AC$1)-COLUMN($A$1),FALSE))</f>
        <v>15.307692078878379</v>
      </c>
      <c r="AC294" s="72">
        <f>IF(VLOOKUP($A294,raw_ub[],COLUMN(AD$1)-COLUMN($A$1),FALSE)=0, VLOOKUP($D294, regions_ub[], COLUMN(AD$1)-COLUMN($A$1), FALSE), VLOOKUP($A294,raw_ub[],COLUMN(AD$1)-COLUMN($A$1),FALSE))</f>
        <v>6.6015809999999406E-3</v>
      </c>
      <c r="AD294" s="72">
        <f>IF(VLOOKUP($A294,raw_ub[],COLUMN(AE$1)-COLUMN($A$1),FALSE)=0, VLOOKUP($D294, regions_ub[], COLUMN(AE$1)-COLUMN($A$1), FALSE), VLOOKUP($A294,raw_ub[],COLUMN(AE$1)-COLUMN($A$1),FALSE))</f>
        <v>3.0890439992129734E-4</v>
      </c>
      <c r="AE294" s="72">
        <f>IF(VLOOKUP($A294,raw_ub[],COLUMN(AF$1)-COLUMN($A$1),FALSE)=0, VLOOKUP($D294, regions_ub[], COLUMN(AF$1)-COLUMN($A$1), FALSE), VLOOKUP($A294,raw_ub[],COLUMN(AF$1)-COLUMN($A$1),FALSE))</f>
        <v>1.4909453833453161E-4</v>
      </c>
      <c r="AF294" s="72">
        <f>IF(VLOOKUP($A294,raw_ub[],COLUMN(AG$1)-COLUMN($A$1),FALSE)=0, VLOOKUP($D294, regions_ub[], COLUMN(AG$1)-COLUMN($A$1), FALSE), VLOOKUP($A294,raw_ub[],COLUMN(AG$1)-COLUMN($A$1),FALSE))</f>
        <v>1.7678650416068286E-4</v>
      </c>
      <c r="AG294" s="72">
        <f>IF(VLOOKUP($A294,raw_ub[],COLUMN(AH$1)-COLUMN($A$1),FALSE)=0, VLOOKUP($D294, regions_ub[], COLUMN(AH$1)-COLUMN($A$1), FALSE), VLOOKUP($A294,raw_ub[],COLUMN(AH$1)-COLUMN($A$1),FALSE))</f>
        <v>4.6328028526632721E-4</v>
      </c>
      <c r="AH294" s="72">
        <f>IF(VLOOKUP($A294,raw_ub[],COLUMN(AI$1)-COLUMN($A$1),FALSE)=0, VLOOKUP($D294, regions_ub[], COLUMN(AI$1)-COLUMN($A$1), FALSE), VLOOKUP($A294,raw_ub[],COLUMN(AI$1)-COLUMN($A$1),FALSE))</f>
        <v>6.1148462683962581E-4</v>
      </c>
      <c r="AI294" s="72">
        <f>IF(VLOOKUP($A294,raw_ub[],COLUMN(AJ$1)-COLUMN($A$1),FALSE)=0, VLOOKUP($D294, regions_ub[], COLUMN(AJ$1)-COLUMN($A$1), FALSE), VLOOKUP($A294,raw_ub[],COLUMN(AJ$1)-COLUMN($A$1),FALSE))</f>
        <v>7.141618801007406E-4</v>
      </c>
      <c r="AJ294" s="72">
        <f>IF(VLOOKUP($A294,raw_ub[],COLUMN(AK$1)-COLUMN($A$1),FALSE)=0, VLOOKUP($D294, regions_ub[], COLUMN(AK$1)-COLUMN($A$1), FALSE), VLOOKUP($A294,raw_ub[],COLUMN(AK$1)-COLUMN($A$1),FALSE))</f>
        <v>1.025952780403982E-3</v>
      </c>
      <c r="AK294" s="72">
        <f>IF(VLOOKUP($A294,raw_ub[],COLUMN(AL$1)-COLUMN($A$1),FALSE)=0, VLOOKUP($D294, regions_ub[], COLUMN(AL$1)-COLUMN($A$1), FALSE), VLOOKUP($A294,raw_ub[],COLUMN(AL$1)-COLUMN($A$1),FALSE))</f>
        <v>1.5244285790594943E-3</v>
      </c>
      <c r="AL294" s="72">
        <f>IF(VLOOKUP($A294,raw_ub[],COLUMN(AM$1)-COLUMN($A$1),FALSE)=0, VLOOKUP($D294, regions_ub[], COLUMN(AM$1)-COLUMN($A$1), FALSE), VLOOKUP($A294,raw_ub[],COLUMN(AM$1)-COLUMN($A$1),FALSE))</f>
        <v>2.5543586426087336E-3</v>
      </c>
      <c r="AM294" s="72">
        <f>IF(VLOOKUP($A294,raw_ub[],COLUMN(AN$1)-COLUMN($A$1),FALSE)=0, VLOOKUP($D294, regions_ub[], COLUMN(AN$1)-COLUMN($A$1), FALSE), VLOOKUP($A294,raw_ub[],COLUMN(AN$1)-COLUMN($A$1),FALSE))</f>
        <v>4.5246301911702445E-3</v>
      </c>
      <c r="AN294" s="72">
        <f>IF(VLOOKUP($A294,raw_ub[],COLUMN(AO$1)-COLUMN($A$1),FALSE)=0, VLOOKUP($D294, regions_ub[], COLUMN(AO$1)-COLUMN($A$1), FALSE), VLOOKUP($A294,raw_ub[],COLUMN(AO$1)-COLUMN($A$1),FALSE))</f>
        <v>7.4336893265971819E-3</v>
      </c>
      <c r="AO294" s="72">
        <f>IF(VLOOKUP($A294,raw_ub[],COLUMN(AP$1)-COLUMN($A$1),FALSE)=0, VLOOKUP($D294, regions_ub[], COLUMN(AP$1)-COLUMN($A$1), FALSE), VLOOKUP($A294,raw_ub[],COLUMN(AP$1)-COLUMN($A$1),FALSE))</f>
        <v>1.1436435838606573E-2</v>
      </c>
      <c r="AP294" s="72">
        <f>IF(VLOOKUP($A294,raw_ub[],COLUMN(AQ$1)-COLUMN($A$1),FALSE)=0, VLOOKUP($D294, regions_ub[], COLUMN(AQ$1)-COLUMN($A$1), FALSE), VLOOKUP($A294,raw_ub[],COLUMN(AQ$1)-COLUMN($A$1),FALSE))</f>
        <v>1.6482419677363823E-2</v>
      </c>
      <c r="AQ294" s="72">
        <f>IF(VLOOKUP($A294,raw_ub[],COLUMN(AR$1)-COLUMN($A$1),FALSE)=0, VLOOKUP($D294, regions_ub[], COLUMN(AR$1)-COLUMN($A$1), FALSE), VLOOKUP($A294,raw_ub[],COLUMN(AR$1)-COLUMN($A$1),FALSE))</f>
        <v>2.3087437528109832E-2</v>
      </c>
      <c r="AR294" s="72">
        <f>IF(VLOOKUP($A294,raw_ub[],COLUMN(AS$1)-COLUMN($A$1),FALSE)=0, VLOOKUP($D294, regions_ub[], COLUMN(AS$1)-COLUMN($A$1), FALSE), VLOOKUP($A294,raw_ub[],COLUMN(AS$1)-COLUMN($A$1),FALSE))</f>
        <v>3.2881625079762555E-2</v>
      </c>
      <c r="AS294" s="72">
        <f>IF(VLOOKUP($A294,raw_ub[],COLUMN(AT$1)-COLUMN($A$1),FALSE)=0, VLOOKUP($D294, regions_ub[], COLUMN(AT$1)-COLUMN($A$1), FALSE), VLOOKUP($A294,raw_ub[],COLUMN(AT$1)-COLUMN($A$1),FALSE))</f>
        <v>5.0336450319936728E-2</v>
      </c>
      <c r="AT294" s="82">
        <f>IF(VLOOKUP($A294,raw_ub[],COLUMN(AT$1),FALSE)=0, VLOOKUP($D294, regions_ub[], COLUMN(AT$1), FALSE), VLOOKUP($A294,raw_ub[],COLUMN(AT$1),FALSE))</f>
        <v>8.1075094769396755E-2</v>
      </c>
      <c r="AU294" s="82">
        <f>IF(VLOOKUP($A294,raw_ub[],COLUMN(AU$1),FALSE)=0, VLOOKUP($D294, regions_ub[], COLUMN(AU$1), FALSE), VLOOKUP($A294,raw_ub[],COLUMN(AU$1),FALSE))</f>
        <v>0.13549981672967126</v>
      </c>
      <c r="AV294" s="82">
        <f>IF(VLOOKUP($A294,raw_ub[],COLUMN(AV$1),FALSE)=0, VLOOKUP($D294, regions_ub[], COLUMN(AV$1), FALSE), VLOOKUP($A294,raw_ub[],COLUMN(AV$1),FALSE))</f>
        <v>0.15826201991669178</v>
      </c>
      <c r="AW294" s="82">
        <f>IF(VLOOKUP($A294,raw_ub[],COLUMN(AW$1),FALSE)=0, VLOOKUP($D294, regions_ub[], COLUMN(AW$1), FALSE), VLOOKUP($A294,raw_ub[],COLUMN(AW$1),FALSE))</f>
        <v>0.18627385141848052</v>
      </c>
      <c r="AX294" s="82">
        <f>IF(VLOOKUP($A294,raw_ub[],COLUMN(AX$1),FALSE)=0, VLOOKUP($D294, regions_ub[], COLUMN(AX$1), FALSE), VLOOKUP($A294,raw_ub[],COLUMN(AX$1),FALSE))</f>
        <v>78.589349999999996</v>
      </c>
      <c r="AY294" t="str">
        <f t="shared" si="10"/>
        <v>No</v>
      </c>
    </row>
    <row r="295" spans="1:51" x14ac:dyDescent="0.25">
      <c r="A295" s="55" t="s">
        <v>251</v>
      </c>
      <c r="B295" s="56" t="s">
        <v>252</v>
      </c>
      <c r="C295" s="56">
        <v>854</v>
      </c>
      <c r="D295" s="56" t="s">
        <v>207</v>
      </c>
      <c r="E295" s="56" t="s">
        <v>235</v>
      </c>
      <c r="F295" s="56" t="s">
        <v>211</v>
      </c>
      <c r="G295" s="56" t="s">
        <v>198</v>
      </c>
      <c r="H295" s="74"/>
      <c r="I295" s="74"/>
      <c r="J295" s="67">
        <f>IF(VLOOKUP($A295,raw_ub[],COLUMN(J$1),FALSE)=0, VLOOKUP($D295, regions_ub[], COLUMN(J$1), FALSE), VLOOKUP($A295,raw_ub[],COLUMN(J$1),FALSE))</f>
        <v>0.86310000000000009</v>
      </c>
      <c r="K295" s="77">
        <f>VLOOKUP($A295, raw_ub[], 11, FALSE)</f>
        <v>0</v>
      </c>
      <c r="L295" s="77">
        <f>VLOOKUP($A295, raw_ub[], 12, FALSE)</f>
        <v>0.95550000000000013</v>
      </c>
      <c r="M295" s="77">
        <f>IF(VLOOKUP($A295,raw_ub[],COLUMN(M$1),FALSE)=0, VLOOKUP($D295, regions_ub[], COLUMN(M$1), FALSE), VLOOKUP($A295,raw_ub[],COLUMN(M$1),FALSE))</f>
        <v>7.2800000000000004E-2</v>
      </c>
      <c r="N295" s="68">
        <f>IF(VLOOKUP($A295,raw_ub[],COLUMN(N$1),FALSE)=0, VLOOKUP($D295, regions_ub[], COLUMN(N$1), FALSE), VLOOKUP($A295,raw_ub[],COLUMN(N$1),FALSE))</f>
        <v>0.41070000000000001</v>
      </c>
      <c r="O295" s="67">
        <f>IF(VLOOKUP($A295,raw_ub[],COLUMN(O$1),FALSE)=0, VLOOKUP($D295, regions_ub[], COLUMN(O$1), FALSE), VLOOKUP($A295,raw_ub[],COLUMN(O$1),FALSE))</f>
        <v>0.74399999999999999</v>
      </c>
      <c r="P295" s="68">
        <f>IF(VLOOKUP($A295,raw_ub[],COLUMN(P$1),FALSE)=0, VLOOKUP($D295, regions_ub[], COLUMN(P$1), FALSE), VLOOKUP($A295,raw_ub[],COLUMN(P$1),FALSE))</f>
        <v>0.13300000000000001</v>
      </c>
      <c r="Q295" s="70">
        <f>IF(VLOOKUP($A295,raw_ub[],COLUMN(Q$1),FALSE)=0, VLOOKUP($D295, regions_ub[], COLUMN(Q$1), FALSE), VLOOKUP($A295,raw_ub[],COLUMN(Q$1),FALSE))</f>
        <v>10.848787539350035</v>
      </c>
      <c r="R295" s="70">
        <f>IF(VLOOKUP($A295,raw_ub[],COLUMN(R$1),FALSE)=0, VLOOKUP($D295, regions_ub[], COLUMN(R$1), FALSE), VLOOKUP($A295,raw_ub[],COLUMN(R$1),FALSE))</f>
        <v>119.83458753935003</v>
      </c>
      <c r="S295" s="70">
        <f>IF(VLOOKUP($A295,raw_ub[],COLUMN(S$1),FALSE)=0, VLOOKUP($D295, regions_ub[], COLUMN(S$1), FALSE), VLOOKUP($A295,raw_ub[],COLUMN(S$1),FALSE))</f>
        <v>161.42169624364792</v>
      </c>
      <c r="T295" s="70">
        <f>IF(VLOOKUP($A295,raw_ub[],COLUMN(U$1)-COLUMN($A$1),FALSE)=0, VLOOKUP($D295, regions_ub[], COLUMN(U$1)-COLUMN($A$1), FALSE), VLOOKUP($A295,raw_ub[],COLUMN(U$1)-COLUMN($A$1),FALSE))</f>
        <v>167.85834407959484</v>
      </c>
      <c r="U295" s="70">
        <f>IF(VLOOKUP($A295,raw_ub[],COLUMN(V$1)-COLUMN($A$1),FALSE)=0, VLOOKUP($D295, regions_ub[], COLUMN(V$1)-COLUMN($A$1), FALSE), VLOOKUP($A295,raw_ub[],COLUMN(V$1)-COLUMN($A$1),FALSE))</f>
        <v>164.90277144673067</v>
      </c>
      <c r="V295" s="70">
        <f>IF(VLOOKUP($A295,raw_ub[],COLUMN(W$1)-COLUMN($A$1),FALSE)=0, VLOOKUP($D295, regions_ub[], COLUMN(W$1)-COLUMN($A$1), FALSE), VLOOKUP($A295,raw_ub[],COLUMN(W$1)-COLUMN($A$1),FALSE))</f>
        <v>4.6071701179991926</v>
      </c>
      <c r="W295" s="70">
        <f>IF(VLOOKUP($A295,raw_ub[],COLUMN(X$1)-COLUMN($A$1),FALSE)=0, VLOOKUP($D295, regions_ub[], COLUMN(X$1)-COLUMN($A$1), FALSE), VLOOKUP($A295,raw_ub[],COLUMN(X$1)-COLUMN($A$1),FALSE))</f>
        <v>9.678670117999193</v>
      </c>
      <c r="X295" s="70">
        <f>IF(VLOOKUP($A295,raw_ub[],COLUMN(Y$1)-COLUMN($A$1),FALSE)=0, VLOOKUP($D295, regions_ub[], COLUMN(Y$1)-COLUMN($A$1), FALSE), VLOOKUP($A295,raw_ub[],COLUMN(Y$1)-COLUMN($A$1),FALSE))</f>
        <v>4.5931363409650725</v>
      </c>
      <c r="Y295" s="70">
        <f>IF(VLOOKUP($A295,raw_ub[],COLUMN(Z$1)-COLUMN($A$1),FALSE)=0, VLOOKUP($D295, regions_ub[], COLUMN(Z$1)-COLUMN($A$1), FALSE), VLOOKUP($A295,raw_ub[],COLUMN(Z$1)-COLUMN($A$1),FALSE))</f>
        <v>9.6646363409650728</v>
      </c>
      <c r="Z295" s="70">
        <f>IF(VLOOKUP($A295,raw_ub[],COLUMN(AA$1)-COLUMN($A$1),FALSE)=0, VLOOKUP($D295, regions_ub[], COLUMN(AA$1)-COLUMN($A$1), FALSE), VLOOKUP($A295,raw_ub[],COLUMN(AA$1)-COLUMN($A$1),FALSE))</f>
        <v>9.6571613799373637</v>
      </c>
      <c r="AA295" s="70">
        <f>IF(VLOOKUP($A295,raw_ub[],COLUMN(AB$1)-COLUMN($A$1),FALSE)=0, VLOOKUP($D295, regions_ub[], COLUMN(AB$1)-COLUMN($A$1), FALSE), VLOOKUP($A295,raw_ub[],COLUMN(AB$1)-COLUMN($A$1),FALSE))</f>
        <v>4.610408681930144</v>
      </c>
      <c r="AB295" s="70">
        <f>IF(VLOOKUP($A295,raw_ub[],COLUMN(AC$1)-COLUMN($A$1),FALSE)=0, VLOOKUP($D295, regions_ub[], COLUMN(AC$1)-COLUMN($A$1), FALSE), VLOOKUP($A295,raw_ub[],COLUMN(AC$1)-COLUMN($A$1),FALSE))</f>
        <v>9.6819086819301443</v>
      </c>
      <c r="AC295" s="72">
        <f>IF(VLOOKUP($A295,raw_ub[],COLUMN(AD$1)-COLUMN($A$1),FALSE)=0, VLOOKUP($D295, regions_ub[], COLUMN(AD$1)-COLUMN($A$1), FALSE), VLOOKUP($A295,raw_ub[],COLUMN(AD$1)-COLUMN($A$1),FALSE))</f>
        <v>5.6939252999999926E-2</v>
      </c>
      <c r="AD295" s="72">
        <f>IF(VLOOKUP($A295,raw_ub[],COLUMN(AE$1)-COLUMN($A$1),FALSE)=0, VLOOKUP($D295, regions_ub[], COLUMN(AE$1)-COLUMN($A$1), FALSE), VLOOKUP($A295,raw_ub[],COLUMN(AE$1)-COLUMN($A$1),FALSE))</f>
        <v>8.1884704808496515E-3</v>
      </c>
      <c r="AE295" s="72">
        <f>IF(VLOOKUP($A295,raw_ub[],COLUMN(AF$1)-COLUMN($A$1),FALSE)=0, VLOOKUP($D295, regions_ub[], COLUMN(AF$1)-COLUMN($A$1), FALSE), VLOOKUP($A295,raw_ub[],COLUMN(AF$1)-COLUMN($A$1),FALSE))</f>
        <v>2.8453435689820335E-3</v>
      </c>
      <c r="AF295" s="72">
        <f>IF(VLOOKUP($A295,raw_ub[],COLUMN(AG$1)-COLUMN($A$1),FALSE)=0, VLOOKUP($D295, regions_ub[], COLUMN(AG$1)-COLUMN($A$1), FALSE), VLOOKUP($A295,raw_ub[],COLUMN(AG$1)-COLUMN($A$1),FALSE))</f>
        <v>1.6915266887062986E-3</v>
      </c>
      <c r="AG295" s="72">
        <f>IF(VLOOKUP($A295,raw_ub[],COLUMN(AH$1)-COLUMN($A$1),FALSE)=0, VLOOKUP($D295, regions_ub[], COLUMN(AH$1)-COLUMN($A$1), FALSE), VLOOKUP($A295,raw_ub[],COLUMN(AH$1)-COLUMN($A$1),FALSE))</f>
        <v>2.5793801995270004E-3</v>
      </c>
      <c r="AH295" s="72">
        <f>IF(VLOOKUP($A295,raw_ub[],COLUMN(AI$1)-COLUMN($A$1),FALSE)=0, VLOOKUP($D295, regions_ub[], COLUMN(AI$1)-COLUMN($A$1), FALSE), VLOOKUP($A295,raw_ub[],COLUMN(AI$1)-COLUMN($A$1),FALSE))</f>
        <v>3.6126746098943101E-3</v>
      </c>
      <c r="AI295" s="72">
        <f>IF(VLOOKUP($A295,raw_ub[],COLUMN(AJ$1)-COLUMN($A$1),FALSE)=0, VLOOKUP($D295, regions_ub[], COLUMN(AJ$1)-COLUMN($A$1), FALSE), VLOOKUP($A295,raw_ub[],COLUMN(AJ$1)-COLUMN($A$1),FALSE))</f>
        <v>3.8681852629669023E-3</v>
      </c>
      <c r="AJ295" s="72">
        <f>IF(VLOOKUP($A295,raw_ub[],COLUMN(AK$1)-COLUMN($A$1),FALSE)=0, VLOOKUP($D295, regions_ub[], COLUMN(AK$1)-COLUMN($A$1), FALSE), VLOOKUP($A295,raw_ub[],COLUMN(AK$1)-COLUMN($A$1),FALSE))</f>
        <v>4.2721517909394607E-3</v>
      </c>
      <c r="AK295" s="72">
        <f>IF(VLOOKUP($A295,raw_ub[],COLUMN(AL$1)-COLUMN($A$1),FALSE)=0, VLOOKUP($D295, regions_ub[], COLUMN(AL$1)-COLUMN($A$1), FALSE), VLOOKUP($A295,raw_ub[],COLUMN(AL$1)-COLUMN($A$1),FALSE))</f>
        <v>4.9000666864527755E-3</v>
      </c>
      <c r="AL295" s="72">
        <f>IF(VLOOKUP($A295,raw_ub[],COLUMN(AM$1)-COLUMN($A$1),FALSE)=0, VLOOKUP($D295, regions_ub[], COLUMN(AM$1)-COLUMN($A$1), FALSE), VLOOKUP($A295,raw_ub[],COLUMN(AM$1)-COLUMN($A$1),FALSE))</f>
        <v>6.0227316199991127E-3</v>
      </c>
      <c r="AM295" s="72">
        <f>IF(VLOOKUP($A295,raw_ub[],COLUMN(AN$1)-COLUMN($A$1),FALSE)=0, VLOOKUP($D295, regions_ub[], COLUMN(AN$1)-COLUMN($A$1), FALSE), VLOOKUP($A295,raw_ub[],COLUMN(AN$1)-COLUMN($A$1),FALSE))</f>
        <v>7.5441349363544637E-3</v>
      </c>
      <c r="AN295" s="72">
        <f>IF(VLOOKUP($A295,raw_ub[],COLUMN(AO$1)-COLUMN($A$1),FALSE)=0, VLOOKUP($D295, regions_ub[], COLUMN(AO$1)-COLUMN($A$1), FALSE), VLOOKUP($A295,raw_ub[],COLUMN(AO$1)-COLUMN($A$1),FALSE))</f>
        <v>1.0583168965783008E-2</v>
      </c>
      <c r="AO295" s="72">
        <f>IF(VLOOKUP($A295,raw_ub[],COLUMN(AP$1)-COLUMN($A$1),FALSE)=0, VLOOKUP($D295, regions_ub[], COLUMN(AP$1)-COLUMN($A$1), FALSE), VLOOKUP($A295,raw_ub[],COLUMN(AP$1)-COLUMN($A$1),FALSE))</f>
        <v>1.5040784098539475E-2</v>
      </c>
      <c r="AP295" s="72">
        <f>IF(VLOOKUP($A295,raw_ub[],COLUMN(AQ$1)-COLUMN($A$1),FALSE)=0, VLOOKUP($D295, regions_ub[], COLUMN(AQ$1)-COLUMN($A$1), FALSE), VLOOKUP($A295,raw_ub[],COLUMN(AQ$1)-COLUMN($A$1),FALSE))</f>
        <v>2.3380353706234848E-2</v>
      </c>
      <c r="AQ295" s="72">
        <f>IF(VLOOKUP($A295,raw_ub[],COLUMN(AR$1)-COLUMN($A$1),FALSE)=0, VLOOKUP($D295, regions_ub[], COLUMN(AR$1)-COLUMN($A$1), FALSE), VLOOKUP($A295,raw_ub[],COLUMN(AR$1)-COLUMN($A$1),FALSE))</f>
        <v>3.6048199398505162E-2</v>
      </c>
      <c r="AR295" s="72">
        <f>IF(VLOOKUP($A295,raw_ub[],COLUMN(AS$1)-COLUMN($A$1),FALSE)=0, VLOOKUP($D295, regions_ub[], COLUMN(AS$1)-COLUMN($A$1), FALSE), VLOOKUP($A295,raw_ub[],COLUMN(AS$1)-COLUMN($A$1),FALSE))</f>
        <v>5.7783262159245542E-2</v>
      </c>
      <c r="AS295" s="72">
        <f>IF(VLOOKUP($A295,raw_ub[],COLUMN(AT$1)-COLUMN($A$1),FALSE)=0, VLOOKUP($D295, regions_ub[], COLUMN(AT$1)-COLUMN($A$1), FALSE), VLOOKUP($A295,raw_ub[],COLUMN(AT$1)-COLUMN($A$1),FALSE))</f>
        <v>8.8827200479981161E-2</v>
      </c>
      <c r="AT295" s="82">
        <f>IF(VLOOKUP($A295,raw_ub[],COLUMN(AT$1),FALSE)=0, VLOOKUP($D295, regions_ub[], COLUMN(AT$1), FALSE), VLOOKUP($A295,raw_ub[],COLUMN(AT$1),FALSE))</f>
        <v>0.12698276841269401</v>
      </c>
      <c r="AU295" s="82">
        <f>IF(VLOOKUP($A295,raw_ub[],COLUMN(AU$1),FALSE)=0, VLOOKUP($D295, regions_ub[], COLUMN(AU$1), FALSE), VLOOKUP($A295,raw_ub[],COLUMN(AU$1),FALSE))</f>
        <v>0.16166715121147709</v>
      </c>
      <c r="AV295" s="82">
        <f>IF(VLOOKUP($A295,raw_ub[],COLUMN(AV$1),FALSE)=0, VLOOKUP($D295, regions_ub[], COLUMN(AV$1), FALSE), VLOOKUP($A295,raw_ub[],COLUMN(AV$1),FALSE))</f>
        <v>0.18572019963992989</v>
      </c>
      <c r="AW295" s="82">
        <f>IF(VLOOKUP($A295,raw_ub[],COLUMN(AW$1),FALSE)=0, VLOOKUP($D295, regions_ub[], COLUMN(AW$1), FALSE), VLOOKUP($A295,raw_ub[],COLUMN(AW$1),FALSE))</f>
        <v>0.20371890608448159</v>
      </c>
      <c r="AX295" s="82">
        <f>IF(VLOOKUP($A295,raw_ub[],COLUMN(AX$1),FALSE)=0, VLOOKUP($D295, regions_ub[], COLUMN(AX$1), FALSE), VLOOKUP($A295,raw_ub[],COLUMN(AX$1),FALSE))</f>
        <v>63.962850000000003</v>
      </c>
      <c r="AY295" t="str">
        <f t="shared" si="10"/>
        <v>Yes</v>
      </c>
    </row>
    <row r="296" spans="1:51" x14ac:dyDescent="0.25">
      <c r="A296" s="53" t="s">
        <v>253</v>
      </c>
      <c r="B296" s="54" t="s">
        <v>254</v>
      </c>
      <c r="C296" s="54">
        <v>108</v>
      </c>
      <c r="D296" s="54" t="s">
        <v>207</v>
      </c>
      <c r="E296" s="54" t="s">
        <v>255</v>
      </c>
      <c r="F296" s="54" t="s">
        <v>211</v>
      </c>
      <c r="G296" s="54" t="s">
        <v>198</v>
      </c>
      <c r="H296" s="73"/>
      <c r="I296" s="73"/>
      <c r="J296" s="67">
        <f>IF(VLOOKUP($A296,raw_ub[],COLUMN(J$1),FALSE)=0, VLOOKUP($D296, regions_ub[], COLUMN(J$1), FALSE), VLOOKUP($A296,raw_ub[],COLUMN(J$1),FALSE))</f>
        <v>0.88095000000000012</v>
      </c>
      <c r="K296" s="77">
        <f>VLOOKUP($A296, raw_ub[], 11, FALSE)</f>
        <v>0</v>
      </c>
      <c r="L296" s="77">
        <f>VLOOKUP($A296, raw_ub[], 12, FALSE)</f>
        <v>0.97650000000000015</v>
      </c>
      <c r="M296" s="77">
        <f>IF(VLOOKUP($A296,raw_ub[],COLUMN(M$1),FALSE)=0, VLOOKUP($D296, regions_ub[], COLUMN(M$1), FALSE), VLOOKUP($A296,raw_ub[],COLUMN(M$1),FALSE))</f>
        <v>8.3000000000000004E-2</v>
      </c>
      <c r="N296" s="68">
        <f>IF(VLOOKUP($A296,raw_ub[],COLUMN(N$1),FALSE)=0, VLOOKUP($D296, regions_ub[], COLUMN(N$1), FALSE), VLOOKUP($A296,raw_ub[],COLUMN(N$1),FALSE))</f>
        <v>0.39960000000000001</v>
      </c>
      <c r="O296" s="67">
        <f>IF(VLOOKUP($A296,raw_ub[],COLUMN(O$1),FALSE)=0, VLOOKUP($D296, regions_ub[], COLUMN(O$1), FALSE), VLOOKUP($A296,raw_ub[],COLUMN(O$1),FALSE))</f>
        <v>0.74399999999999999</v>
      </c>
      <c r="P296" s="68">
        <f>IF(VLOOKUP($A296,raw_ub[],COLUMN(P$1),FALSE)=0, VLOOKUP($D296, regions_ub[], COLUMN(P$1), FALSE), VLOOKUP($A296,raw_ub[],COLUMN(P$1),FALSE))</f>
        <v>0.13300000000000001</v>
      </c>
      <c r="Q296" s="70">
        <f>IF(VLOOKUP($A296,raw_ub[],COLUMN(Q$1),FALSE)=0, VLOOKUP($D296, regions_ub[], COLUMN(Q$1), FALSE), VLOOKUP($A296,raw_ub[],COLUMN(Q$1),FALSE))</f>
        <v>5.2072684931506901</v>
      </c>
      <c r="R296" s="70">
        <f>IF(VLOOKUP($A296,raw_ub[],COLUMN(R$1),FALSE)=0, VLOOKUP($D296, regions_ub[], COLUMN(R$1), FALSE), VLOOKUP($A296,raw_ub[],COLUMN(R$1),FALSE))</f>
        <v>114.1930684931507</v>
      </c>
      <c r="S296" s="70">
        <f>IF(VLOOKUP($A296,raw_ub[],COLUMN(S$1),FALSE)=0, VLOOKUP($D296, regions_ub[], COLUMN(S$1), FALSE), VLOOKUP($A296,raw_ub[],COLUMN(S$1),FALSE))</f>
        <v>144.11130844067571</v>
      </c>
      <c r="T296" s="70">
        <f>IF(VLOOKUP($A296,raw_ub[],COLUMN(U$1)-COLUMN($A$1),FALSE)=0, VLOOKUP($D296, regions_ub[], COLUMN(U$1)-COLUMN($A$1), FALSE), VLOOKUP($A296,raw_ub[],COLUMN(U$1)-COLUMN($A$1),FALSE))</f>
        <v>144.47471792907513</v>
      </c>
      <c r="U296" s="70">
        <f>IF(VLOOKUP($A296,raw_ub[],COLUMN(V$1)-COLUMN($A$1),FALSE)=0, VLOOKUP($D296, regions_ub[], COLUMN(V$1)-COLUMN($A$1), FALSE), VLOOKUP($A296,raw_ub[],COLUMN(V$1)-COLUMN($A$1),FALSE))</f>
        <v>144.30784797350012</v>
      </c>
      <c r="V296" s="70">
        <f>IF(VLOOKUP($A296,raw_ub[],COLUMN(W$1)-COLUMN($A$1),FALSE)=0, VLOOKUP($D296, regions_ub[], COLUMN(W$1)-COLUMN($A$1), FALSE), VLOOKUP($A296,raw_ub[],COLUMN(W$1)-COLUMN($A$1),FALSE))</f>
        <v>4.5124748615706229</v>
      </c>
      <c r="W296" s="70">
        <f>IF(VLOOKUP($A296,raw_ub[],COLUMN(X$1)-COLUMN($A$1),FALSE)=0, VLOOKUP($D296, regions_ub[], COLUMN(X$1)-COLUMN($A$1), FALSE), VLOOKUP($A296,raw_ub[],COLUMN(X$1)-COLUMN($A$1),FALSE))</f>
        <v>9.5839748615706242</v>
      </c>
      <c r="X296" s="70">
        <f>IF(VLOOKUP($A296,raw_ub[],COLUMN(Y$1)-COLUMN($A$1),FALSE)=0, VLOOKUP($D296, regions_ub[], COLUMN(Y$1)-COLUMN($A$1), FALSE), VLOOKUP($A296,raw_ub[],COLUMN(Y$1)-COLUMN($A$1),FALSE))</f>
        <v>4.5085511650044818</v>
      </c>
      <c r="Y296" s="70">
        <f>IF(VLOOKUP($A296,raw_ub[],COLUMN(Z$1)-COLUMN($A$1),FALSE)=0, VLOOKUP($D296, regions_ub[], COLUMN(Z$1)-COLUMN($A$1), FALSE), VLOOKUP($A296,raw_ub[],COLUMN(Z$1)-COLUMN($A$1),FALSE))</f>
        <v>9.5800511650044822</v>
      </c>
      <c r="Z296" s="70">
        <f>IF(VLOOKUP($A296,raw_ub[],COLUMN(AA$1)-COLUMN($A$1),FALSE)=0, VLOOKUP($D296, regions_ub[], COLUMN(AA$1)-COLUMN($A$1), FALSE), VLOOKUP($A296,raw_ub[],COLUMN(AA$1)-COLUMN($A$1),FALSE))</f>
        <v>9.5779512150792243</v>
      </c>
      <c r="AA296" s="70">
        <f>IF(VLOOKUP($A296,raw_ub[],COLUMN(AB$1)-COLUMN($A$1),FALSE)=0, VLOOKUP($D296, regions_ub[], COLUMN(AB$1)-COLUMN($A$1), FALSE), VLOOKUP($A296,raw_ub[],COLUMN(AB$1)-COLUMN($A$1),FALSE))</f>
        <v>4.513380330008963</v>
      </c>
      <c r="AB296" s="70">
        <f>IF(VLOOKUP($A296,raw_ub[],COLUMN(AC$1)-COLUMN($A$1),FALSE)=0, VLOOKUP($D296, regions_ub[], COLUMN(AC$1)-COLUMN($A$1), FALSE), VLOOKUP($A296,raw_ub[],COLUMN(AC$1)-COLUMN($A$1),FALSE))</f>
        <v>9.5848803300089642</v>
      </c>
      <c r="AC296" s="72">
        <f>IF(VLOOKUP($A296,raw_ub[],COLUMN(AD$1)-COLUMN($A$1),FALSE)=0, VLOOKUP($D296, regions_ub[], COLUMN(AD$1)-COLUMN($A$1), FALSE), VLOOKUP($A296,raw_ub[],COLUMN(AD$1)-COLUMN($A$1),FALSE))</f>
        <v>4.4575881000000005E-2</v>
      </c>
      <c r="AD296" s="72">
        <f>IF(VLOOKUP($A296,raw_ub[],COLUMN(AE$1)-COLUMN($A$1),FALSE)=0, VLOOKUP($D296, regions_ub[], COLUMN(AE$1)-COLUMN($A$1), FALSE), VLOOKUP($A296,raw_ub[],COLUMN(AE$1)-COLUMN($A$1),FALSE))</f>
        <v>5.5007881703701229E-3</v>
      </c>
      <c r="AE296" s="72">
        <f>IF(VLOOKUP($A296,raw_ub[],COLUMN(AF$1)-COLUMN($A$1),FALSE)=0, VLOOKUP($D296, regions_ub[], COLUMN(AF$1)-COLUMN($A$1), FALSE), VLOOKUP($A296,raw_ub[],COLUMN(AF$1)-COLUMN($A$1),FALSE))</f>
        <v>4.2067984480368536E-3</v>
      </c>
      <c r="AF296" s="72">
        <f>IF(VLOOKUP($A296,raw_ub[],COLUMN(AG$1)-COLUMN($A$1),FALSE)=0, VLOOKUP($D296, regions_ub[], COLUMN(AG$1)-COLUMN($A$1), FALSE), VLOOKUP($A296,raw_ub[],COLUMN(AG$1)-COLUMN($A$1),FALSE))</f>
        <v>2.624151240493281E-3</v>
      </c>
      <c r="AG296" s="72">
        <f>IF(VLOOKUP($A296,raw_ub[],COLUMN(AH$1)-COLUMN($A$1),FALSE)=0, VLOOKUP($D296, regions_ub[], COLUMN(AH$1)-COLUMN($A$1), FALSE), VLOOKUP($A296,raw_ub[],COLUMN(AH$1)-COLUMN($A$1),FALSE))</f>
        <v>3.0909863197611156E-3</v>
      </c>
      <c r="AH296" s="72">
        <f>IF(VLOOKUP($A296,raw_ub[],COLUMN(AI$1)-COLUMN($A$1),FALSE)=0, VLOOKUP($D296, regions_ub[], COLUMN(AI$1)-COLUMN($A$1), FALSE), VLOOKUP($A296,raw_ub[],COLUMN(AI$1)-COLUMN($A$1),FALSE))</f>
        <v>4.0374508247938276E-3</v>
      </c>
      <c r="AI296" s="72">
        <f>IF(VLOOKUP($A296,raw_ub[],COLUMN(AJ$1)-COLUMN($A$1),FALSE)=0, VLOOKUP($D296, regions_ub[], COLUMN(AJ$1)-COLUMN($A$1), FALSE), VLOOKUP($A296,raw_ub[],COLUMN(AJ$1)-COLUMN($A$1),FALSE))</f>
        <v>4.8338494211648221E-3</v>
      </c>
      <c r="AJ296" s="72">
        <f>IF(VLOOKUP($A296,raw_ub[],COLUMN(AK$1)-COLUMN($A$1),FALSE)=0, VLOOKUP($D296, regions_ub[], COLUMN(AK$1)-COLUMN($A$1), FALSE), VLOOKUP($A296,raw_ub[],COLUMN(AK$1)-COLUMN($A$1),FALSE))</f>
        <v>5.9518343912190273E-3</v>
      </c>
      <c r="AK296" s="72">
        <f>IF(VLOOKUP($A296,raw_ub[],COLUMN(AL$1)-COLUMN($A$1),FALSE)=0, VLOOKUP($D296, regions_ub[], COLUMN(AL$1)-COLUMN($A$1), FALSE), VLOOKUP($A296,raw_ub[],COLUMN(AL$1)-COLUMN($A$1),FALSE))</f>
        <v>7.4606746887052652E-3</v>
      </c>
      <c r="AL296" s="72">
        <f>IF(VLOOKUP($A296,raw_ub[],COLUMN(AM$1)-COLUMN($A$1),FALSE)=0, VLOOKUP($D296, regions_ub[], COLUMN(AM$1)-COLUMN($A$1), FALSE), VLOOKUP($A296,raw_ub[],COLUMN(AM$1)-COLUMN($A$1),FALSE))</f>
        <v>8.2889062229026169E-3</v>
      </c>
      <c r="AM296" s="72">
        <f>IF(VLOOKUP($A296,raw_ub[],COLUMN(AN$1)-COLUMN($A$1),FALSE)=0, VLOOKUP($D296, regions_ub[], COLUMN(AN$1)-COLUMN($A$1), FALSE), VLOOKUP($A296,raw_ub[],COLUMN(AN$1)-COLUMN($A$1),FALSE))</f>
        <v>9.0231478292294408E-3</v>
      </c>
      <c r="AN296" s="72">
        <f>IF(VLOOKUP($A296,raw_ub[],COLUMN(AO$1)-COLUMN($A$1),FALSE)=0, VLOOKUP($D296, regions_ub[], COLUMN(AO$1)-COLUMN($A$1), FALSE), VLOOKUP($A296,raw_ub[],COLUMN(AO$1)-COLUMN($A$1),FALSE))</f>
        <v>1.137878643828392E-2</v>
      </c>
      <c r="AO296" s="72">
        <f>IF(VLOOKUP($A296,raw_ub[],COLUMN(AP$1)-COLUMN($A$1),FALSE)=0, VLOOKUP($D296, regions_ub[], COLUMN(AP$1)-COLUMN($A$1), FALSE), VLOOKUP($A296,raw_ub[],COLUMN(AP$1)-COLUMN($A$1),FALSE))</f>
        <v>1.4909727684066216E-2</v>
      </c>
      <c r="AP296" s="72">
        <f>IF(VLOOKUP($A296,raw_ub[],COLUMN(AQ$1)-COLUMN($A$1),FALSE)=0, VLOOKUP($D296, regions_ub[], COLUMN(AQ$1)-COLUMN($A$1), FALSE), VLOOKUP($A296,raw_ub[],COLUMN(AQ$1)-COLUMN($A$1),FALSE))</f>
        <v>2.2044449488563413E-2</v>
      </c>
      <c r="AQ296" s="72">
        <f>IF(VLOOKUP($A296,raw_ub[],COLUMN(AR$1)-COLUMN($A$1),FALSE)=0, VLOOKUP($D296, regions_ub[], COLUMN(AR$1)-COLUMN($A$1), FALSE), VLOOKUP($A296,raw_ub[],COLUMN(AR$1)-COLUMN($A$1),FALSE))</f>
        <v>3.3279066524748067E-2</v>
      </c>
      <c r="AR296" s="72">
        <f>IF(VLOOKUP($A296,raw_ub[],COLUMN(AS$1)-COLUMN($A$1),FALSE)=0, VLOOKUP($D296, regions_ub[], COLUMN(AS$1)-COLUMN($A$1), FALSE), VLOOKUP($A296,raw_ub[],COLUMN(AS$1)-COLUMN($A$1),FALSE))</f>
        <v>5.0585482202940325E-2</v>
      </c>
      <c r="AS296" s="72">
        <f>IF(VLOOKUP($A296,raw_ub[],COLUMN(AT$1)-COLUMN($A$1),FALSE)=0, VLOOKUP($D296, regions_ub[], COLUMN(AT$1)-COLUMN($A$1), FALSE), VLOOKUP($A296,raw_ub[],COLUMN(AT$1)-COLUMN($A$1),FALSE))</f>
        <v>7.4622159576649791E-2</v>
      </c>
      <c r="AT296" s="82">
        <f>IF(VLOOKUP($A296,raw_ub[],COLUMN(AT$1),FALSE)=0, VLOOKUP($D296, regions_ub[], COLUMN(AT$1), FALSE), VLOOKUP($A296,raw_ub[],COLUMN(AT$1),FALSE))</f>
        <v>0.10609497000997932</v>
      </c>
      <c r="AU296" s="82">
        <f>IF(VLOOKUP($A296,raw_ub[],COLUMN(AU$1),FALSE)=0, VLOOKUP($D296, regions_ub[], COLUMN(AU$1), FALSE), VLOOKUP($A296,raw_ub[],COLUMN(AU$1),FALSE))</f>
        <v>0.13935542720612334</v>
      </c>
      <c r="AV296" s="82">
        <f>IF(VLOOKUP($A296,raw_ub[],COLUMN(AV$1),FALSE)=0, VLOOKUP($D296, regions_ub[], COLUMN(AV$1), FALSE), VLOOKUP($A296,raw_ub[],COLUMN(AV$1),FALSE))</f>
        <v>0.16704248123513374</v>
      </c>
      <c r="AW296" s="82">
        <f>IF(VLOOKUP($A296,raw_ub[],COLUMN(AW$1),FALSE)=0, VLOOKUP($D296, regions_ub[], COLUMN(AW$1), FALSE), VLOOKUP($A296,raw_ub[],COLUMN(AW$1),FALSE))</f>
        <v>0.18593369742334348</v>
      </c>
      <c r="AX296" s="82">
        <f>IF(VLOOKUP($A296,raw_ub[],COLUMN(AX$1),FALSE)=0, VLOOKUP($D296, regions_ub[], COLUMN(AX$1), FALSE), VLOOKUP($A296,raw_ub[],COLUMN(AX$1),FALSE))</f>
        <v>64.076250000000002</v>
      </c>
      <c r="AY296" t="str">
        <f t="shared" si="10"/>
        <v>Yes</v>
      </c>
    </row>
    <row r="297" spans="1:51" x14ac:dyDescent="0.25">
      <c r="A297" s="55" t="s">
        <v>256</v>
      </c>
      <c r="B297" s="56" t="s">
        <v>257</v>
      </c>
      <c r="C297" s="56">
        <v>132</v>
      </c>
      <c r="D297" s="56" t="s">
        <v>207</v>
      </c>
      <c r="E297" s="56" t="s">
        <v>235</v>
      </c>
      <c r="F297" s="56" t="s">
        <v>211</v>
      </c>
      <c r="G297" s="56" t="s">
        <v>212</v>
      </c>
      <c r="H297" s="74"/>
      <c r="I297" s="74"/>
      <c r="J297" s="67">
        <f>IF(VLOOKUP($A297,raw_ub[],COLUMN(J$1),FALSE)=0, VLOOKUP($D297, regions_ub[], COLUMN(J$1), FALSE), VLOOKUP($A297,raw_ub[],COLUMN(J$1),FALSE))</f>
        <v>0.79379999999999995</v>
      </c>
      <c r="K297" s="77">
        <f>VLOOKUP($A297, raw_ub[], 11, FALSE)</f>
        <v>0.999</v>
      </c>
      <c r="L297" s="77">
        <f>VLOOKUP($A297, raw_ub[], 12, FALSE)</f>
        <v>0.98699999999999999</v>
      </c>
      <c r="M297" s="77">
        <f>IF(VLOOKUP($A297,raw_ub[],COLUMN(M$1),FALSE)=0, VLOOKUP($D297, regions_ub[], COLUMN(M$1), FALSE), VLOOKUP($A297,raw_ub[],COLUMN(M$1),FALSE))</f>
        <v>9.1700000000000004E-2</v>
      </c>
      <c r="N297" s="68">
        <f>IF(VLOOKUP($A297,raw_ub[],COLUMN(N$1),FALSE)=0, VLOOKUP($D297, regions_ub[], COLUMN(N$1), FALSE), VLOOKUP($A297,raw_ub[],COLUMN(N$1),FALSE))</f>
        <v>0.41070000000000001</v>
      </c>
      <c r="O297" s="67">
        <f>IF(VLOOKUP($A297,raw_ub[],COLUMN(O$1),FALSE)=0, VLOOKUP($D297, regions_ub[], COLUMN(O$1), FALSE), VLOOKUP($A297,raw_ub[],COLUMN(O$1),FALSE))</f>
        <v>0.74399999999999999</v>
      </c>
      <c r="P297" s="68">
        <f>IF(VLOOKUP($A297,raw_ub[],COLUMN(P$1),FALSE)=0, VLOOKUP($D297, regions_ub[], COLUMN(P$1), FALSE), VLOOKUP($A297,raw_ub[],COLUMN(P$1),FALSE))</f>
        <v>0.13300000000000001</v>
      </c>
      <c r="Q297" s="70">
        <f>IF(VLOOKUP($A297,raw_ub[],COLUMN(Q$1),FALSE)=0, VLOOKUP($D297, regions_ub[], COLUMN(Q$1), FALSE), VLOOKUP($A297,raw_ub[],COLUMN(Q$1),FALSE))</f>
        <v>15.362853846153801</v>
      </c>
      <c r="R297" s="70">
        <f>IF(VLOOKUP($A297,raw_ub[],COLUMN(R$1),FALSE)=0, VLOOKUP($D297, regions_ub[], COLUMN(R$1), FALSE), VLOOKUP($A297,raw_ub[],COLUMN(R$1),FALSE))</f>
        <v>124.34865384615381</v>
      </c>
      <c r="S297" s="70">
        <f>IF(VLOOKUP($A297,raw_ub[],COLUMN(S$1),FALSE)=0, VLOOKUP($D297, regions_ub[], COLUMN(S$1), FALSE), VLOOKUP($A297,raw_ub[],COLUMN(S$1),FALSE))</f>
        <v>171.32737372551114</v>
      </c>
      <c r="T297" s="70">
        <f>IF(VLOOKUP($A297,raw_ub[],COLUMN(U$1)-COLUMN($A$1),FALSE)=0, VLOOKUP($D297, regions_ub[], COLUMN(U$1)-COLUMN($A$1), FALSE), VLOOKUP($A297,raw_ub[],COLUMN(U$1)-COLUMN($A$1),FALSE))</f>
        <v>180.57016673507923</v>
      </c>
      <c r="U297" s="70">
        <f>IF(VLOOKUP($A297,raw_ub[],COLUMN(V$1)-COLUMN($A$1),FALSE)=0, VLOOKUP($D297, regions_ub[], COLUMN(V$1)-COLUMN($A$1), FALSE), VLOOKUP($A297,raw_ub[],COLUMN(V$1)-COLUMN($A$1),FALSE))</f>
        <v>176.32607155284086</v>
      </c>
      <c r="V297" s="70">
        <f>IF(VLOOKUP($A297,raw_ub[],COLUMN(W$1)-COLUMN($A$1),FALSE)=0, VLOOKUP($D297, regions_ub[], COLUMN(W$1)-COLUMN($A$1), FALSE), VLOOKUP($A297,raw_ub[],COLUMN(W$1)-COLUMN($A$1),FALSE))</f>
        <v>17.422789828335343</v>
      </c>
      <c r="W297" s="70">
        <f>IF(VLOOKUP($A297,raw_ub[],COLUMN(X$1)-COLUMN($A$1),FALSE)=0, VLOOKUP($D297, regions_ub[], COLUMN(X$1)-COLUMN($A$1), FALSE), VLOOKUP($A297,raw_ub[],COLUMN(X$1)-COLUMN($A$1),FALSE))</f>
        <v>22.494289828335344</v>
      </c>
      <c r="X297" s="70">
        <f>IF(VLOOKUP($A297,raw_ub[],COLUMN(Y$1)-COLUMN($A$1),FALSE)=0, VLOOKUP($D297, regions_ub[], COLUMN(Y$1)-COLUMN($A$1), FALSE), VLOOKUP($A297,raw_ub[],COLUMN(Y$1)-COLUMN($A$1),FALSE))</f>
        <v>17.387917629426394</v>
      </c>
      <c r="Y297" s="70">
        <f>IF(VLOOKUP($A297,raw_ub[],COLUMN(Z$1)-COLUMN($A$1),FALSE)=0, VLOOKUP($D297, regions_ub[], COLUMN(Z$1)-COLUMN($A$1), FALSE), VLOOKUP($A297,raw_ub[],COLUMN(Z$1)-COLUMN($A$1),FALSE))</f>
        <v>22.459417629426394</v>
      </c>
      <c r="Z297" s="70">
        <f>IF(VLOOKUP($A297,raw_ub[],COLUMN(AA$1)-COLUMN($A$1),FALSE)=0, VLOOKUP($D297, regions_ub[], COLUMN(AA$1)-COLUMN($A$1), FALSE), VLOOKUP($A297,raw_ub[],COLUMN(AA$1)-COLUMN($A$1),FALSE))</f>
        <v>22.439196313988354</v>
      </c>
      <c r="AA297" s="70">
        <f>IF(VLOOKUP($A297,raw_ub[],COLUMN(AB$1)-COLUMN($A$1),FALSE)=0, VLOOKUP($D297, regions_ub[], COLUMN(AB$1)-COLUMN($A$1), FALSE), VLOOKUP($A297,raw_ub[],COLUMN(AB$1)-COLUMN($A$1),FALSE))</f>
        <v>17.43083725885279</v>
      </c>
      <c r="AB297" s="70">
        <f>IF(VLOOKUP($A297,raw_ub[],COLUMN(AC$1)-COLUMN($A$1),FALSE)=0, VLOOKUP($D297, regions_ub[], COLUMN(AC$1)-COLUMN($A$1), FALSE), VLOOKUP($A297,raw_ub[],COLUMN(AC$1)-COLUMN($A$1),FALSE))</f>
        <v>22.502337258852791</v>
      </c>
      <c r="AC297" s="72">
        <f>IF(VLOOKUP($A297,raw_ub[],COLUMN(AD$1)-COLUMN($A$1),FALSE)=0, VLOOKUP($D297, regions_ub[], COLUMN(AD$1)-COLUMN($A$1), FALSE), VLOOKUP($A297,raw_ub[],COLUMN(AD$1)-COLUMN($A$1),FALSE))</f>
        <v>1.7735896500000018E-2</v>
      </c>
      <c r="AD297" s="72">
        <f>IF(VLOOKUP($A297,raw_ub[],COLUMN(AE$1)-COLUMN($A$1),FALSE)=0, VLOOKUP($D297, regions_ub[], COLUMN(AE$1)-COLUMN($A$1), FALSE), VLOOKUP($A297,raw_ub[],COLUMN(AE$1)-COLUMN($A$1),FALSE))</f>
        <v>9.2768139762210828E-4</v>
      </c>
      <c r="AE297" s="72">
        <f>IF(VLOOKUP($A297,raw_ub[],COLUMN(AF$1)-COLUMN($A$1),FALSE)=0, VLOOKUP($D297, regions_ub[], COLUMN(AF$1)-COLUMN($A$1), FALSE), VLOOKUP($A297,raw_ub[],COLUMN(AF$1)-COLUMN($A$1),FALSE))</f>
        <v>3.781989716693595E-4</v>
      </c>
      <c r="AF297" s="72">
        <f>IF(VLOOKUP($A297,raw_ub[],COLUMN(AG$1)-COLUMN($A$1),FALSE)=0, VLOOKUP($D297, regions_ub[], COLUMN(AG$1)-COLUMN($A$1), FALSE), VLOOKUP($A297,raw_ub[],COLUMN(AG$1)-COLUMN($A$1),FALSE))</f>
        <v>3.3332373083062774E-4</v>
      </c>
      <c r="AG297" s="72">
        <f>IF(VLOOKUP($A297,raw_ub[],COLUMN(AH$1)-COLUMN($A$1),FALSE)=0, VLOOKUP($D297, regions_ub[], COLUMN(AH$1)-COLUMN($A$1), FALSE), VLOOKUP($A297,raw_ub[],COLUMN(AH$1)-COLUMN($A$1),FALSE))</f>
        <v>7.5468479048945367E-4</v>
      </c>
      <c r="AH297" s="72">
        <f>IF(VLOOKUP($A297,raw_ub[],COLUMN(AI$1)-COLUMN($A$1),FALSE)=0, VLOOKUP($D297, regions_ub[], COLUMN(AI$1)-COLUMN($A$1), FALSE), VLOOKUP($A297,raw_ub[],COLUMN(AI$1)-COLUMN($A$1),FALSE))</f>
        <v>1.0366578420183954E-3</v>
      </c>
      <c r="AI297" s="72">
        <f>IF(VLOOKUP($A297,raw_ub[],COLUMN(AJ$1)-COLUMN($A$1),FALSE)=0, VLOOKUP($D297, regions_ub[], COLUMN(AJ$1)-COLUMN($A$1), FALSE), VLOOKUP($A297,raw_ub[],COLUMN(AJ$1)-COLUMN($A$1),FALSE))</f>
        <v>1.1076594719499201E-3</v>
      </c>
      <c r="AJ297" s="72">
        <f>IF(VLOOKUP($A297,raw_ub[],COLUMN(AK$1)-COLUMN($A$1),FALSE)=0, VLOOKUP($D297, regions_ub[], COLUMN(AK$1)-COLUMN($A$1), FALSE), VLOOKUP($A297,raw_ub[],COLUMN(AK$1)-COLUMN($A$1),FALSE))</f>
        <v>1.3457320779259705E-3</v>
      </c>
      <c r="AK297" s="72">
        <f>IF(VLOOKUP($A297,raw_ub[],COLUMN(AL$1)-COLUMN($A$1),FALSE)=0, VLOOKUP($D297, regions_ub[], COLUMN(AL$1)-COLUMN($A$1), FALSE), VLOOKUP($A297,raw_ub[],COLUMN(AL$1)-COLUMN($A$1),FALSE))</f>
        <v>1.8550918516530468E-3</v>
      </c>
      <c r="AL297" s="72">
        <f>IF(VLOOKUP($A297,raw_ub[],COLUMN(AM$1)-COLUMN($A$1),FALSE)=0, VLOOKUP($D297, regions_ub[], COLUMN(AM$1)-COLUMN($A$1), FALSE), VLOOKUP($A297,raw_ub[],COLUMN(AM$1)-COLUMN($A$1),FALSE))</f>
        <v>2.7635968394118392E-3</v>
      </c>
      <c r="AM297" s="72">
        <f>IF(VLOOKUP($A297,raw_ub[],COLUMN(AN$1)-COLUMN($A$1),FALSE)=0, VLOOKUP($D297, regions_ub[], COLUMN(AN$1)-COLUMN($A$1), FALSE), VLOOKUP($A297,raw_ub[],COLUMN(AN$1)-COLUMN($A$1),FALSE))</f>
        <v>4.3344899624156875E-3</v>
      </c>
      <c r="AN297" s="72">
        <f>IF(VLOOKUP($A297,raw_ub[],COLUMN(AO$1)-COLUMN($A$1),FALSE)=0, VLOOKUP($D297, regions_ub[], COLUMN(AO$1)-COLUMN($A$1), FALSE), VLOOKUP($A297,raw_ub[],COLUMN(AO$1)-COLUMN($A$1),FALSE))</f>
        <v>6.6970002931309716E-3</v>
      </c>
      <c r="AO297" s="72">
        <f>IF(VLOOKUP($A297,raw_ub[],COLUMN(AP$1)-COLUMN($A$1),FALSE)=0, VLOOKUP($D297, regions_ub[], COLUMN(AP$1)-COLUMN($A$1), FALSE), VLOOKUP($A297,raw_ub[],COLUMN(AP$1)-COLUMN($A$1),FALSE))</f>
        <v>1.0323104201258742E-2</v>
      </c>
      <c r="AP297" s="72">
        <f>IF(VLOOKUP($A297,raw_ub[],COLUMN(AQ$1)-COLUMN($A$1),FALSE)=0, VLOOKUP($D297, regions_ub[], COLUMN(AQ$1)-COLUMN($A$1), FALSE), VLOOKUP($A297,raw_ub[],COLUMN(AQ$1)-COLUMN($A$1),FALSE))</f>
        <v>1.6147851184354356E-2</v>
      </c>
      <c r="AQ297" s="72">
        <f>IF(VLOOKUP($A297,raw_ub[],COLUMN(AR$1)-COLUMN($A$1),FALSE)=0, VLOOKUP($D297, regions_ub[], COLUMN(AR$1)-COLUMN($A$1), FALSE), VLOOKUP($A297,raw_ub[],COLUMN(AR$1)-COLUMN($A$1),FALSE))</f>
        <v>2.5035453641804036E-2</v>
      </c>
      <c r="AR297" s="72">
        <f>IF(VLOOKUP($A297,raw_ub[],COLUMN(AS$1)-COLUMN($A$1),FALSE)=0, VLOOKUP($D297, regions_ub[], COLUMN(AS$1)-COLUMN($A$1), FALSE), VLOOKUP($A297,raw_ub[],COLUMN(AS$1)-COLUMN($A$1),FALSE))</f>
        <v>3.909254035086817E-2</v>
      </c>
      <c r="AS297" s="72">
        <f>IF(VLOOKUP($A297,raw_ub[],COLUMN(AT$1)-COLUMN($A$1),FALSE)=0, VLOOKUP($D297, regions_ub[], COLUMN(AT$1)-COLUMN($A$1), FALSE), VLOOKUP($A297,raw_ub[],COLUMN(AT$1)-COLUMN($A$1),FALSE))</f>
        <v>6.2418620831603926E-2</v>
      </c>
      <c r="AT297" s="82">
        <f>IF(VLOOKUP($A297,raw_ub[],COLUMN(AT$1),FALSE)=0, VLOOKUP($D297, regions_ub[], COLUMN(AT$1), FALSE), VLOOKUP($A297,raw_ub[],COLUMN(AT$1),FALSE))</f>
        <v>9.3269733517356498E-2</v>
      </c>
      <c r="AU297" s="82">
        <f>IF(VLOOKUP($A297,raw_ub[],COLUMN(AU$1),FALSE)=0, VLOOKUP($D297, regions_ub[], COLUMN(AU$1), FALSE), VLOOKUP($A297,raw_ub[],COLUMN(AU$1),FALSE))</f>
        <v>0.12583828773331848</v>
      </c>
      <c r="AV297" s="82">
        <f>IF(VLOOKUP($A297,raw_ub[],COLUMN(AV$1),FALSE)=0, VLOOKUP($D297, regions_ub[], COLUMN(AV$1), FALSE), VLOOKUP($A297,raw_ub[],COLUMN(AV$1),FALSE))</f>
        <v>0.15748170167518319</v>
      </c>
      <c r="AW297" s="82">
        <f>IF(VLOOKUP($A297,raw_ub[],COLUMN(AW$1),FALSE)=0, VLOOKUP($D297, regions_ub[], COLUMN(AW$1), FALSE), VLOOKUP($A297,raw_ub[],COLUMN(AW$1),FALSE))</f>
        <v>0.18143750367165246</v>
      </c>
      <c r="AX297" s="82">
        <f>IF(VLOOKUP($A297,raw_ub[],COLUMN(AX$1),FALSE)=0, VLOOKUP($D297, regions_ub[], COLUMN(AX$1), FALSE), VLOOKUP($A297,raw_ub[],COLUMN(AX$1),FALSE))</f>
        <v>76.338150000000013</v>
      </c>
      <c r="AY297" t="str">
        <f t="shared" si="10"/>
        <v>No</v>
      </c>
    </row>
    <row r="298" spans="1:51" x14ac:dyDescent="0.25">
      <c r="A298" s="53" t="s">
        <v>258</v>
      </c>
      <c r="B298" s="54" t="s">
        <v>259</v>
      </c>
      <c r="C298" s="54">
        <v>116</v>
      </c>
      <c r="D298" s="54" t="s">
        <v>260</v>
      </c>
      <c r="E298" s="54" t="s">
        <v>261</v>
      </c>
      <c r="F298" s="54" t="s">
        <v>262</v>
      </c>
      <c r="G298" s="54" t="s">
        <v>212</v>
      </c>
      <c r="H298" s="73"/>
      <c r="I298" s="73"/>
      <c r="J298" s="67">
        <f>IF(VLOOKUP($A298,raw_ub[],COLUMN(J$1),FALSE)=0, VLOOKUP($D298, regions_ub[], COLUMN(J$1), FALSE), VLOOKUP($A298,raw_ub[],COLUMN(J$1),FALSE))</f>
        <v>0.87360000000000015</v>
      </c>
      <c r="K298" s="77">
        <f>VLOOKUP($A298, raw_ub[], 11, FALSE)</f>
        <v>0.98699999999999999</v>
      </c>
      <c r="L298" s="77">
        <f>VLOOKUP($A298, raw_ub[], 12, FALSE)</f>
        <v>0.96600000000000008</v>
      </c>
      <c r="M298" s="77">
        <f>IF(VLOOKUP($A298,raw_ub[],COLUMN(M$1),FALSE)=0, VLOOKUP($D298, regions_ub[], COLUMN(M$1), FALSE), VLOOKUP($A298,raw_ub[],COLUMN(M$1),FALSE))</f>
        <v>4.7E-2</v>
      </c>
      <c r="N298" s="68">
        <f>IF(VLOOKUP($A298,raw_ub[],COLUMN(N$1),FALSE)=0, VLOOKUP($D298, regions_ub[], COLUMN(N$1), FALSE), VLOOKUP($A298,raw_ub[],COLUMN(N$1),FALSE))</f>
        <v>0.47729999999999995</v>
      </c>
      <c r="O298" s="67">
        <f>IF(VLOOKUP($A298,raw_ub[],COLUMN(O$1),FALSE)=0, VLOOKUP($D298, regions_ub[], COLUMN(O$1), FALSE), VLOOKUP($A298,raw_ub[],COLUMN(O$1),FALSE))</f>
        <v>0.9</v>
      </c>
      <c r="P298" s="68">
        <f>IF(VLOOKUP($A298,raw_ub[],COLUMN(P$1),FALSE)=0, VLOOKUP($D298, regions_ub[], COLUMN(P$1), FALSE), VLOOKUP($A298,raw_ub[],COLUMN(P$1),FALSE))</f>
        <v>0.3</v>
      </c>
      <c r="Q298" s="70">
        <f>IF(VLOOKUP($A298,raw_ub[],COLUMN(Q$1),FALSE)=0, VLOOKUP($D298, regions_ub[], COLUMN(Q$1), FALSE), VLOOKUP($A298,raw_ub[],COLUMN(Q$1),FALSE))</f>
        <v>7.8997698151950697</v>
      </c>
      <c r="R298" s="70">
        <f>IF(VLOOKUP($A298,raw_ub[],COLUMN(R$1),FALSE)=0, VLOOKUP($D298, regions_ub[], COLUMN(R$1), FALSE), VLOOKUP($A298,raw_ub[],COLUMN(R$1),FALSE))</f>
        <v>116.88556981519508</v>
      </c>
      <c r="S298" s="70">
        <f>IF(VLOOKUP($A298,raw_ub[],COLUMN(S$1),FALSE)=0, VLOOKUP($D298, regions_ub[], COLUMN(S$1), FALSE), VLOOKUP($A298,raw_ub[],COLUMN(S$1),FALSE))</f>
        <v>150.57617633416794</v>
      </c>
      <c r="T298" s="70">
        <f>IF(VLOOKUP($A298,raw_ub[],COLUMN(U$1)-COLUMN($A$1),FALSE)=0, VLOOKUP($D298, regions_ub[], COLUMN(U$1)-COLUMN($A$1), FALSE), VLOOKUP($A298,raw_ub[],COLUMN(U$1)-COLUMN($A$1),FALSE))</f>
        <v>152.90297077446556</v>
      </c>
      <c r="U298" s="70">
        <f>IF(VLOOKUP($A298,raw_ub[],COLUMN(V$1)-COLUMN($A$1),FALSE)=0, VLOOKUP($D298, regions_ub[], COLUMN(V$1)-COLUMN($A$1), FALSE), VLOOKUP($A298,raw_ub[],COLUMN(V$1)-COLUMN($A$1),FALSE))</f>
        <v>151.83455594964977</v>
      </c>
      <c r="V298" s="70">
        <f>IF(VLOOKUP($A298,raw_ub[],COLUMN(W$1)-COLUMN($A$1),FALSE)=0, VLOOKUP($D298, regions_ub[], COLUMN(W$1)-COLUMN($A$1), FALSE), VLOOKUP($A298,raw_ub[],COLUMN(W$1)-COLUMN($A$1),FALSE))</f>
        <v>5.561991549151692</v>
      </c>
      <c r="W298" s="70">
        <f>IF(VLOOKUP($A298,raw_ub[],COLUMN(X$1)-COLUMN($A$1),FALSE)=0, VLOOKUP($D298, regions_ub[], COLUMN(X$1)-COLUMN($A$1), FALSE), VLOOKUP($A298,raw_ub[],COLUMN(X$1)-COLUMN($A$1),FALSE))</f>
        <v>6.2234915491516922</v>
      </c>
      <c r="X298" s="70">
        <f>IF(VLOOKUP($A298,raw_ub[],COLUMN(Y$1)-COLUMN($A$1),FALSE)=0, VLOOKUP($D298, regions_ub[], COLUMN(Y$1)-COLUMN($A$1), FALSE), VLOOKUP($A298,raw_ub[],COLUMN(Y$1)-COLUMN($A$1),FALSE))</f>
        <v>5.5449680271181752</v>
      </c>
      <c r="Y298" s="70">
        <f>IF(VLOOKUP($A298,raw_ub[],COLUMN(Z$1)-COLUMN($A$1),FALSE)=0, VLOOKUP($D298, regions_ub[], COLUMN(Z$1)-COLUMN($A$1), FALSE), VLOOKUP($A298,raw_ub[],COLUMN(Z$1)-COLUMN($A$1),FALSE))</f>
        <v>6.2064680271181754</v>
      </c>
      <c r="Z298" s="70">
        <f>IF(VLOOKUP($A298,raw_ub[],COLUMN(AA$1)-COLUMN($A$1),FALSE)=0, VLOOKUP($D298, regions_ub[], COLUMN(AA$1)-COLUMN($A$1), FALSE), VLOOKUP($A298,raw_ub[],COLUMN(AA$1)-COLUMN($A$1),FALSE))</f>
        <v>6.1969505870931325</v>
      </c>
      <c r="AA298" s="70">
        <f>IF(VLOOKUP($A298,raw_ub[],COLUMN(AB$1)-COLUMN($A$1),FALSE)=0, VLOOKUP($D298, regions_ub[], COLUMN(AB$1)-COLUMN($A$1), FALSE), VLOOKUP($A298,raw_ub[],COLUMN(AB$1)-COLUMN($A$1),FALSE))</f>
        <v>5.5659200542363498</v>
      </c>
      <c r="AB298" s="70">
        <f>IF(VLOOKUP($A298,raw_ub[],COLUMN(AC$1)-COLUMN($A$1),FALSE)=0, VLOOKUP($D298, regions_ub[], COLUMN(AC$1)-COLUMN($A$1), FALSE), VLOOKUP($A298,raw_ub[],COLUMN(AC$1)-COLUMN($A$1),FALSE))</f>
        <v>6.22742005423635</v>
      </c>
      <c r="AC298" s="72">
        <f>IF(VLOOKUP($A298,raw_ub[],COLUMN(AD$1)-COLUMN($A$1),FALSE)=0, VLOOKUP($D298, regions_ub[], COLUMN(AD$1)-COLUMN($A$1), FALSE), VLOOKUP($A298,raw_ub[],COLUMN(AD$1)-COLUMN($A$1),FALSE))</f>
        <v>2.4961555499999972E-2</v>
      </c>
      <c r="AD298" s="72">
        <f>IF(VLOOKUP($A298,raw_ub[],COLUMN(AE$1)-COLUMN($A$1),FALSE)=0, VLOOKUP($D298, regions_ub[], COLUMN(AE$1)-COLUMN($A$1), FALSE), VLOOKUP($A298,raw_ub[],COLUMN(AE$1)-COLUMN($A$1),FALSE))</f>
        <v>1.0229525591222857E-3</v>
      </c>
      <c r="AE298" s="72">
        <f>IF(VLOOKUP($A298,raw_ub[],COLUMN(AF$1)-COLUMN($A$1),FALSE)=0, VLOOKUP($D298, regions_ub[], COLUMN(AF$1)-COLUMN($A$1), FALSE), VLOOKUP($A298,raw_ub[],COLUMN(AF$1)-COLUMN($A$1),FALSE))</f>
        <v>1.7553334338314603E-3</v>
      </c>
      <c r="AF298" s="72">
        <f>IF(VLOOKUP($A298,raw_ub[],COLUMN(AG$1)-COLUMN($A$1),FALSE)=0, VLOOKUP($D298, regions_ub[], COLUMN(AG$1)-COLUMN($A$1), FALSE), VLOOKUP($A298,raw_ub[],COLUMN(AG$1)-COLUMN($A$1),FALSE))</f>
        <v>1.2541467749662078E-3</v>
      </c>
      <c r="AG298" s="72">
        <f>IF(VLOOKUP($A298,raw_ub[],COLUMN(AH$1)-COLUMN($A$1),FALSE)=0, VLOOKUP($D298, regions_ub[], COLUMN(AH$1)-COLUMN($A$1), FALSE), VLOOKUP($A298,raw_ub[],COLUMN(AH$1)-COLUMN($A$1),FALSE))</f>
        <v>1.1647917199032627E-3</v>
      </c>
      <c r="AH298" s="72">
        <f>IF(VLOOKUP($A298,raw_ub[],COLUMN(AI$1)-COLUMN($A$1),FALSE)=0, VLOOKUP($D298, regions_ub[], COLUMN(AI$1)-COLUMN($A$1), FALSE), VLOOKUP($A298,raw_ub[],COLUMN(AI$1)-COLUMN($A$1),FALSE))</f>
        <v>1.4038920457126404E-3</v>
      </c>
      <c r="AI298" s="72">
        <f>IF(VLOOKUP($A298,raw_ub[],COLUMN(AJ$1)-COLUMN($A$1),FALSE)=0, VLOOKUP($D298, regions_ub[], COLUMN(AJ$1)-COLUMN($A$1), FALSE), VLOOKUP($A298,raw_ub[],COLUMN(AJ$1)-COLUMN($A$1),FALSE))</f>
        <v>1.9189835785008199E-3</v>
      </c>
      <c r="AJ298" s="72">
        <f>IF(VLOOKUP($A298,raw_ub[],COLUMN(AK$1)-COLUMN($A$1),FALSE)=0, VLOOKUP($D298, regions_ub[], COLUMN(AK$1)-COLUMN($A$1), FALSE), VLOOKUP($A298,raw_ub[],COLUMN(AK$1)-COLUMN($A$1),FALSE))</f>
        <v>2.5220097807888949E-3</v>
      </c>
      <c r="AK298" s="72">
        <f>IF(VLOOKUP($A298,raw_ub[],COLUMN(AL$1)-COLUMN($A$1),FALSE)=0, VLOOKUP($D298, regions_ub[], COLUMN(AL$1)-COLUMN($A$1), FALSE), VLOOKUP($A298,raw_ub[],COLUMN(AL$1)-COLUMN($A$1),FALSE))</f>
        <v>3.3237735724482029E-3</v>
      </c>
      <c r="AL298" s="72">
        <f>IF(VLOOKUP($A298,raw_ub[],COLUMN(AM$1)-COLUMN($A$1),FALSE)=0, VLOOKUP($D298, regions_ub[], COLUMN(AM$1)-COLUMN($A$1), FALSE), VLOOKUP($A298,raw_ub[],COLUMN(AM$1)-COLUMN($A$1),FALSE))</f>
        <v>4.2703669963175513E-3</v>
      </c>
      <c r="AM298" s="72">
        <f>IF(VLOOKUP($A298,raw_ub[],COLUMN(AN$1)-COLUMN($A$1),FALSE)=0, VLOOKUP($D298, regions_ub[], COLUMN(AN$1)-COLUMN($A$1), FALSE), VLOOKUP($A298,raw_ub[],COLUMN(AN$1)-COLUMN($A$1),FALSE))</f>
        <v>5.3704395952840029E-3</v>
      </c>
      <c r="AN298" s="72">
        <f>IF(VLOOKUP($A298,raw_ub[],COLUMN(AO$1)-COLUMN($A$1),FALSE)=0, VLOOKUP($D298, regions_ub[], COLUMN(AO$1)-COLUMN($A$1), FALSE), VLOOKUP($A298,raw_ub[],COLUMN(AO$1)-COLUMN($A$1),FALSE))</f>
        <v>6.9920532700676382E-3</v>
      </c>
      <c r="AO298" s="72">
        <f>IF(VLOOKUP($A298,raw_ub[],COLUMN(AP$1)-COLUMN($A$1),FALSE)=0, VLOOKUP($D298, regions_ub[], COLUMN(AP$1)-COLUMN($A$1), FALSE), VLOOKUP($A298,raw_ub[],COLUMN(AP$1)-COLUMN($A$1),FALSE))</f>
        <v>1.0775541003426169E-2</v>
      </c>
      <c r="AP298" s="72">
        <f>IF(VLOOKUP($A298,raw_ub[],COLUMN(AQ$1)-COLUMN($A$1),FALSE)=0, VLOOKUP($D298, regions_ub[], COLUMN(AQ$1)-COLUMN($A$1), FALSE), VLOOKUP($A298,raw_ub[],COLUMN(AQ$1)-COLUMN($A$1),FALSE))</f>
        <v>1.8801073907392486E-2</v>
      </c>
      <c r="AQ298" s="72">
        <f>IF(VLOOKUP($A298,raw_ub[],COLUMN(AR$1)-COLUMN($A$1),FALSE)=0, VLOOKUP($D298, regions_ub[], COLUMN(AR$1)-COLUMN($A$1), FALSE), VLOOKUP($A298,raw_ub[],COLUMN(AR$1)-COLUMN($A$1),FALSE))</f>
        <v>2.9328665814697195E-2</v>
      </c>
      <c r="AR298" s="72">
        <f>IF(VLOOKUP($A298,raw_ub[],COLUMN(AS$1)-COLUMN($A$1),FALSE)=0, VLOOKUP($D298, regions_ub[], COLUMN(AS$1)-COLUMN($A$1), FALSE), VLOOKUP($A298,raw_ub[],COLUMN(AS$1)-COLUMN($A$1),FALSE))</f>
        <v>4.6612550918735951E-2</v>
      </c>
      <c r="AS298" s="72">
        <f>IF(VLOOKUP($A298,raw_ub[],COLUMN(AT$1)-COLUMN($A$1),FALSE)=0, VLOOKUP($D298, regions_ub[], COLUMN(AT$1)-COLUMN($A$1), FALSE), VLOOKUP($A298,raw_ub[],COLUMN(AT$1)-COLUMN($A$1),FALSE))</f>
        <v>7.1124619154067065E-2</v>
      </c>
      <c r="AT298" s="82">
        <f>IF(VLOOKUP($A298,raw_ub[],COLUMN(AT$1),FALSE)=0, VLOOKUP($D298, regions_ub[], COLUMN(AT$1), FALSE), VLOOKUP($A298,raw_ub[],COLUMN(AT$1),FALSE))</f>
        <v>0.10066675147932852</v>
      </c>
      <c r="AU298" s="82">
        <f>IF(VLOOKUP($A298,raw_ub[],COLUMN(AU$1),FALSE)=0, VLOOKUP($D298, regions_ub[], COLUMN(AU$1), FALSE), VLOOKUP($A298,raw_ub[],COLUMN(AU$1),FALSE))</f>
        <v>0.13189716305602933</v>
      </c>
      <c r="AV298" s="82">
        <f>IF(VLOOKUP($A298,raw_ub[],COLUMN(AV$1),FALSE)=0, VLOOKUP($D298, regions_ub[], COLUMN(AV$1), FALSE), VLOOKUP($A298,raw_ub[],COLUMN(AV$1),FALSE))</f>
        <v>0.1605697004984446</v>
      </c>
      <c r="AW298" s="82">
        <f>IF(VLOOKUP($A298,raw_ub[],COLUMN(AW$1),FALSE)=0, VLOOKUP($D298, regions_ub[], COLUMN(AW$1), FALSE), VLOOKUP($A298,raw_ub[],COLUMN(AW$1),FALSE))</f>
        <v>0.18662583802874358</v>
      </c>
      <c r="AX298" s="82">
        <f>IF(VLOOKUP($A298,raw_ub[],COLUMN(AX$1),FALSE)=0, VLOOKUP($D298, regions_ub[], COLUMN(AX$1), FALSE), VLOOKUP($A298,raw_ub[],COLUMN(AX$1),FALSE))</f>
        <v>72.906750000000002</v>
      </c>
      <c r="AY298" t="str">
        <f t="shared" si="10"/>
        <v>No</v>
      </c>
    </row>
    <row r="299" spans="1:51" x14ac:dyDescent="0.25">
      <c r="A299" s="55" t="s">
        <v>263</v>
      </c>
      <c r="B299" s="56" t="s">
        <v>264</v>
      </c>
      <c r="C299" s="56">
        <v>120</v>
      </c>
      <c r="D299" s="56" t="s">
        <v>207</v>
      </c>
      <c r="E299" s="56" t="s">
        <v>235</v>
      </c>
      <c r="F299" s="56" t="s">
        <v>211</v>
      </c>
      <c r="G299" s="56" t="s">
        <v>212</v>
      </c>
      <c r="H299" s="74"/>
      <c r="I299" s="74"/>
      <c r="J299" s="67">
        <f>IF(VLOOKUP($A299,raw_ub[],COLUMN(J$1),FALSE)=0, VLOOKUP($D299, regions_ub[], COLUMN(J$1), FALSE), VLOOKUP($A299,raw_ub[],COLUMN(J$1),FALSE))</f>
        <v>0.70350000000000013</v>
      </c>
      <c r="K299" s="77">
        <f>VLOOKUP($A299, raw_ub[], 11, FALSE)</f>
        <v>0</v>
      </c>
      <c r="L299" s="77">
        <f>VLOOKUP($A299, raw_ub[], 12, FALSE)</f>
        <v>0.72449999999999992</v>
      </c>
      <c r="M299" s="77">
        <f>IF(VLOOKUP($A299,raw_ub[],COLUMN(M$1),FALSE)=0, VLOOKUP($D299, regions_ub[], COLUMN(M$1), FALSE), VLOOKUP($A299,raw_ub[],COLUMN(M$1),FALSE))</f>
        <v>7.2599999999999998E-2</v>
      </c>
      <c r="N299" s="68">
        <f>IF(VLOOKUP($A299,raw_ub[],COLUMN(N$1),FALSE)=0, VLOOKUP($D299, regions_ub[], COLUMN(N$1), FALSE), VLOOKUP($A299,raw_ub[],COLUMN(N$1),FALSE))</f>
        <v>0.41070000000000001</v>
      </c>
      <c r="O299" s="67">
        <f>IF(VLOOKUP($A299,raw_ub[],COLUMN(O$1),FALSE)=0, VLOOKUP($D299, regions_ub[], COLUMN(O$1), FALSE), VLOOKUP($A299,raw_ub[],COLUMN(O$1),FALSE))</f>
        <v>0.74399999999999999</v>
      </c>
      <c r="P299" s="68">
        <f>IF(VLOOKUP($A299,raw_ub[],COLUMN(P$1),FALSE)=0, VLOOKUP($D299, regions_ub[], COLUMN(P$1), FALSE), VLOOKUP($A299,raw_ub[],COLUMN(P$1),FALSE))</f>
        <v>0.13300000000000001</v>
      </c>
      <c r="Q299" s="70">
        <f>IF(VLOOKUP($A299,raw_ub[],COLUMN(Q$1),FALSE)=0, VLOOKUP($D299, regions_ub[], COLUMN(Q$1), FALSE), VLOOKUP($A299,raw_ub[],COLUMN(Q$1),FALSE))</f>
        <v>9.6486189602446508</v>
      </c>
      <c r="R299" s="70">
        <f>IF(VLOOKUP($A299,raw_ub[],COLUMN(R$1),FALSE)=0, VLOOKUP($D299, regions_ub[], COLUMN(R$1), FALSE), VLOOKUP($A299,raw_ub[],COLUMN(R$1),FALSE))</f>
        <v>118.63441896024466</v>
      </c>
      <c r="S299" s="70">
        <f>IF(VLOOKUP($A299,raw_ub[],COLUMN(S$1),FALSE)=0, VLOOKUP($D299, regions_ub[], COLUMN(S$1), FALSE), VLOOKUP($A299,raw_ub[],COLUMN(S$1),FALSE))</f>
        <v>153.89788812560084</v>
      </c>
      <c r="T299" s="70">
        <f>IF(VLOOKUP($A299,raw_ub[],COLUMN(U$1)-COLUMN($A$1),FALSE)=0, VLOOKUP($D299, regions_ub[], COLUMN(U$1)-COLUMN($A$1), FALSE), VLOOKUP($A299,raw_ub[],COLUMN(U$1)-COLUMN($A$1),FALSE))</f>
        <v>157.0433025999867</v>
      </c>
      <c r="U299" s="70">
        <f>IF(VLOOKUP($A299,raw_ub[],COLUMN(V$1)-COLUMN($A$1),FALSE)=0, VLOOKUP($D299, regions_ub[], COLUMN(V$1)-COLUMN($A$1), FALSE), VLOOKUP($A299,raw_ub[],COLUMN(V$1)-COLUMN($A$1),FALSE))</f>
        <v>155.59899475894076</v>
      </c>
      <c r="V299" s="70">
        <f>IF(VLOOKUP($A299,raw_ub[],COLUMN(W$1)-COLUMN($A$1),FALSE)=0, VLOOKUP($D299, regions_ub[], COLUMN(W$1)-COLUMN($A$1), FALSE), VLOOKUP($A299,raw_ub[],COLUMN(W$1)-COLUMN($A$1),FALSE))</f>
        <v>3.7638419350753964</v>
      </c>
      <c r="W299" s="70">
        <f>IF(VLOOKUP($A299,raw_ub[],COLUMN(X$1)-COLUMN($A$1),FALSE)=0, VLOOKUP($D299, regions_ub[], COLUMN(X$1)-COLUMN($A$1), FALSE), VLOOKUP($A299,raw_ub[],COLUMN(X$1)-COLUMN($A$1),FALSE))</f>
        <v>8.8353419350753963</v>
      </c>
      <c r="X299" s="70">
        <f>IF(VLOOKUP($A299,raw_ub[],COLUMN(Y$1)-COLUMN($A$1),FALSE)=0, VLOOKUP($D299, regions_ub[], COLUMN(Y$1)-COLUMN($A$1), FALSE), VLOOKUP($A299,raw_ub[],COLUMN(Y$1)-COLUMN($A$1),FALSE))</f>
        <v>3.7443975503864255</v>
      </c>
      <c r="Y299" s="70">
        <f>IF(VLOOKUP($A299,raw_ub[],COLUMN(Z$1)-COLUMN($A$1),FALSE)=0, VLOOKUP($D299, regions_ub[], COLUMN(Z$1)-COLUMN($A$1), FALSE), VLOOKUP($A299,raw_ub[],COLUMN(Z$1)-COLUMN($A$1),FALSE))</f>
        <v>8.8158975503864259</v>
      </c>
      <c r="Z299" s="70">
        <f>IF(VLOOKUP($A299,raw_ub[],COLUMN(AA$1)-COLUMN($A$1),FALSE)=0, VLOOKUP($D299, regions_ub[], COLUMN(AA$1)-COLUMN($A$1), FALSE), VLOOKUP($A299,raw_ub[],COLUMN(AA$1)-COLUMN($A$1),FALSE))</f>
        <v>8.8033521497653915</v>
      </c>
      <c r="AA299" s="70">
        <f>IF(VLOOKUP($A299,raw_ub[],COLUMN(AB$1)-COLUMN($A$1),FALSE)=0, VLOOKUP($D299, regions_ub[], COLUMN(AB$1)-COLUMN($A$1), FALSE), VLOOKUP($A299,raw_ub[],COLUMN(AB$1)-COLUMN($A$1),FALSE))</f>
        <v>3.7683291007728514</v>
      </c>
      <c r="AB299" s="70">
        <f>IF(VLOOKUP($A299,raw_ub[],COLUMN(AC$1)-COLUMN($A$1),FALSE)=0, VLOOKUP($D299, regions_ub[], COLUMN(AC$1)-COLUMN($A$1), FALSE), VLOOKUP($A299,raw_ub[],COLUMN(AC$1)-COLUMN($A$1),FALSE))</f>
        <v>8.8398291007728513</v>
      </c>
      <c r="AC299" s="72">
        <f>IF(VLOOKUP($A299,raw_ub[],COLUMN(AD$1)-COLUMN($A$1),FALSE)=0, VLOOKUP($D299, regions_ub[], COLUMN(AD$1)-COLUMN($A$1), FALSE), VLOOKUP($A299,raw_ub[],COLUMN(AD$1)-COLUMN($A$1),FALSE))</f>
        <v>6.4254130500000062E-2</v>
      </c>
      <c r="AD299" s="72">
        <f>IF(VLOOKUP($A299,raw_ub[],COLUMN(AE$1)-COLUMN($A$1),FALSE)=0, VLOOKUP($D299, regions_ub[], COLUMN(AE$1)-COLUMN($A$1), FALSE), VLOOKUP($A299,raw_ub[],COLUMN(AE$1)-COLUMN($A$1),FALSE))</f>
        <v>7.5785071486419277E-3</v>
      </c>
      <c r="AE299" s="72">
        <f>IF(VLOOKUP($A299,raw_ub[],COLUMN(AF$1)-COLUMN($A$1),FALSE)=0, VLOOKUP($D299, regions_ub[], COLUMN(AF$1)-COLUMN($A$1), FALSE), VLOOKUP($A299,raw_ub[],COLUMN(AF$1)-COLUMN($A$1),FALSE))</f>
        <v>2.7589366391510776E-3</v>
      </c>
      <c r="AF299" s="72">
        <f>IF(VLOOKUP($A299,raw_ub[],COLUMN(AG$1)-COLUMN($A$1),FALSE)=0, VLOOKUP($D299, regions_ub[], COLUMN(AG$1)-COLUMN($A$1), FALSE), VLOOKUP($A299,raw_ub[],COLUMN(AG$1)-COLUMN($A$1),FALSE))</f>
        <v>1.8820907365986214E-3</v>
      </c>
      <c r="AG299" s="72">
        <f>IF(VLOOKUP($A299,raw_ub[],COLUMN(AH$1)-COLUMN($A$1),FALSE)=0, VLOOKUP($D299, regions_ub[], COLUMN(AH$1)-COLUMN($A$1), FALSE), VLOOKUP($A299,raw_ub[],COLUMN(AH$1)-COLUMN($A$1),FALSE))</f>
        <v>2.8086797886576744E-3</v>
      </c>
      <c r="AH299" s="72">
        <f>IF(VLOOKUP($A299,raw_ub[],COLUMN(AI$1)-COLUMN($A$1),FALSE)=0, VLOOKUP($D299, regions_ub[], COLUMN(AI$1)-COLUMN($A$1), FALSE), VLOOKUP($A299,raw_ub[],COLUMN(AI$1)-COLUMN($A$1),FALSE))</f>
        <v>4.0332490670256143E-3</v>
      </c>
      <c r="AI299" s="72">
        <f>IF(VLOOKUP($A299,raw_ub[],COLUMN(AJ$1)-COLUMN($A$1),FALSE)=0, VLOOKUP($D299, regions_ub[], COLUMN(AJ$1)-COLUMN($A$1), FALSE), VLOOKUP($A299,raw_ub[],COLUMN(AJ$1)-COLUMN($A$1),FALSE))</f>
        <v>4.7856244543156568E-3</v>
      </c>
      <c r="AJ299" s="72">
        <f>IF(VLOOKUP($A299,raw_ub[],COLUMN(AK$1)-COLUMN($A$1),FALSE)=0, VLOOKUP($D299, regions_ub[], COLUMN(AK$1)-COLUMN($A$1), FALSE), VLOOKUP($A299,raw_ub[],COLUMN(AK$1)-COLUMN($A$1),FALSE))</f>
        <v>5.6243568510979253E-3</v>
      </c>
      <c r="AK299" s="72">
        <f>IF(VLOOKUP($A299,raw_ub[],COLUMN(AL$1)-COLUMN($A$1),FALSE)=0, VLOOKUP($D299, regions_ub[], COLUMN(AL$1)-COLUMN($A$1), FALSE), VLOOKUP($A299,raw_ub[],COLUMN(AL$1)-COLUMN($A$1),FALSE))</f>
        <v>6.8096072892051118E-3</v>
      </c>
      <c r="AL299" s="72">
        <f>IF(VLOOKUP($A299,raw_ub[],COLUMN(AM$1)-COLUMN($A$1),FALSE)=0, VLOOKUP($D299, regions_ub[], COLUMN(AM$1)-COLUMN($A$1), FALSE), VLOOKUP($A299,raw_ub[],COLUMN(AM$1)-COLUMN($A$1),FALSE))</f>
        <v>8.3241175940499037E-3</v>
      </c>
      <c r="AM299" s="72">
        <f>IF(VLOOKUP($A299,raw_ub[],COLUMN(AN$1)-COLUMN($A$1),FALSE)=0, VLOOKUP($D299, regions_ub[], COLUMN(AN$1)-COLUMN($A$1), FALSE), VLOOKUP($A299,raw_ub[],COLUMN(AN$1)-COLUMN($A$1),FALSE))</f>
        <v>1.0103526164107221E-2</v>
      </c>
      <c r="AN299" s="72">
        <f>IF(VLOOKUP($A299,raw_ub[],COLUMN(AO$1)-COLUMN($A$1),FALSE)=0, VLOOKUP($D299, regions_ub[], COLUMN(AO$1)-COLUMN($A$1), FALSE), VLOOKUP($A299,raw_ub[],COLUMN(AO$1)-COLUMN($A$1),FALSE))</f>
        <v>1.3632963157637833E-2</v>
      </c>
      <c r="AO299" s="72">
        <f>IF(VLOOKUP($A299,raw_ub[],COLUMN(AP$1)-COLUMN($A$1),FALSE)=0, VLOOKUP($D299, regions_ub[], COLUMN(AP$1)-COLUMN($A$1), FALSE), VLOOKUP($A299,raw_ub[],COLUMN(AP$1)-COLUMN($A$1),FALSE))</f>
        <v>1.7775661953574207E-2</v>
      </c>
      <c r="AP299" s="72">
        <f>IF(VLOOKUP($A299,raw_ub[],COLUMN(AQ$1)-COLUMN($A$1),FALSE)=0, VLOOKUP($D299, regions_ub[], COLUMN(AQ$1)-COLUMN($A$1), FALSE), VLOOKUP($A299,raw_ub[],COLUMN(AQ$1)-COLUMN($A$1),FALSE))</f>
        <v>2.5868940777707287E-2</v>
      </c>
      <c r="AQ299" s="72">
        <f>IF(VLOOKUP($A299,raw_ub[],COLUMN(AR$1)-COLUMN($A$1),FALSE)=0, VLOOKUP($D299, regions_ub[], COLUMN(AR$1)-COLUMN($A$1), FALSE), VLOOKUP($A299,raw_ub[],COLUMN(AR$1)-COLUMN($A$1),FALSE))</f>
        <v>3.8716838558161298E-2</v>
      </c>
      <c r="AR299" s="72">
        <f>IF(VLOOKUP($A299,raw_ub[],COLUMN(AS$1)-COLUMN($A$1),FALSE)=0, VLOOKUP($D299, regions_ub[], COLUMN(AS$1)-COLUMN($A$1), FALSE), VLOOKUP($A299,raw_ub[],COLUMN(AS$1)-COLUMN($A$1),FALSE))</f>
        <v>5.8547125256770555E-2</v>
      </c>
      <c r="AS299" s="72">
        <f>IF(VLOOKUP($A299,raw_ub[],COLUMN(AT$1)-COLUMN($A$1),FALSE)=0, VLOOKUP($D299, regions_ub[], COLUMN(AT$1)-COLUMN($A$1), FALSE), VLOOKUP($A299,raw_ub[],COLUMN(AT$1)-COLUMN($A$1),FALSE))</f>
        <v>8.6739916452669805E-2</v>
      </c>
      <c r="AT299" s="82">
        <f>IF(VLOOKUP($A299,raw_ub[],COLUMN(AT$1),FALSE)=0, VLOOKUP($D299, regions_ub[], COLUMN(AT$1), FALSE), VLOOKUP($A299,raw_ub[],COLUMN(AT$1),FALSE))</f>
        <v>0.12472593538660115</v>
      </c>
      <c r="AU299" s="82">
        <f>IF(VLOOKUP($A299,raw_ub[],COLUMN(AU$1),FALSE)=0, VLOOKUP($D299, regions_ub[], COLUMN(AU$1), FALSE), VLOOKUP($A299,raw_ub[],COLUMN(AU$1),FALSE))</f>
        <v>0.16459225712055983</v>
      </c>
      <c r="AV299" s="82">
        <f>IF(VLOOKUP($A299,raw_ub[],COLUMN(AV$1),FALSE)=0, VLOOKUP($D299, regions_ub[], COLUMN(AV$1), FALSE), VLOOKUP($A299,raw_ub[],COLUMN(AV$1),FALSE))</f>
        <v>0.19306388000483238</v>
      </c>
      <c r="AW299" s="82">
        <f>IF(VLOOKUP($A299,raw_ub[],COLUMN(AW$1),FALSE)=0, VLOOKUP($D299, regions_ub[], COLUMN(AW$1), FALSE), VLOOKUP($A299,raw_ub[],COLUMN(AW$1),FALSE))</f>
        <v>0.19944893621190976</v>
      </c>
      <c r="AX299" s="82">
        <f>IF(VLOOKUP($A299,raw_ub[],COLUMN(AX$1),FALSE)=0, VLOOKUP($D299, regions_ub[], COLUMN(AX$1), FALSE), VLOOKUP($A299,raw_ub[],COLUMN(AX$1),FALSE))</f>
        <v>61.710599999999999</v>
      </c>
      <c r="AY299" t="str">
        <f t="shared" si="10"/>
        <v>Yes</v>
      </c>
    </row>
    <row r="300" spans="1:51" x14ac:dyDescent="0.25">
      <c r="A300" s="53" t="s">
        <v>265</v>
      </c>
      <c r="B300" s="54" t="s">
        <v>266</v>
      </c>
      <c r="C300" s="54">
        <v>140</v>
      </c>
      <c r="D300" s="54" t="s">
        <v>207</v>
      </c>
      <c r="E300" s="54" t="s">
        <v>210</v>
      </c>
      <c r="F300" s="54" t="s">
        <v>211</v>
      </c>
      <c r="G300" s="54" t="s">
        <v>198</v>
      </c>
      <c r="H300" s="73"/>
      <c r="I300" s="73"/>
      <c r="J300" s="67">
        <f>IF(VLOOKUP($A300,raw_ub[],COLUMN(J$1),FALSE)=0, VLOOKUP($D300, regions_ub[], COLUMN(J$1), FALSE), VLOOKUP($A300,raw_ub[],COLUMN(J$1),FALSE))</f>
        <v>0.55125000000000002</v>
      </c>
      <c r="K300" s="77">
        <f>VLOOKUP($A300, raw_ub[], 11, FALSE)</f>
        <v>0</v>
      </c>
      <c r="L300" s="77">
        <f>VLOOKUP($A300, raw_ub[], 12, FALSE)</f>
        <v>0.441</v>
      </c>
      <c r="M300" s="77">
        <f>IF(VLOOKUP($A300,raw_ub[],COLUMN(M$1),FALSE)=0, VLOOKUP($D300, regions_ub[], COLUMN(M$1), FALSE), VLOOKUP($A300,raw_ub[],COLUMN(M$1),FALSE))</f>
        <v>8.6599999999999996E-2</v>
      </c>
      <c r="N300" s="68">
        <f>IF(VLOOKUP($A300,raw_ub[],COLUMN(N$1),FALSE)=0, VLOOKUP($D300, regions_ub[], COLUMN(N$1), FALSE), VLOOKUP($A300,raw_ub[],COLUMN(N$1),FALSE))</f>
        <v>0.40200000000000002</v>
      </c>
      <c r="O300" s="67">
        <f>IF(VLOOKUP($A300,raw_ub[],COLUMN(O$1),FALSE)=0, VLOOKUP($D300, regions_ub[], COLUMN(O$1), FALSE), VLOOKUP($A300,raw_ub[],COLUMN(O$1),FALSE))</f>
        <v>0.74399999999999999</v>
      </c>
      <c r="P300" s="68">
        <f>IF(VLOOKUP($A300,raw_ub[],COLUMN(P$1),FALSE)=0, VLOOKUP($D300, regions_ub[], COLUMN(P$1), FALSE), VLOOKUP($A300,raw_ub[],COLUMN(P$1),FALSE))</f>
        <v>0.13300000000000001</v>
      </c>
      <c r="Q300" s="70">
        <f>IF(VLOOKUP($A300,raw_ub[],COLUMN(Q$1),FALSE)=0, VLOOKUP($D300, regions_ub[], COLUMN(Q$1), FALSE), VLOOKUP($A300,raw_ub[],COLUMN(Q$1),FALSE))</f>
        <v>6.7633932773109198</v>
      </c>
      <c r="R300" s="70">
        <f>IF(VLOOKUP($A300,raw_ub[],COLUMN(R$1),FALSE)=0, VLOOKUP($D300, regions_ub[], COLUMN(R$1), FALSE), VLOOKUP($A300,raw_ub[],COLUMN(R$1),FALSE))</f>
        <v>115.74919327731094</v>
      </c>
      <c r="S300" s="70">
        <f>IF(VLOOKUP($A300,raw_ub[],COLUMN(S$1),FALSE)=0, VLOOKUP($D300, regions_ub[], COLUMN(S$1), FALSE), VLOOKUP($A300,raw_ub[],COLUMN(S$1),FALSE))</f>
        <v>147.02185938103207</v>
      </c>
      <c r="T300" s="70">
        <f>IF(VLOOKUP($A300,raw_ub[],COLUMN(U$1)-COLUMN($A$1),FALSE)=0, VLOOKUP($D300, regions_ub[], COLUMN(U$1)-COLUMN($A$1), FALSE), VLOOKUP($A300,raw_ub[],COLUMN(U$1)-COLUMN($A$1),FALSE))</f>
        <v>148.09020034498326</v>
      </c>
      <c r="U300" s="70">
        <f>IF(VLOOKUP($A300,raw_ub[],COLUMN(V$1)-COLUMN($A$1),FALSE)=0, VLOOKUP($D300, regions_ub[], COLUMN(V$1)-COLUMN($A$1), FALSE), VLOOKUP($A300,raw_ub[],COLUMN(V$1)-COLUMN($A$1),FALSE))</f>
        <v>147.59964075618802</v>
      </c>
      <c r="V300" s="70">
        <f>IF(VLOOKUP($A300,raw_ub[],COLUMN(W$1)-COLUMN($A$1),FALSE)=0, VLOOKUP($D300, regions_ub[], COLUMN(W$1)-COLUMN($A$1), FALSE), VLOOKUP($A300,raw_ub[],COLUMN(W$1)-COLUMN($A$1),FALSE))</f>
        <v>2.3787168849264315</v>
      </c>
      <c r="W300" s="70">
        <f>IF(VLOOKUP($A300,raw_ub[],COLUMN(X$1)-COLUMN($A$1),FALSE)=0, VLOOKUP($D300, regions_ub[], COLUMN(X$1)-COLUMN($A$1), FALSE), VLOOKUP($A300,raw_ub[],COLUMN(X$1)-COLUMN($A$1),FALSE))</f>
        <v>7.4502168849264319</v>
      </c>
      <c r="X300" s="70">
        <f>IF(VLOOKUP($A300,raw_ub[],COLUMN(Y$1)-COLUMN($A$1),FALSE)=0, VLOOKUP($D300, regions_ub[], COLUMN(Y$1)-COLUMN($A$1), FALSE), VLOOKUP($A300,raw_ub[],COLUMN(Y$1)-COLUMN($A$1),FALSE))</f>
        <v>2.3703597296145826</v>
      </c>
      <c r="Y300" s="70">
        <f>IF(VLOOKUP($A300,raw_ub[],COLUMN(Z$1)-COLUMN($A$1),FALSE)=0, VLOOKUP($D300, regions_ub[], COLUMN(Z$1)-COLUMN($A$1), FALSE), VLOOKUP($A300,raw_ub[],COLUMN(Z$1)-COLUMN($A$1),FALSE))</f>
        <v>7.441859729614583</v>
      </c>
      <c r="Z300" s="70">
        <f>IF(VLOOKUP($A300,raw_ub[],COLUMN(AA$1)-COLUMN($A$1),FALSE)=0, VLOOKUP($D300, regions_ub[], COLUMN(AA$1)-COLUMN($A$1), FALSE), VLOOKUP($A300,raw_ub[],COLUMN(AA$1)-COLUMN($A$1),FALSE))</f>
        <v>7.4372016071710423</v>
      </c>
      <c r="AA300" s="70">
        <f>IF(VLOOKUP($A300,raw_ub[],COLUMN(AB$1)-COLUMN($A$1),FALSE)=0, VLOOKUP($D300, regions_ub[], COLUMN(AB$1)-COLUMN($A$1), FALSE), VLOOKUP($A300,raw_ub[],COLUMN(AB$1)-COLUMN($A$1),FALSE))</f>
        <v>2.3806454592291657</v>
      </c>
      <c r="AB300" s="70">
        <f>IF(VLOOKUP($A300,raw_ub[],COLUMN(AC$1)-COLUMN($A$1),FALSE)=0, VLOOKUP($D300, regions_ub[], COLUMN(AC$1)-COLUMN($A$1), FALSE), VLOOKUP($A300,raw_ub[],COLUMN(AC$1)-COLUMN($A$1),FALSE))</f>
        <v>7.4521454592291665</v>
      </c>
      <c r="AC300" s="72">
        <f>IF(VLOOKUP($A300,raw_ub[],COLUMN(AD$1)-COLUMN($A$1),FALSE)=0, VLOOKUP($D300, regions_ub[], COLUMN(AD$1)-COLUMN($A$1), FALSE), VLOOKUP($A300,raw_ub[],COLUMN(AD$1)-COLUMN($A$1),FALSE))</f>
        <v>8.6019086999999939E-2</v>
      </c>
      <c r="AD300" s="72">
        <f>IF(VLOOKUP($A300,raw_ub[],COLUMN(AE$1)-COLUMN($A$1),FALSE)=0, VLOOKUP($D300, regions_ub[], COLUMN(AE$1)-COLUMN($A$1), FALSE), VLOOKUP($A300,raw_ub[],COLUMN(AE$1)-COLUMN($A$1),FALSE))</f>
        <v>1.1422111859542601E-2</v>
      </c>
      <c r="AE300" s="72">
        <f>IF(VLOOKUP($A300,raw_ub[],COLUMN(AF$1)-COLUMN($A$1),FALSE)=0, VLOOKUP($D300, regions_ub[], COLUMN(AF$1)-COLUMN($A$1), FALSE), VLOOKUP($A300,raw_ub[],COLUMN(AF$1)-COLUMN($A$1),FALSE))</f>
        <v>3.3562350950848406E-3</v>
      </c>
      <c r="AF300" s="72">
        <f>IF(VLOOKUP($A300,raw_ub[],COLUMN(AG$1)-COLUMN($A$1),FALSE)=0, VLOOKUP($D300, regions_ub[], COLUMN(AG$1)-COLUMN($A$1), FALSE), VLOOKUP($A300,raw_ub[],COLUMN(AG$1)-COLUMN($A$1),FALSE))</f>
        <v>2.4023410491510635E-3</v>
      </c>
      <c r="AG300" s="72">
        <f>IF(VLOOKUP($A300,raw_ub[],COLUMN(AH$1)-COLUMN($A$1),FALSE)=0, VLOOKUP($D300, regions_ub[], COLUMN(AH$1)-COLUMN($A$1), FALSE), VLOOKUP($A300,raw_ub[],COLUMN(AH$1)-COLUMN($A$1),FALSE))</f>
        <v>3.4594000069982948E-3</v>
      </c>
      <c r="AH300" s="72">
        <f>IF(VLOOKUP($A300,raw_ub[],COLUMN(AI$1)-COLUMN($A$1),FALSE)=0, VLOOKUP($D300, regions_ub[], COLUMN(AI$1)-COLUMN($A$1), FALSE), VLOOKUP($A300,raw_ub[],COLUMN(AI$1)-COLUMN($A$1),FALSE))</f>
        <v>5.2701869972663472E-3</v>
      </c>
      <c r="AI300" s="72">
        <f>IF(VLOOKUP($A300,raw_ub[],COLUMN(AJ$1)-COLUMN($A$1),FALSE)=0, VLOOKUP($D300, regions_ub[], COLUMN(AJ$1)-COLUMN($A$1), FALSE), VLOOKUP($A300,raw_ub[],COLUMN(AJ$1)-COLUMN($A$1),FALSE))</f>
        <v>7.185415696899203E-3</v>
      </c>
      <c r="AJ300" s="72">
        <f>IF(VLOOKUP($A300,raw_ub[],COLUMN(AK$1)-COLUMN($A$1),FALSE)=0, VLOOKUP($D300, regions_ub[], COLUMN(AK$1)-COLUMN($A$1), FALSE), VLOOKUP($A300,raw_ub[],COLUMN(AK$1)-COLUMN($A$1),FALSE))</f>
        <v>9.1074934087733237E-3</v>
      </c>
      <c r="AK300" s="72">
        <f>IF(VLOOKUP($A300,raw_ub[],COLUMN(AL$1)-COLUMN($A$1),FALSE)=0, VLOOKUP($D300, regions_ub[], COLUMN(AL$1)-COLUMN($A$1), FALSE), VLOOKUP($A300,raw_ub[],COLUMN(AL$1)-COLUMN($A$1),FALSE))</f>
        <v>1.1616115912694246E-2</v>
      </c>
      <c r="AL300" s="72">
        <f>IF(VLOOKUP($A300,raw_ub[],COLUMN(AM$1)-COLUMN($A$1),FALSE)=0, VLOOKUP($D300, regions_ub[], COLUMN(AM$1)-COLUMN($A$1), FALSE), VLOOKUP($A300,raw_ub[],COLUMN(AM$1)-COLUMN($A$1),FALSE))</f>
        <v>1.3583914661327837E-2</v>
      </c>
      <c r="AM300" s="72">
        <f>IF(VLOOKUP($A300,raw_ub[],COLUMN(AN$1)-COLUMN($A$1),FALSE)=0, VLOOKUP($D300, regions_ub[], COLUMN(AN$1)-COLUMN($A$1), FALSE), VLOOKUP($A300,raw_ub[],COLUMN(AN$1)-COLUMN($A$1),FALSE))</f>
        <v>1.5732752163134703E-2</v>
      </c>
      <c r="AN300" s="72">
        <f>IF(VLOOKUP($A300,raw_ub[],COLUMN(AO$1)-COLUMN($A$1),FALSE)=0, VLOOKUP($D300, regions_ub[], COLUMN(AO$1)-COLUMN($A$1), FALSE), VLOOKUP($A300,raw_ub[],COLUMN(AO$1)-COLUMN($A$1),FALSE))</f>
        <v>1.9208420679319563E-2</v>
      </c>
      <c r="AO300" s="72">
        <f>IF(VLOOKUP($A300,raw_ub[],COLUMN(AP$1)-COLUMN($A$1),FALSE)=0, VLOOKUP($D300, regions_ub[], COLUMN(AP$1)-COLUMN($A$1), FALSE), VLOOKUP($A300,raw_ub[],COLUMN(AP$1)-COLUMN($A$1),FALSE))</f>
        <v>2.3413629635424229E-2</v>
      </c>
      <c r="AP300" s="72">
        <f>IF(VLOOKUP($A300,raw_ub[],COLUMN(AQ$1)-COLUMN($A$1),FALSE)=0, VLOOKUP($D300, regions_ub[], COLUMN(AQ$1)-COLUMN($A$1), FALSE), VLOOKUP($A300,raw_ub[],COLUMN(AQ$1)-COLUMN($A$1),FALSE))</f>
        <v>3.1275837522924038E-2</v>
      </c>
      <c r="AQ300" s="72">
        <f>IF(VLOOKUP($A300,raw_ub[],COLUMN(AR$1)-COLUMN($A$1),FALSE)=0, VLOOKUP($D300, regions_ub[], COLUMN(AR$1)-COLUMN($A$1), FALSE), VLOOKUP($A300,raw_ub[],COLUMN(AR$1)-COLUMN($A$1),FALSE))</f>
        <v>4.3594639595034373E-2</v>
      </c>
      <c r="AR300" s="72">
        <f>IF(VLOOKUP($A300,raw_ub[],COLUMN(AS$1)-COLUMN($A$1),FALSE)=0, VLOOKUP($D300, regions_ub[], COLUMN(AS$1)-COLUMN($A$1), FALSE), VLOOKUP($A300,raw_ub[],COLUMN(AS$1)-COLUMN($A$1),FALSE))</f>
        <v>6.2409139228909144E-2</v>
      </c>
      <c r="AS300" s="72">
        <f>IF(VLOOKUP($A300,raw_ub[],COLUMN(AT$1)-COLUMN($A$1),FALSE)=0, VLOOKUP($D300, regions_ub[], COLUMN(AT$1)-COLUMN($A$1), FALSE), VLOOKUP($A300,raw_ub[],COLUMN(AT$1)-COLUMN($A$1),FALSE))</f>
        <v>8.8287402570474197E-2</v>
      </c>
      <c r="AT300" s="82">
        <f>IF(VLOOKUP($A300,raw_ub[],COLUMN(AT$1),FALSE)=0, VLOOKUP($D300, regions_ub[], COLUMN(AT$1), FALSE), VLOOKUP($A300,raw_ub[],COLUMN(AT$1),FALSE))</f>
        <v>0.12391461307710899</v>
      </c>
      <c r="AU300" s="82">
        <f>IF(VLOOKUP($A300,raw_ub[],COLUMN(AU$1),FALSE)=0, VLOOKUP($D300, regions_ub[], COLUMN(AU$1), FALSE), VLOOKUP($A300,raw_ub[],COLUMN(AU$1),FALSE))</f>
        <v>0.16157022652989556</v>
      </c>
      <c r="AV300" s="82">
        <f>IF(VLOOKUP($A300,raw_ub[],COLUMN(AV$1),FALSE)=0, VLOOKUP($D300, regions_ub[], COLUMN(AV$1), FALSE), VLOOKUP($A300,raw_ub[],COLUMN(AV$1),FALSE))</f>
        <v>0.18845474787299726</v>
      </c>
      <c r="AW300" s="82">
        <f>IF(VLOOKUP($A300,raw_ub[],COLUMN(AW$1),FALSE)=0, VLOOKUP($D300, regions_ub[], COLUMN(AW$1), FALSE), VLOOKUP($A300,raw_ub[],COLUMN(AW$1),FALSE))</f>
        <v>0.19711987322296953</v>
      </c>
      <c r="AX300" s="82">
        <f>IF(VLOOKUP($A300,raw_ub[],COLUMN(AX$1),FALSE)=0, VLOOKUP($D300, regions_ub[], COLUMN(AX$1), FALSE), VLOOKUP($A300,raw_ub[],COLUMN(AX$1),FALSE))</f>
        <v>55.301400000000001</v>
      </c>
      <c r="AY300" t="str">
        <f t="shared" si="10"/>
        <v>Yes</v>
      </c>
    </row>
    <row r="301" spans="1:51" x14ac:dyDescent="0.25">
      <c r="A301" s="55" t="s">
        <v>267</v>
      </c>
      <c r="B301" s="56" t="s">
        <v>268</v>
      </c>
      <c r="C301" s="56">
        <v>148</v>
      </c>
      <c r="D301" s="56" t="s">
        <v>207</v>
      </c>
      <c r="E301" s="56" t="s">
        <v>235</v>
      </c>
      <c r="F301" s="56" t="s">
        <v>211</v>
      </c>
      <c r="G301" s="56" t="s">
        <v>198</v>
      </c>
      <c r="H301" s="74"/>
      <c r="I301" s="74"/>
      <c r="J301" s="67">
        <f>IF(VLOOKUP($A301,raw_ub[],COLUMN(J$1),FALSE)=0, VLOOKUP($D301, regions_ub[], COLUMN(J$1), FALSE), VLOOKUP($A301,raw_ub[],COLUMN(J$1),FALSE))</f>
        <v>0.22785</v>
      </c>
      <c r="K301" s="77">
        <f>VLOOKUP($A301, raw_ub[], 11, FALSE)</f>
        <v>0</v>
      </c>
      <c r="L301" s="77">
        <f>VLOOKUP($A301, raw_ub[], 12, FALSE)</f>
        <v>0.54600000000000004</v>
      </c>
      <c r="M301" s="77">
        <f>IF(VLOOKUP($A301,raw_ub[],COLUMN(M$1),FALSE)=0, VLOOKUP($D301, regions_ub[], COLUMN(M$1), FALSE), VLOOKUP($A301,raw_ub[],COLUMN(M$1),FALSE))</f>
        <v>0.2223</v>
      </c>
      <c r="N301" s="68">
        <f>IF(VLOOKUP($A301,raw_ub[],COLUMN(N$1),FALSE)=0, VLOOKUP($D301, regions_ub[], COLUMN(N$1), FALSE), VLOOKUP($A301,raw_ub[],COLUMN(N$1),FALSE))</f>
        <v>0.41070000000000001</v>
      </c>
      <c r="O301" s="67">
        <f>IF(VLOOKUP($A301,raw_ub[],COLUMN(O$1),FALSE)=0, VLOOKUP($D301, regions_ub[], COLUMN(O$1), FALSE), VLOOKUP($A301,raw_ub[],COLUMN(O$1),FALSE))</f>
        <v>0.74399999999999999</v>
      </c>
      <c r="P301" s="68">
        <f>IF(VLOOKUP($A301,raw_ub[],COLUMN(P$1),FALSE)=0, VLOOKUP($D301, regions_ub[], COLUMN(P$1), FALSE), VLOOKUP($A301,raw_ub[],COLUMN(P$1),FALSE))</f>
        <v>0.13300000000000001</v>
      </c>
      <c r="Q301" s="70">
        <f>IF(VLOOKUP($A301,raw_ub[],COLUMN(Q$1),FALSE)=0, VLOOKUP($D301, regions_ub[], COLUMN(Q$1), FALSE), VLOOKUP($A301,raw_ub[],COLUMN(Q$1),FALSE))</f>
        <v>7.7413848739495803</v>
      </c>
      <c r="R301" s="70">
        <f>IF(VLOOKUP($A301,raw_ub[],COLUMN(R$1),FALSE)=0, VLOOKUP($D301, regions_ub[], COLUMN(R$1), FALSE), VLOOKUP($A301,raw_ub[],COLUMN(R$1),FALSE))</f>
        <v>116.7271848739496</v>
      </c>
      <c r="S301" s="70">
        <f>IF(VLOOKUP($A301,raw_ub[],COLUMN(S$1),FALSE)=0, VLOOKUP($D301, regions_ub[], COLUMN(S$1), FALSE), VLOOKUP($A301,raw_ub[],COLUMN(S$1),FALSE))</f>
        <v>149.73928020340685</v>
      </c>
      <c r="T301" s="70">
        <f>IF(VLOOKUP($A301,raw_ub[],COLUMN(U$1)-COLUMN($A$1),FALSE)=0, VLOOKUP($D301, regions_ub[], COLUMN(U$1)-COLUMN($A$1), FALSE), VLOOKUP($A301,raw_ub[],COLUMN(U$1)-COLUMN($A$1),FALSE))</f>
        <v>151.71293328430625</v>
      </c>
      <c r="U301" s="70">
        <f>IF(VLOOKUP($A301,raw_ub[],COLUMN(V$1)-COLUMN($A$1),FALSE)=0, VLOOKUP($D301, regions_ub[], COLUMN(V$1)-COLUMN($A$1), FALSE), VLOOKUP($A301,raw_ub[],COLUMN(V$1)-COLUMN($A$1),FALSE))</f>
        <v>150.80667350726873</v>
      </c>
      <c r="V301" s="70">
        <f>IF(VLOOKUP($A301,raw_ub[],COLUMN(W$1)-COLUMN($A$1),FALSE)=0, VLOOKUP($D301, regions_ub[], COLUMN(W$1)-COLUMN($A$1), FALSE), VLOOKUP($A301,raw_ub[],COLUMN(W$1)-COLUMN($A$1),FALSE))</f>
        <v>1.8794908422700543</v>
      </c>
      <c r="W301" s="70">
        <f>IF(VLOOKUP($A301,raw_ub[],COLUMN(X$1)-COLUMN($A$1),FALSE)=0, VLOOKUP($D301, regions_ub[], COLUMN(X$1)-COLUMN($A$1), FALSE), VLOOKUP($A301,raw_ub[],COLUMN(X$1)-COLUMN($A$1),FALSE))</f>
        <v>6.9509908422700546</v>
      </c>
      <c r="X301" s="70">
        <f>IF(VLOOKUP($A301,raw_ub[],COLUMN(Y$1)-COLUMN($A$1),FALSE)=0, VLOOKUP($D301, regions_ub[], COLUMN(Y$1)-COLUMN($A$1), FALSE), VLOOKUP($A301,raw_ub[],COLUMN(Y$1)-COLUMN($A$1),FALSE))</f>
        <v>1.8685480509076162</v>
      </c>
      <c r="Y301" s="70">
        <f>IF(VLOOKUP($A301,raw_ub[],COLUMN(Z$1)-COLUMN($A$1),FALSE)=0, VLOOKUP($D301, regions_ub[], COLUMN(Z$1)-COLUMN($A$1), FALSE), VLOOKUP($A301,raw_ub[],COLUMN(Z$1)-COLUMN($A$1),FALSE))</f>
        <v>6.9400480509076168</v>
      </c>
      <c r="Z301" s="70">
        <f>IF(VLOOKUP($A301,raw_ub[],COLUMN(AA$1)-COLUMN($A$1),FALSE)=0, VLOOKUP($D301, regions_ub[], COLUMN(AA$1)-COLUMN($A$1), FALSE), VLOOKUP($A301,raw_ub[],COLUMN(AA$1)-COLUMN($A$1),FALSE))</f>
        <v>6.9341087011309197</v>
      </c>
      <c r="AA301" s="70">
        <f>IF(VLOOKUP($A301,raw_ub[],COLUMN(AB$1)-COLUMN($A$1),FALSE)=0, VLOOKUP($D301, regions_ub[], COLUMN(AB$1)-COLUMN($A$1), FALSE), VLOOKUP($A301,raw_ub[],COLUMN(AB$1)-COLUMN($A$1),FALSE))</f>
        <v>1.8820161018152322</v>
      </c>
      <c r="AB301" s="70">
        <f>IF(VLOOKUP($A301,raw_ub[],COLUMN(AC$1)-COLUMN($A$1),FALSE)=0, VLOOKUP($D301, regions_ub[], COLUMN(AC$1)-COLUMN($A$1), FALSE), VLOOKUP($A301,raw_ub[],COLUMN(AC$1)-COLUMN($A$1),FALSE))</f>
        <v>6.9535161018152323</v>
      </c>
      <c r="AC301" s="72">
        <f>IF(VLOOKUP($A301,raw_ub[],COLUMN(AD$1)-COLUMN($A$1),FALSE)=0, VLOOKUP($D301, regions_ub[], COLUMN(AD$1)-COLUMN($A$1), FALSE), VLOOKUP($A301,raw_ub[],COLUMN(AD$1)-COLUMN($A$1),FALSE))</f>
        <v>7.8250850999999996E-2</v>
      </c>
      <c r="AD301" s="72">
        <f>IF(VLOOKUP($A301,raw_ub[],COLUMN(AE$1)-COLUMN($A$1),FALSE)=0, VLOOKUP($D301, regions_ub[], COLUMN(AE$1)-COLUMN($A$1), FALSE), VLOOKUP($A301,raw_ub[],COLUMN(AE$1)-COLUMN($A$1),FALSE))</f>
        <v>1.3737286830904133E-2</v>
      </c>
      <c r="AE301" s="72">
        <f>IF(VLOOKUP($A301,raw_ub[],COLUMN(AF$1)-COLUMN($A$1),FALSE)=0, VLOOKUP($D301, regions_ub[], COLUMN(AF$1)-COLUMN($A$1), FALSE), VLOOKUP($A301,raw_ub[],COLUMN(AF$1)-COLUMN($A$1),FALSE))</f>
        <v>5.4313159497370884E-3</v>
      </c>
      <c r="AF301" s="72">
        <f>IF(VLOOKUP($A301,raw_ub[],COLUMN(AG$1)-COLUMN($A$1),FALSE)=0, VLOOKUP($D301, regions_ub[], COLUMN(AG$1)-COLUMN($A$1), FALSE), VLOOKUP($A301,raw_ub[],COLUMN(AG$1)-COLUMN($A$1),FALSE))</f>
        <v>3.5235556550192761E-3</v>
      </c>
      <c r="AG301" s="72">
        <f>IF(VLOOKUP($A301,raw_ub[],COLUMN(AH$1)-COLUMN($A$1),FALSE)=0, VLOOKUP($D301, regions_ub[], COLUMN(AH$1)-COLUMN($A$1), FALSE), VLOOKUP($A301,raw_ub[],COLUMN(AH$1)-COLUMN($A$1),FALSE))</f>
        <v>4.0523070971601755E-3</v>
      </c>
      <c r="AH301" s="72">
        <f>IF(VLOOKUP($A301,raw_ub[],COLUMN(AI$1)-COLUMN($A$1),FALSE)=0, VLOOKUP($D301, regions_ub[], COLUMN(AI$1)-COLUMN($A$1), FALSE), VLOOKUP($A301,raw_ub[],COLUMN(AI$1)-COLUMN($A$1),FALSE))</f>
        <v>5.3536653155781067E-3</v>
      </c>
      <c r="AI301" s="72">
        <f>IF(VLOOKUP($A301,raw_ub[],COLUMN(AJ$1)-COLUMN($A$1),FALSE)=0, VLOOKUP($D301, regions_ub[], COLUMN(AJ$1)-COLUMN($A$1), FALSE), VLOOKUP($A301,raw_ub[],COLUMN(AJ$1)-COLUMN($A$1),FALSE))</f>
        <v>7.0302796654811315E-3</v>
      </c>
      <c r="AJ301" s="72">
        <f>IF(VLOOKUP($A301,raw_ub[],COLUMN(AK$1)-COLUMN($A$1),FALSE)=0, VLOOKUP($D301, regions_ub[], COLUMN(AK$1)-COLUMN($A$1), FALSE), VLOOKUP($A301,raw_ub[],COLUMN(AK$1)-COLUMN($A$1),FALSE))</f>
        <v>8.8956890442532834E-3</v>
      </c>
      <c r="AK301" s="72">
        <f>IF(VLOOKUP($A301,raw_ub[],COLUMN(AL$1)-COLUMN($A$1),FALSE)=0, VLOOKUP($D301, regions_ub[], COLUMN(AL$1)-COLUMN($A$1), FALSE), VLOOKUP($A301,raw_ub[],COLUMN(AL$1)-COLUMN($A$1),FALSE))</f>
        <v>1.0932522255850985E-2</v>
      </c>
      <c r="AL301" s="72">
        <f>IF(VLOOKUP($A301,raw_ub[],COLUMN(AM$1)-COLUMN($A$1),FALSE)=0, VLOOKUP($D301, regions_ub[], COLUMN(AM$1)-COLUMN($A$1), FALSE), VLOOKUP($A301,raw_ub[],COLUMN(AM$1)-COLUMN($A$1),FALSE))</f>
        <v>1.1634158910832243E-2</v>
      </c>
      <c r="AM301" s="72">
        <f>IF(VLOOKUP($A301,raw_ub[],COLUMN(AN$1)-COLUMN($A$1),FALSE)=0, VLOOKUP($D301, regions_ub[], COLUMN(AN$1)-COLUMN($A$1), FALSE), VLOOKUP($A301,raw_ub[],COLUMN(AN$1)-COLUMN($A$1),FALSE))</f>
        <v>1.2137291146807372E-2</v>
      </c>
      <c r="AN301" s="72">
        <f>IF(VLOOKUP($A301,raw_ub[],COLUMN(AO$1)-COLUMN($A$1),FALSE)=0, VLOOKUP($D301, regions_ub[], COLUMN(AO$1)-COLUMN($A$1), FALSE), VLOOKUP($A301,raw_ub[],COLUMN(AO$1)-COLUMN($A$1),FALSE))</f>
        <v>1.3570751492016971E-2</v>
      </c>
      <c r="AO301" s="72">
        <f>IF(VLOOKUP($A301,raw_ub[],COLUMN(AP$1)-COLUMN($A$1),FALSE)=0, VLOOKUP($D301, regions_ub[], COLUMN(AP$1)-COLUMN($A$1), FALSE), VLOOKUP($A301,raw_ub[],COLUMN(AP$1)-COLUMN($A$1),FALSE))</f>
        <v>1.7166595070707766E-2</v>
      </c>
      <c r="AP301" s="72">
        <f>IF(VLOOKUP($A301,raw_ub[],COLUMN(AQ$1)-COLUMN($A$1),FALSE)=0, VLOOKUP($D301, regions_ub[], COLUMN(AQ$1)-COLUMN($A$1), FALSE), VLOOKUP($A301,raw_ub[],COLUMN(AQ$1)-COLUMN($A$1),FALSE))</f>
        <v>2.4576013658572531E-2</v>
      </c>
      <c r="AQ301" s="72">
        <f>IF(VLOOKUP($A301,raw_ub[],COLUMN(AR$1)-COLUMN($A$1),FALSE)=0, VLOOKUP($D301, regions_ub[], COLUMN(AR$1)-COLUMN($A$1), FALSE), VLOOKUP($A301,raw_ub[],COLUMN(AR$1)-COLUMN($A$1),FALSE))</f>
        <v>3.6415272298963609E-2</v>
      </c>
      <c r="AR301" s="72">
        <f>IF(VLOOKUP($A301,raw_ub[],COLUMN(AS$1)-COLUMN($A$1),FALSE)=0, VLOOKUP($D301, regions_ub[], COLUMN(AS$1)-COLUMN($A$1), FALSE), VLOOKUP($A301,raw_ub[],COLUMN(AS$1)-COLUMN($A$1),FALSE))</f>
        <v>5.4723696862596378E-2</v>
      </c>
      <c r="AS301" s="72">
        <f>IF(VLOOKUP($A301,raw_ub[],COLUMN(AT$1)-COLUMN($A$1),FALSE)=0, VLOOKUP($D301, regions_ub[], COLUMN(AT$1)-COLUMN($A$1), FALSE), VLOOKUP($A301,raw_ub[],COLUMN(AT$1)-COLUMN($A$1),FALSE))</f>
        <v>7.9512078226499847E-2</v>
      </c>
      <c r="AT301" s="82">
        <f>IF(VLOOKUP($A301,raw_ub[],COLUMN(AT$1),FALSE)=0, VLOOKUP($D301, regions_ub[], COLUMN(AT$1), FALSE), VLOOKUP($A301,raw_ub[],COLUMN(AT$1),FALSE))</f>
        <v>0.11119639861738595</v>
      </c>
      <c r="AU301" s="82">
        <f>IF(VLOOKUP($A301,raw_ub[],COLUMN(AU$1),FALSE)=0, VLOOKUP($D301, regions_ub[], COLUMN(AU$1), FALSE), VLOOKUP($A301,raw_ub[],COLUMN(AU$1),FALSE))</f>
        <v>0.14381004901641981</v>
      </c>
      <c r="AV301" s="82">
        <f>IF(VLOOKUP($A301,raw_ub[],COLUMN(AV$1),FALSE)=0, VLOOKUP($D301, regions_ub[], COLUMN(AV$1), FALSE), VLOOKUP($A301,raw_ub[],COLUMN(AV$1),FALSE))</f>
        <v>0.1703019847311481</v>
      </c>
      <c r="AW301" s="82">
        <f>IF(VLOOKUP($A301,raw_ub[],COLUMN(AW$1),FALSE)=0, VLOOKUP($D301, regions_ub[], COLUMN(AW$1), FALSE), VLOOKUP($A301,raw_ub[],COLUMN(AW$1),FALSE))</f>
        <v>0.18765929752631852</v>
      </c>
      <c r="AX301" s="82">
        <f>IF(VLOOKUP($A301,raw_ub[],COLUMN(AX$1),FALSE)=0, VLOOKUP($D301, regions_ub[], COLUMN(AX$1), FALSE), VLOOKUP($A301,raw_ub[],COLUMN(AX$1),FALSE))</f>
        <v>56.488950000000003</v>
      </c>
      <c r="AY301" t="str">
        <f t="shared" si="10"/>
        <v>Yes</v>
      </c>
    </row>
    <row r="302" spans="1:51" x14ac:dyDescent="0.25">
      <c r="A302" s="53" t="s">
        <v>269</v>
      </c>
      <c r="B302" s="54" t="s">
        <v>270</v>
      </c>
      <c r="C302" s="54">
        <v>156</v>
      </c>
      <c r="D302" s="54" t="s">
        <v>260</v>
      </c>
      <c r="E302" s="54" t="s">
        <v>271</v>
      </c>
      <c r="F302" s="54" t="s">
        <v>262</v>
      </c>
      <c r="G302" s="54" t="s">
        <v>204</v>
      </c>
      <c r="H302" s="73"/>
      <c r="I302" s="73"/>
      <c r="J302" s="67">
        <f>IF(VLOOKUP($A302,raw_ub[],COLUMN(J$1),FALSE)=0, VLOOKUP($D302, regions_ub[], COLUMN(J$1), FALSE), VLOOKUP($A302,raw_ub[],COLUMN(J$1),FALSE))</f>
        <v>0.999</v>
      </c>
      <c r="K302" s="77">
        <f>VLOOKUP($A302, raw_ub[], 11, FALSE)</f>
        <v>0.99749999999999994</v>
      </c>
      <c r="L302" s="77">
        <f>VLOOKUP($A302, raw_ub[], 12, FALSE)</f>
        <v>0.999</v>
      </c>
      <c r="M302" s="77">
        <f>IF(VLOOKUP($A302,raw_ub[],COLUMN(M$1),FALSE)=0, VLOOKUP($D302, regions_ub[], COLUMN(M$1), FALSE), VLOOKUP($A302,raw_ub[],COLUMN(M$1),FALSE))</f>
        <v>6.6799999999999998E-2</v>
      </c>
      <c r="N302" s="68">
        <f>IF(VLOOKUP($A302,raw_ub[],COLUMN(N$1),FALSE)=0, VLOOKUP($D302, regions_ub[], COLUMN(N$1), FALSE), VLOOKUP($A302,raw_ub[],COLUMN(N$1),FALSE))</f>
        <v>0.49159999999999998</v>
      </c>
      <c r="O302" s="67">
        <f>IF(VLOOKUP($A302,raw_ub[],COLUMN(O$1),FALSE)=0, VLOOKUP($D302, regions_ub[], COLUMN(O$1), FALSE), VLOOKUP($A302,raw_ub[],COLUMN(O$1),FALSE))</f>
        <v>0.9</v>
      </c>
      <c r="P302" s="68">
        <f>IF(VLOOKUP($A302,raw_ub[],COLUMN(P$1),FALSE)=0, VLOOKUP($D302, regions_ub[], COLUMN(P$1), FALSE), VLOOKUP($A302,raw_ub[],COLUMN(P$1),FALSE))</f>
        <v>0.3</v>
      </c>
      <c r="Q302" s="70">
        <f>IF(VLOOKUP($A302,raw_ub[],COLUMN(Q$1),FALSE)=0, VLOOKUP($D302, regions_ub[], COLUMN(Q$1), FALSE), VLOOKUP($A302,raw_ub[],COLUMN(Q$1),FALSE))</f>
        <v>19.653385648530602</v>
      </c>
      <c r="R302" s="70">
        <f>IF(VLOOKUP($A302,raw_ub[],COLUMN(R$1),FALSE)=0, VLOOKUP($D302, regions_ub[], COLUMN(R$1), FALSE), VLOOKUP($A302,raw_ub[],COLUMN(R$1),FALSE))</f>
        <v>128.6391856485306</v>
      </c>
      <c r="S302" s="70">
        <f>IF(VLOOKUP($A302,raw_ub[],COLUMN(S$1),FALSE)=0, VLOOKUP($D302, regions_ub[], COLUMN(S$1), FALSE), VLOOKUP($A302,raw_ub[],COLUMN(S$1),FALSE))</f>
        <v>189.88246819644192</v>
      </c>
      <c r="T302" s="70">
        <f>IF(VLOOKUP($A302,raw_ub[],COLUMN(U$1)-COLUMN($A$1),FALSE)=0, VLOOKUP($D302, regions_ub[], COLUMN(U$1)-COLUMN($A$1), FALSE), VLOOKUP($A302,raw_ub[],COLUMN(U$1)-COLUMN($A$1),FALSE))</f>
        <v>206.54946751215894</v>
      </c>
      <c r="U302" s="70">
        <f>IF(VLOOKUP($A302,raw_ub[],COLUMN(V$1)-COLUMN($A$1),FALSE)=0, VLOOKUP($D302, regions_ub[], COLUMN(V$1)-COLUMN($A$1), FALSE), VLOOKUP($A302,raw_ub[],COLUMN(V$1)-COLUMN($A$1),FALSE))</f>
        <v>198.89633372186645</v>
      </c>
      <c r="V302" s="70">
        <f>IF(VLOOKUP($A302,raw_ub[],COLUMN(W$1)-COLUMN($A$1),FALSE)=0, VLOOKUP($D302, regions_ub[], COLUMN(W$1)-COLUMN($A$1), FALSE), VLOOKUP($A302,raw_ub[],COLUMN(W$1)-COLUMN($A$1),FALSE))</f>
        <v>6.169881144021832</v>
      </c>
      <c r="W302" s="70">
        <f>IF(VLOOKUP($A302,raw_ub[],COLUMN(X$1)-COLUMN($A$1),FALSE)=0, VLOOKUP($D302, regions_ub[], COLUMN(X$1)-COLUMN($A$1), FALSE), VLOOKUP($A302,raw_ub[],COLUMN(X$1)-COLUMN($A$1),FALSE))</f>
        <v>6.8313811440218322</v>
      </c>
      <c r="X302" s="70">
        <f>IF(VLOOKUP($A302,raw_ub[],COLUMN(Y$1)-COLUMN($A$1),FALSE)=0, VLOOKUP($D302, regions_ub[], COLUMN(Y$1)-COLUMN($A$1), FALSE), VLOOKUP($A302,raw_ub[],COLUMN(Y$1)-COLUMN($A$1),FALSE))</f>
        <v>6.1067320104948042</v>
      </c>
      <c r="Y302" s="70">
        <f>IF(VLOOKUP($A302,raw_ub[],COLUMN(Z$1)-COLUMN($A$1),FALSE)=0, VLOOKUP($D302, regions_ub[], COLUMN(Z$1)-COLUMN($A$1), FALSE), VLOOKUP($A302,raw_ub[],COLUMN(Z$1)-COLUMN($A$1),FALSE))</f>
        <v>6.7682320104948044</v>
      </c>
      <c r="Z302" s="70">
        <f>IF(VLOOKUP($A302,raw_ub[],COLUMN(AA$1)-COLUMN($A$1),FALSE)=0, VLOOKUP($D302, regions_ub[], COLUMN(AA$1)-COLUMN($A$1), FALSE), VLOOKUP($A302,raw_ub[],COLUMN(AA$1)-COLUMN($A$1),FALSE))</f>
        <v>6.7323779251349656</v>
      </c>
      <c r="AA302" s="70">
        <f>IF(VLOOKUP($A302,raw_ub[],COLUMN(AB$1)-COLUMN($A$1),FALSE)=0, VLOOKUP($D302, regions_ub[], COLUMN(AB$1)-COLUMN($A$1), FALSE), VLOOKUP($A302,raw_ub[],COLUMN(AB$1)-COLUMN($A$1),FALSE))</f>
        <v>6.1844540209896079</v>
      </c>
      <c r="AB302" s="70">
        <f>IF(VLOOKUP($A302,raw_ub[],COLUMN(AC$1)-COLUMN($A$1),FALSE)=0, VLOOKUP($D302, regions_ub[], COLUMN(AC$1)-COLUMN($A$1), FALSE), VLOOKUP($A302,raw_ub[],COLUMN(AC$1)-COLUMN($A$1),FALSE))</f>
        <v>6.8459540209896081</v>
      </c>
      <c r="AC302" s="72">
        <f>IF(VLOOKUP($A302,raw_ub[],COLUMN(AD$1)-COLUMN($A$1),FALSE)=0, VLOOKUP($D302, regions_ub[], COLUMN(AD$1)-COLUMN($A$1), FALSE), VLOOKUP($A302,raw_ub[],COLUMN(AD$1)-COLUMN($A$1),FALSE))</f>
        <v>1.0388878500000014E-2</v>
      </c>
      <c r="AD302" s="72">
        <f>IF(VLOOKUP($A302,raw_ub[],COLUMN(AE$1)-COLUMN($A$1),FALSE)=0, VLOOKUP($D302, regions_ub[], COLUMN(AE$1)-COLUMN($A$1), FALSE), VLOOKUP($A302,raw_ub[],COLUMN(AE$1)-COLUMN($A$1),FALSE))</f>
        <v>4.3416570933633048E-4</v>
      </c>
      <c r="AE302" s="72">
        <f>IF(VLOOKUP($A302,raw_ub[],COLUMN(AF$1)-COLUMN($A$1),FALSE)=0, VLOOKUP($D302, regions_ub[], COLUMN(AF$1)-COLUMN($A$1), FALSE), VLOOKUP($A302,raw_ub[],COLUMN(AF$1)-COLUMN($A$1),FALSE))</f>
        <v>3.275213003052299E-4</v>
      </c>
      <c r="AF302" s="72">
        <f>IF(VLOOKUP($A302,raw_ub[],COLUMN(AG$1)-COLUMN($A$1),FALSE)=0, VLOOKUP($D302, regions_ub[], COLUMN(AG$1)-COLUMN($A$1), FALSE), VLOOKUP($A302,raw_ub[],COLUMN(AG$1)-COLUMN($A$1),FALSE))</f>
        <v>2.4446073542310094E-4</v>
      </c>
      <c r="AG302" s="72">
        <f>IF(VLOOKUP($A302,raw_ub[],COLUMN(AH$1)-COLUMN($A$1),FALSE)=0, VLOOKUP($D302, regions_ub[], COLUMN(AH$1)-COLUMN($A$1), FALSE), VLOOKUP($A302,raw_ub[],COLUMN(AH$1)-COLUMN($A$1),FALSE))</f>
        <v>3.5530383416762881E-4</v>
      </c>
      <c r="AH302" s="72">
        <f>IF(VLOOKUP($A302,raw_ub[],COLUMN(AI$1)-COLUMN($A$1),FALSE)=0, VLOOKUP($D302, regions_ub[], COLUMN(AI$1)-COLUMN($A$1), FALSE), VLOOKUP($A302,raw_ub[],COLUMN(AI$1)-COLUMN($A$1),FALSE))</f>
        <v>4.9888851330976379E-4</v>
      </c>
      <c r="AI302" s="72">
        <f>IF(VLOOKUP($A302,raw_ub[],COLUMN(AJ$1)-COLUMN($A$1),FALSE)=0, VLOOKUP($D302, regions_ub[], COLUMN(AJ$1)-COLUMN($A$1), FALSE), VLOOKUP($A302,raw_ub[],COLUMN(AJ$1)-COLUMN($A$1),FALSE))</f>
        <v>6.6737545992606978E-4</v>
      </c>
      <c r="AJ302" s="72">
        <f>IF(VLOOKUP($A302,raw_ub[],COLUMN(AK$1)-COLUMN($A$1),FALSE)=0, VLOOKUP($D302, regions_ub[], COLUMN(AK$1)-COLUMN($A$1), FALSE), VLOOKUP($A302,raw_ub[],COLUMN(AK$1)-COLUMN($A$1),FALSE))</f>
        <v>8.4401533215246671E-4</v>
      </c>
      <c r="AK302" s="72">
        <f>IF(VLOOKUP($A302,raw_ub[],COLUMN(AL$1)-COLUMN($A$1),FALSE)=0, VLOOKUP($D302, regions_ub[], COLUMN(AL$1)-COLUMN($A$1), FALSE), VLOOKUP($A302,raw_ub[],COLUMN(AL$1)-COLUMN($A$1),FALSE))</f>
        <v>1.0691935416804385E-3</v>
      </c>
      <c r="AL302" s="72">
        <f>IF(VLOOKUP($A302,raw_ub[],COLUMN(AM$1)-COLUMN($A$1),FALSE)=0, VLOOKUP($D302, regions_ub[], COLUMN(AM$1)-COLUMN($A$1), FALSE), VLOOKUP($A302,raw_ub[],COLUMN(AM$1)-COLUMN($A$1),FALSE))</f>
        <v>1.5136907289111795E-3</v>
      </c>
      <c r="AM302" s="72">
        <f>IF(VLOOKUP($A302,raw_ub[],COLUMN(AN$1)-COLUMN($A$1),FALSE)=0, VLOOKUP($D302, regions_ub[], COLUMN(AN$1)-COLUMN($A$1), FALSE), VLOOKUP($A302,raw_ub[],COLUMN(AN$1)-COLUMN($A$1),FALSE))</f>
        <v>2.2232564877873212E-3</v>
      </c>
      <c r="AN302" s="72">
        <f>IF(VLOOKUP($A302,raw_ub[],COLUMN(AO$1)-COLUMN($A$1),FALSE)=0, VLOOKUP($D302, regions_ub[], COLUMN(AO$1)-COLUMN($A$1), FALSE), VLOOKUP($A302,raw_ub[],COLUMN(AO$1)-COLUMN($A$1),FALSE))</f>
        <v>3.688196632888335E-3</v>
      </c>
      <c r="AO302" s="72">
        <f>IF(VLOOKUP($A302,raw_ub[],COLUMN(AP$1)-COLUMN($A$1),FALSE)=0, VLOOKUP($D302, regions_ub[], COLUMN(AP$1)-COLUMN($A$1), FALSE), VLOOKUP($A302,raw_ub[],COLUMN(AP$1)-COLUMN($A$1),FALSE))</f>
        <v>6.1772918136575256E-3</v>
      </c>
      <c r="AP302" s="72">
        <f>IF(VLOOKUP($A302,raw_ub[],COLUMN(AQ$1)-COLUMN($A$1),FALSE)=0, VLOOKUP($D302, regions_ub[], COLUMN(AQ$1)-COLUMN($A$1), FALSE), VLOOKUP($A302,raw_ub[],COLUMN(AQ$1)-COLUMN($A$1),FALSE))</f>
        <v>1.1503424996676561E-2</v>
      </c>
      <c r="AQ302" s="72">
        <f>IF(VLOOKUP($A302,raw_ub[],COLUMN(AR$1)-COLUMN($A$1),FALSE)=0, VLOOKUP($D302, regions_ub[], COLUMN(AR$1)-COLUMN($A$1), FALSE), VLOOKUP($A302,raw_ub[],COLUMN(AR$1)-COLUMN($A$1),FALSE))</f>
        <v>2.0410915435282482E-2</v>
      </c>
      <c r="AR302" s="72">
        <f>IF(VLOOKUP($A302,raw_ub[],COLUMN(AS$1)-COLUMN($A$1),FALSE)=0, VLOOKUP($D302, regions_ub[], COLUMN(AS$1)-COLUMN($A$1), FALSE), VLOOKUP($A302,raw_ub[],COLUMN(AS$1)-COLUMN($A$1),FALSE))</f>
        <v>3.5969712869659769E-2</v>
      </c>
      <c r="AS302" s="72">
        <f>IF(VLOOKUP($A302,raw_ub[],COLUMN(AT$1)-COLUMN($A$1),FALSE)=0, VLOOKUP($D302, regions_ub[], COLUMN(AT$1)-COLUMN($A$1), FALSE), VLOOKUP($A302,raw_ub[],COLUMN(AT$1)-COLUMN($A$1),FALSE))</f>
        <v>5.715356864386141E-2</v>
      </c>
      <c r="AT302" s="82">
        <f>IF(VLOOKUP($A302,raw_ub[],COLUMN(AT$1),FALSE)=0, VLOOKUP($D302, regions_ub[], COLUMN(AT$1), FALSE), VLOOKUP($A302,raw_ub[],COLUMN(AT$1),FALSE))</f>
        <v>8.1287902552564462E-2</v>
      </c>
      <c r="AU302" s="82">
        <f>IF(VLOOKUP($A302,raw_ub[],COLUMN(AU$1),FALSE)=0, VLOOKUP($D302, regions_ub[], COLUMN(AU$1), FALSE), VLOOKUP($A302,raw_ub[],COLUMN(AU$1),FALSE))</f>
        <v>0.11254239208089294</v>
      </c>
      <c r="AV302" s="82">
        <f>IF(VLOOKUP($A302,raw_ub[],COLUMN(AV$1),FALSE)=0, VLOOKUP($D302, regions_ub[], COLUMN(AV$1), FALSE), VLOOKUP($A302,raw_ub[],COLUMN(AV$1),FALSE))</f>
        <v>0.13992990044129835</v>
      </c>
      <c r="AW302" s="82">
        <f>IF(VLOOKUP($A302,raw_ub[],COLUMN(AW$1),FALSE)=0, VLOOKUP($D302, regions_ub[], COLUMN(AW$1), FALSE), VLOOKUP($A302,raw_ub[],COLUMN(AW$1),FALSE))</f>
        <v>0.16239294842650695</v>
      </c>
      <c r="AX302" s="82">
        <f>IF(VLOOKUP($A302,raw_ub[],COLUMN(AX$1),FALSE)=0, VLOOKUP($D302, regions_ub[], COLUMN(AX$1), FALSE), VLOOKUP($A302,raw_ub[],COLUMN(AX$1),FALSE))</f>
        <v>80.454150000000013</v>
      </c>
      <c r="AY302" t="str">
        <f t="shared" si="10"/>
        <v>No</v>
      </c>
    </row>
    <row r="303" spans="1:51" x14ac:dyDescent="0.25">
      <c r="A303" s="55" t="s">
        <v>272</v>
      </c>
      <c r="B303" s="56" t="s">
        <v>273</v>
      </c>
      <c r="C303" s="56">
        <v>170</v>
      </c>
      <c r="D303" s="56" t="s">
        <v>215</v>
      </c>
      <c r="E303" s="56" t="s">
        <v>274</v>
      </c>
      <c r="F303" s="56" t="s">
        <v>217</v>
      </c>
      <c r="G303" s="56" t="s">
        <v>204</v>
      </c>
      <c r="H303" s="74"/>
      <c r="I303" s="74"/>
      <c r="J303" s="67">
        <f>IF(VLOOKUP($A303,raw_ub[],COLUMN(J$1),FALSE)=0, VLOOKUP($D303, regions_ub[], COLUMN(J$1), FALSE), VLOOKUP($A303,raw_ub[],COLUMN(J$1),FALSE))</f>
        <v>0.999</v>
      </c>
      <c r="K303" s="77">
        <f>VLOOKUP($A303, raw_ub[], 11, FALSE)</f>
        <v>0.92400000000000004</v>
      </c>
      <c r="L303" s="77">
        <f>VLOOKUP($A303, raw_ub[], 12, FALSE)</f>
        <v>0.92400000000000004</v>
      </c>
      <c r="M303" s="77">
        <f>IF(VLOOKUP($A303,raw_ub[],COLUMN(M$1),FALSE)=0, VLOOKUP($D303, regions_ub[], COLUMN(M$1), FALSE), VLOOKUP($A303,raw_ub[],COLUMN(M$1),FALSE))</f>
        <v>1.4499999999999999E-2</v>
      </c>
      <c r="N303" s="68">
        <f>IF(VLOOKUP($A303,raw_ub[],COLUMN(N$1),FALSE)=0, VLOOKUP($D303, regions_ub[], COLUMN(N$1), FALSE), VLOOKUP($A303,raw_ub[],COLUMN(N$1),FALSE))</f>
        <v>0.42950000000000005</v>
      </c>
      <c r="O303" s="67">
        <f>IF(VLOOKUP($A303,raw_ub[],COLUMN(O$1),FALSE)=0, VLOOKUP($D303, regions_ub[], COLUMN(O$1), FALSE), VLOOKUP($A303,raw_ub[],COLUMN(O$1),FALSE))</f>
        <v>0.9</v>
      </c>
      <c r="P303" s="68">
        <f>IF(VLOOKUP($A303,raw_ub[],COLUMN(P$1),FALSE)=0, VLOOKUP($D303, regions_ub[], COLUMN(P$1), FALSE), VLOOKUP($A303,raw_ub[],COLUMN(P$1),FALSE))</f>
        <v>0.3</v>
      </c>
      <c r="Q303" s="70">
        <f>IF(VLOOKUP($A303,raw_ub[],COLUMN(Q$1),FALSE)=0, VLOOKUP($D303, regions_ub[], COLUMN(Q$1), FALSE), VLOOKUP($A303,raw_ub[],COLUMN(Q$1),FALSE))</f>
        <v>47.276937514415003</v>
      </c>
      <c r="R303" s="70">
        <f>IF(VLOOKUP($A303,raw_ub[],COLUMN(R$1),FALSE)=0, VLOOKUP($D303, regions_ub[], COLUMN(R$1), FALSE), VLOOKUP($A303,raw_ub[],COLUMN(R$1),FALSE))</f>
        <v>156.26273751441499</v>
      </c>
      <c r="S303" s="70">
        <f>IF(VLOOKUP($A303,raw_ub[],COLUMN(S$1),FALSE)=0, VLOOKUP($D303, regions_ub[], COLUMN(S$1), FALSE), VLOOKUP($A303,raw_ub[],COLUMN(S$1),FALSE))</f>
        <v>229.271674291431</v>
      </c>
      <c r="T303" s="70">
        <f>IF(VLOOKUP($A303,raw_ub[],COLUMN(U$1)-COLUMN($A$1),FALSE)=0, VLOOKUP($D303, regions_ub[], COLUMN(U$1)-COLUMN($A$1), FALSE), VLOOKUP($A303,raw_ub[],COLUMN(U$1)-COLUMN($A$1),FALSE))</f>
        <v>252.06228541028096</v>
      </c>
      <c r="U303" s="70">
        <f>IF(VLOOKUP($A303,raw_ub[],COLUMN(V$1)-COLUMN($A$1),FALSE)=0, VLOOKUP($D303, regions_ub[], COLUMN(V$1)-COLUMN($A$1), FALSE), VLOOKUP($A303,raw_ub[],COLUMN(V$1)-COLUMN($A$1),FALSE))</f>
        <v>241.59731851665376</v>
      </c>
      <c r="V303" s="70">
        <f>IF(VLOOKUP($A303,raw_ub[],COLUMN(W$1)-COLUMN($A$1),FALSE)=0, VLOOKUP($D303, regions_ub[], COLUMN(W$1)-COLUMN($A$1), FALSE), VLOOKUP($A303,raw_ub[],COLUMN(W$1)-COLUMN($A$1),FALSE))</f>
        <v>6.9387215580570043</v>
      </c>
      <c r="W303" s="70">
        <f>IF(VLOOKUP($A303,raw_ub[],COLUMN(X$1)-COLUMN($A$1),FALSE)=0, VLOOKUP($D303, regions_ub[], COLUMN(X$1)-COLUMN($A$1), FALSE), VLOOKUP($A303,raw_ub[],COLUMN(X$1)-COLUMN($A$1),FALSE))</f>
        <v>6.9597215580570042</v>
      </c>
      <c r="X303" s="70">
        <f>IF(VLOOKUP($A303,raw_ub[],COLUMN(Y$1)-COLUMN($A$1),FALSE)=0, VLOOKUP($D303, regions_ub[], COLUMN(Y$1)-COLUMN($A$1), FALSE), VLOOKUP($A303,raw_ub[],COLUMN(Y$1)-COLUMN($A$1),FALSE))</f>
        <v>6.9051342389280022</v>
      </c>
      <c r="Y303" s="70">
        <f>IF(VLOOKUP($A303,raw_ub[],COLUMN(Z$1)-COLUMN($A$1),FALSE)=0, VLOOKUP($D303, regions_ub[], COLUMN(Z$1)-COLUMN($A$1), FALSE), VLOOKUP($A303,raw_ub[],COLUMN(Z$1)-COLUMN($A$1),FALSE))</f>
        <v>6.9261342389280021</v>
      </c>
      <c r="Z303" s="70">
        <f>IF(VLOOKUP($A303,raw_ub[],COLUMN(AA$1)-COLUMN($A$1),FALSE)=0, VLOOKUP($D303, regions_ub[], COLUMN(AA$1)-COLUMN($A$1), FALSE), VLOOKUP($A303,raw_ub[],COLUMN(AA$1)-COLUMN($A$1),FALSE))</f>
        <v>6.9062000828859285</v>
      </c>
      <c r="AA303" s="70">
        <f>IF(VLOOKUP($A303,raw_ub[],COLUMN(AB$1)-COLUMN($A$1),FALSE)=0, VLOOKUP($D303, regions_ub[], COLUMN(AB$1)-COLUMN($A$1), FALSE), VLOOKUP($A303,raw_ub[],COLUMN(AB$1)-COLUMN($A$1),FALSE))</f>
        <v>6.9464724778560045</v>
      </c>
      <c r="AB303" s="70">
        <f>IF(VLOOKUP($A303,raw_ub[],COLUMN(AC$1)-COLUMN($A$1),FALSE)=0, VLOOKUP($D303, regions_ub[], COLUMN(AC$1)-COLUMN($A$1), FALSE), VLOOKUP($A303,raw_ub[],COLUMN(AC$1)-COLUMN($A$1),FALSE))</f>
        <v>6.9674724778560044</v>
      </c>
      <c r="AC303" s="72">
        <f>IF(VLOOKUP($A303,raw_ub[],COLUMN(AD$1)-COLUMN($A$1),FALSE)=0, VLOOKUP($D303, regions_ub[], COLUMN(AD$1)-COLUMN($A$1), FALSE), VLOOKUP($A303,raw_ub[],COLUMN(AD$1)-COLUMN($A$1),FALSE))</f>
        <v>1.3269217500000006E-2</v>
      </c>
      <c r="AD303" s="72">
        <f>IF(VLOOKUP($A303,raw_ub[],COLUMN(AE$1)-COLUMN($A$1),FALSE)=0, VLOOKUP($D303, regions_ub[], COLUMN(AE$1)-COLUMN($A$1), FALSE), VLOOKUP($A303,raw_ub[],COLUMN(AE$1)-COLUMN($A$1),FALSE))</f>
        <v>5.6558474234365014E-4</v>
      </c>
      <c r="AE303" s="72">
        <f>IF(VLOOKUP($A303,raw_ub[],COLUMN(AF$1)-COLUMN($A$1),FALSE)=0, VLOOKUP($D303, regions_ub[], COLUMN(AF$1)-COLUMN($A$1), FALSE), VLOOKUP($A303,raw_ub[],COLUMN(AF$1)-COLUMN($A$1),FALSE))</f>
        <v>4.205157007828283E-4</v>
      </c>
      <c r="AF303" s="72">
        <f>IF(VLOOKUP($A303,raw_ub[],COLUMN(AG$1)-COLUMN($A$1),FALSE)=0, VLOOKUP($D303, regions_ub[], COLUMN(AG$1)-COLUMN($A$1), FALSE), VLOOKUP($A303,raw_ub[],COLUMN(AG$1)-COLUMN($A$1),FALSE))</f>
        <v>3.869290717702229E-4</v>
      </c>
      <c r="AG303" s="72">
        <f>IF(VLOOKUP($A303,raw_ub[],COLUMN(AH$1)-COLUMN($A$1),FALSE)=0, VLOOKUP($D303, regions_ub[], COLUMN(AH$1)-COLUMN($A$1), FALSE), VLOOKUP($A303,raw_ub[],COLUMN(AH$1)-COLUMN($A$1),FALSE))</f>
        <v>9.8226951185629869E-4</v>
      </c>
      <c r="AH303" s="72">
        <f>IF(VLOOKUP($A303,raw_ub[],COLUMN(AI$1)-COLUMN($A$1),FALSE)=0, VLOOKUP($D303, regions_ub[], COLUMN(AI$1)-COLUMN($A$1), FALSE), VLOOKUP($A303,raw_ub[],COLUMN(AI$1)-COLUMN($A$1),FALSE))</f>
        <v>1.8893959409679504E-3</v>
      </c>
      <c r="AI303" s="72">
        <f>IF(VLOOKUP($A303,raw_ub[],COLUMN(AJ$1)-COLUMN($A$1),FALSE)=0, VLOOKUP($D303, regions_ub[], COLUMN(AJ$1)-COLUMN($A$1), FALSE), VLOOKUP($A303,raw_ub[],COLUMN(AJ$1)-COLUMN($A$1),FALSE))</f>
        <v>1.9574446322153166E-3</v>
      </c>
      <c r="AJ303" s="72">
        <f>IF(VLOOKUP($A303,raw_ub[],COLUMN(AK$1)-COLUMN($A$1),FALSE)=0, VLOOKUP($D303, regions_ub[], COLUMN(AK$1)-COLUMN($A$1), FALSE), VLOOKUP($A303,raw_ub[],COLUMN(AK$1)-COLUMN($A$1),FALSE))</f>
        <v>1.9168524821048811E-3</v>
      </c>
      <c r="AK303" s="72">
        <f>IF(VLOOKUP($A303,raw_ub[],COLUMN(AL$1)-COLUMN($A$1),FALSE)=0, VLOOKUP($D303, regions_ub[], COLUMN(AL$1)-COLUMN($A$1), FALSE), VLOOKUP($A303,raw_ub[],COLUMN(AL$1)-COLUMN($A$1),FALSE))</f>
        <v>2.0879619868999525E-3</v>
      </c>
      <c r="AL303" s="72">
        <f>IF(VLOOKUP($A303,raw_ub[],COLUMN(AM$1)-COLUMN($A$1),FALSE)=0, VLOOKUP($D303, regions_ub[], COLUMN(AM$1)-COLUMN($A$1), FALSE), VLOOKUP($A303,raw_ub[],COLUMN(AM$1)-COLUMN($A$1),FALSE))</f>
        <v>2.3654538459092819E-3</v>
      </c>
      <c r="AM303" s="72">
        <f>IF(VLOOKUP($A303,raw_ub[],COLUMN(AN$1)-COLUMN($A$1),FALSE)=0, VLOOKUP($D303, regions_ub[], COLUMN(AN$1)-COLUMN($A$1), FALSE), VLOOKUP($A303,raw_ub[],COLUMN(AN$1)-COLUMN($A$1),FALSE))</f>
        <v>2.9885780366456457E-3</v>
      </c>
      <c r="AN303" s="72">
        <f>IF(VLOOKUP($A303,raw_ub[],COLUMN(AO$1)-COLUMN($A$1),FALSE)=0, VLOOKUP($D303, regions_ub[], COLUMN(AO$1)-COLUMN($A$1), FALSE), VLOOKUP($A303,raw_ub[],COLUMN(AO$1)-COLUMN($A$1),FALSE))</f>
        <v>4.594928662610155E-3</v>
      </c>
      <c r="AO303" s="72">
        <f>IF(VLOOKUP($A303,raw_ub[],COLUMN(AP$1)-COLUMN($A$1),FALSE)=0, VLOOKUP($D303, regions_ub[], COLUMN(AP$1)-COLUMN($A$1), FALSE), VLOOKUP($A303,raw_ub[],COLUMN(AP$1)-COLUMN($A$1),FALSE))</f>
        <v>6.858961155307027E-3</v>
      </c>
      <c r="AP303" s="72">
        <f>IF(VLOOKUP($A303,raw_ub[],COLUMN(AQ$1)-COLUMN($A$1),FALSE)=0, VLOOKUP($D303, regions_ub[], COLUMN(AQ$1)-COLUMN($A$1), FALSE), VLOOKUP($A303,raw_ub[],COLUMN(AQ$1)-COLUMN($A$1),FALSE))</f>
        <v>1.059687926958783E-2</v>
      </c>
      <c r="AQ303" s="72">
        <f>IF(VLOOKUP($A303,raw_ub[],COLUMN(AR$1)-COLUMN($A$1),FALSE)=0, VLOOKUP($D303, regions_ub[], COLUMN(AR$1)-COLUMN($A$1), FALSE), VLOOKUP($A303,raw_ub[],COLUMN(AR$1)-COLUMN($A$1),FALSE))</f>
        <v>1.6376748179812075E-2</v>
      </c>
      <c r="AR303" s="72">
        <f>IF(VLOOKUP($A303,raw_ub[],COLUMN(AS$1)-COLUMN($A$1),FALSE)=0, VLOOKUP($D303, regions_ub[], COLUMN(AS$1)-COLUMN($A$1), FALSE), VLOOKUP($A303,raw_ub[],COLUMN(AS$1)-COLUMN($A$1),FALSE))</f>
        <v>2.5030467272620469E-2</v>
      </c>
      <c r="AS303" s="72">
        <f>IF(VLOOKUP($A303,raw_ub[],COLUMN(AT$1)-COLUMN($A$1),FALSE)=0, VLOOKUP($D303, regions_ub[], COLUMN(AT$1)-COLUMN($A$1), FALSE), VLOOKUP($A303,raw_ub[],COLUMN(AT$1)-COLUMN($A$1),FALSE))</f>
        <v>3.7610188834164678E-2</v>
      </c>
      <c r="AT303" s="82">
        <f>IF(VLOOKUP($A303,raw_ub[],COLUMN(AT$1),FALSE)=0, VLOOKUP($D303, regions_ub[], COLUMN(AT$1), FALSE), VLOOKUP($A303,raw_ub[],COLUMN(AT$1),FALSE))</f>
        <v>5.8842619160951681E-2</v>
      </c>
      <c r="AU303" s="82">
        <f>IF(VLOOKUP($A303,raw_ub[],COLUMN(AU$1),FALSE)=0, VLOOKUP($D303, regions_ub[], COLUMN(AU$1), FALSE), VLOOKUP($A303,raw_ub[],COLUMN(AU$1),FALSE))</f>
        <v>9.1978856263772724E-2</v>
      </c>
      <c r="AV303" s="82">
        <f>IF(VLOOKUP($A303,raw_ub[],COLUMN(AV$1),FALSE)=0, VLOOKUP($D303, regions_ub[], COLUMN(AV$1), FALSE), VLOOKUP($A303,raw_ub[],COLUMN(AV$1),FALSE))</f>
        <v>0.10916242875421556</v>
      </c>
      <c r="AW303" s="82">
        <f>IF(VLOOKUP($A303,raw_ub[],COLUMN(AW$1),FALSE)=0, VLOOKUP($D303, regions_ub[], COLUMN(AW$1), FALSE), VLOOKUP($A303,raw_ub[],COLUMN(AW$1),FALSE))</f>
        <v>0.16016280300682081</v>
      </c>
      <c r="AX303" s="82">
        <f>IF(VLOOKUP($A303,raw_ub[],COLUMN(AX$1),FALSE)=0, VLOOKUP($D303, regions_ub[], COLUMN(AX$1), FALSE), VLOOKUP($A303,raw_ub[],COLUMN(AX$1),FALSE))</f>
        <v>80.872050000000002</v>
      </c>
      <c r="AY303" t="str">
        <f t="shared" si="10"/>
        <v>No</v>
      </c>
    </row>
    <row r="304" spans="1:51" x14ac:dyDescent="0.25">
      <c r="A304" s="53" t="s">
        <v>275</v>
      </c>
      <c r="B304" s="54" t="s">
        <v>276</v>
      </c>
      <c r="C304" s="54">
        <v>174</v>
      </c>
      <c r="D304" s="54" t="s">
        <v>207</v>
      </c>
      <c r="E304" s="54" t="s">
        <v>255</v>
      </c>
      <c r="F304" s="54" t="s">
        <v>211</v>
      </c>
      <c r="G304" s="54" t="s">
        <v>212</v>
      </c>
      <c r="H304" s="73"/>
      <c r="I304" s="73"/>
      <c r="J304" s="67">
        <f>IF(VLOOKUP($A304,raw_ub[],COLUMN(J$1),FALSE)=0, VLOOKUP($D304, regions_ub[], COLUMN(J$1), FALSE), VLOOKUP($A304,raw_ub[],COLUMN(J$1),FALSE))</f>
        <v>0.79904999999999993</v>
      </c>
      <c r="K304" s="77">
        <f>VLOOKUP($A304, raw_ub[], 11, FALSE)</f>
        <v>0</v>
      </c>
      <c r="L304" s="77">
        <f>VLOOKUP($A304, raw_ub[], 12, FALSE)</f>
        <v>0.91349999999999998</v>
      </c>
      <c r="M304" s="77">
        <f>IF(VLOOKUP($A304,raw_ub[],COLUMN(M$1),FALSE)=0, VLOOKUP($D304, regions_ub[], COLUMN(M$1), FALSE), VLOOKUP($A304,raw_ub[],COLUMN(M$1),FALSE))</f>
        <v>0.22589999999999999</v>
      </c>
      <c r="N304" s="68">
        <f>IF(VLOOKUP($A304,raw_ub[],COLUMN(N$1),FALSE)=0, VLOOKUP($D304, regions_ub[], COLUMN(N$1), FALSE), VLOOKUP($A304,raw_ub[],COLUMN(N$1),FALSE))</f>
        <v>0.39960000000000001</v>
      </c>
      <c r="O304" s="67">
        <f>IF(VLOOKUP($A304,raw_ub[],COLUMN(O$1),FALSE)=0, VLOOKUP($D304, regions_ub[], COLUMN(O$1), FALSE), VLOOKUP($A304,raw_ub[],COLUMN(O$1),FALSE))</f>
        <v>0.74399999999999999</v>
      </c>
      <c r="P304" s="68">
        <f>IF(VLOOKUP($A304,raw_ub[],COLUMN(P$1),FALSE)=0, VLOOKUP($D304, regions_ub[], COLUMN(P$1), FALSE), VLOOKUP($A304,raw_ub[],COLUMN(P$1),FALSE))</f>
        <v>0.13300000000000001</v>
      </c>
      <c r="Q304" s="70">
        <f>IF(VLOOKUP($A304,raw_ub[],COLUMN(Q$1),FALSE)=0, VLOOKUP($D304, regions_ub[], COLUMN(Q$1), FALSE), VLOOKUP($A304,raw_ub[],COLUMN(Q$1),FALSE))</f>
        <v>7.8478114044350598</v>
      </c>
      <c r="R304" s="70">
        <f>IF(VLOOKUP($A304,raw_ub[],COLUMN(R$1),FALSE)=0, VLOOKUP($D304, regions_ub[], COLUMN(R$1), FALSE), VLOOKUP($A304,raw_ub[],COLUMN(R$1),FALSE))</f>
        <v>116.83361140443508</v>
      </c>
      <c r="S304" s="70">
        <f>IF(VLOOKUP($A304,raw_ub[],COLUMN(S$1),FALSE)=0, VLOOKUP($D304, regions_ub[], COLUMN(S$1), FALSE), VLOOKUP($A304,raw_ub[],COLUMN(S$1),FALSE))</f>
        <v>149.49070608305419</v>
      </c>
      <c r="T304" s="70">
        <f>IF(VLOOKUP($A304,raw_ub[],COLUMN(U$1)-COLUMN($A$1),FALSE)=0, VLOOKUP($D304, regions_ub[], COLUMN(U$1)-COLUMN($A$1), FALSE), VLOOKUP($A304,raw_ub[],COLUMN(U$1)-COLUMN($A$1),FALSE))</f>
        <v>151.27959373287246</v>
      </c>
      <c r="U304" s="70">
        <f>IF(VLOOKUP($A304,raw_ub[],COLUMN(V$1)-COLUMN($A$1),FALSE)=0, VLOOKUP($D304, regions_ub[], COLUMN(V$1)-COLUMN($A$1), FALSE), VLOOKUP($A304,raw_ub[],COLUMN(V$1)-COLUMN($A$1),FALSE))</f>
        <v>150.45817433634375</v>
      </c>
      <c r="V304" s="70">
        <f>IF(VLOOKUP($A304,raw_ub[],COLUMN(W$1)-COLUMN($A$1),FALSE)=0, VLOOKUP($D304, regions_ub[], COLUMN(W$1)-COLUMN($A$1), FALSE), VLOOKUP($A304,raw_ub[],COLUMN(W$1)-COLUMN($A$1),FALSE))</f>
        <v>10.104500260650973</v>
      </c>
      <c r="W304" s="70">
        <f>IF(VLOOKUP($A304,raw_ub[],COLUMN(X$1)-COLUMN($A$1),FALSE)=0, VLOOKUP($D304, regions_ub[], COLUMN(X$1)-COLUMN($A$1), FALSE), VLOOKUP($A304,raw_ub[],COLUMN(X$1)-COLUMN($A$1),FALSE))</f>
        <v>15.176000260650973</v>
      </c>
      <c r="X304" s="70">
        <f>IF(VLOOKUP($A304,raw_ub[],COLUMN(Y$1)-COLUMN($A$1),FALSE)=0, VLOOKUP($D304, regions_ub[], COLUMN(Y$1)-COLUMN($A$1), FALSE), VLOOKUP($A304,raw_ub[],COLUMN(Y$1)-COLUMN($A$1),FALSE))</f>
        <v>10.088569316221227</v>
      </c>
      <c r="Y304" s="70">
        <f>IF(VLOOKUP($A304,raw_ub[],COLUMN(Z$1)-COLUMN($A$1),FALSE)=0, VLOOKUP($D304, regions_ub[], COLUMN(Z$1)-COLUMN($A$1), FALSE), VLOOKUP($A304,raw_ub[],COLUMN(Z$1)-COLUMN($A$1),FALSE))</f>
        <v>15.160069316221227</v>
      </c>
      <c r="Z304" s="70">
        <f>IF(VLOOKUP($A304,raw_ub[],COLUMN(AA$1)-COLUMN($A$1),FALSE)=0, VLOOKUP($D304, regions_ub[], COLUMN(AA$1)-COLUMN($A$1), FALSE), VLOOKUP($A304,raw_ub[],COLUMN(AA$1)-COLUMN($A$1),FALSE))</f>
        <v>15.150985420351645</v>
      </c>
      <c r="AA304" s="70">
        <f>IF(VLOOKUP($A304,raw_ub[],COLUMN(AB$1)-COLUMN($A$1),FALSE)=0, VLOOKUP($D304, regions_ub[], COLUMN(AB$1)-COLUMN($A$1), FALSE), VLOOKUP($A304,raw_ub[],COLUMN(AB$1)-COLUMN($A$1),FALSE))</f>
        <v>10.108176632442454</v>
      </c>
      <c r="AB304" s="70">
        <f>IF(VLOOKUP($A304,raw_ub[],COLUMN(AC$1)-COLUMN($A$1),FALSE)=0, VLOOKUP($D304, regions_ub[], COLUMN(AC$1)-COLUMN($A$1), FALSE), VLOOKUP($A304,raw_ub[],COLUMN(AC$1)-COLUMN($A$1),FALSE))</f>
        <v>15.179676632442455</v>
      </c>
      <c r="AC304" s="72">
        <f>IF(VLOOKUP($A304,raw_ub[],COLUMN(AD$1)-COLUMN($A$1),FALSE)=0, VLOOKUP($D304, regions_ub[], COLUMN(AD$1)-COLUMN($A$1), FALSE), VLOOKUP($A304,raw_ub[],COLUMN(AD$1)-COLUMN($A$1),FALSE))</f>
        <v>5.5773459000000018E-2</v>
      </c>
      <c r="AD304" s="72">
        <f>IF(VLOOKUP($A304,raw_ub[],COLUMN(AE$1)-COLUMN($A$1),FALSE)=0, VLOOKUP($D304, regions_ub[], COLUMN(AE$1)-COLUMN($A$1), FALSE), VLOOKUP($A304,raw_ub[],COLUMN(AE$1)-COLUMN($A$1),FALSE))</f>
        <v>4.6969909157253227E-3</v>
      </c>
      <c r="AE304" s="72">
        <f>IF(VLOOKUP($A304,raw_ub[],COLUMN(AF$1)-COLUMN($A$1),FALSE)=0, VLOOKUP($D304, regions_ub[], COLUMN(AF$1)-COLUMN($A$1), FALSE), VLOOKUP($A304,raw_ub[],COLUMN(AF$1)-COLUMN($A$1),FALSE))</f>
        <v>1.4363668813447705E-3</v>
      </c>
      <c r="AF304" s="72">
        <f>IF(VLOOKUP($A304,raw_ub[],COLUMN(AG$1)-COLUMN($A$1),FALSE)=0, VLOOKUP($D304, regions_ub[], COLUMN(AG$1)-COLUMN($A$1), FALSE), VLOOKUP($A304,raw_ub[],COLUMN(AG$1)-COLUMN($A$1),FALSE))</f>
        <v>1.1268248616282093E-3</v>
      </c>
      <c r="AG304" s="72">
        <f>IF(VLOOKUP($A304,raw_ub[],COLUMN(AH$1)-COLUMN($A$1),FALSE)=0, VLOOKUP($D304, regions_ub[], COLUMN(AH$1)-COLUMN($A$1), FALSE), VLOOKUP($A304,raw_ub[],COLUMN(AH$1)-COLUMN($A$1),FALSE))</f>
        <v>1.8076827063667935E-3</v>
      </c>
      <c r="AH304" s="72">
        <f>IF(VLOOKUP($A304,raw_ub[],COLUMN(AI$1)-COLUMN($A$1),FALSE)=0, VLOOKUP($D304, regions_ub[], COLUMN(AI$1)-COLUMN($A$1), FALSE), VLOOKUP($A304,raw_ub[],COLUMN(AI$1)-COLUMN($A$1),FALSE))</f>
        <v>2.5172680684390114E-3</v>
      </c>
      <c r="AI304" s="72">
        <f>IF(VLOOKUP($A304,raw_ub[],COLUMN(AJ$1)-COLUMN($A$1),FALSE)=0, VLOOKUP($D304, regions_ub[], COLUMN(AJ$1)-COLUMN($A$1), FALSE), VLOOKUP($A304,raw_ub[],COLUMN(AJ$1)-COLUMN($A$1),FALSE))</f>
        <v>2.744678616521994E-3</v>
      </c>
      <c r="AJ304" s="72">
        <f>IF(VLOOKUP($A304,raw_ub[],COLUMN(AK$1)-COLUMN($A$1),FALSE)=0, VLOOKUP($D304, regions_ub[], COLUMN(AK$1)-COLUMN($A$1), FALSE), VLOOKUP($A304,raw_ub[],COLUMN(AK$1)-COLUMN($A$1),FALSE))</f>
        <v>3.1435774718896561E-3</v>
      </c>
      <c r="AK304" s="72">
        <f>IF(VLOOKUP($A304,raw_ub[],COLUMN(AL$1)-COLUMN($A$1),FALSE)=0, VLOOKUP($D304, regions_ub[], COLUMN(AL$1)-COLUMN($A$1), FALSE), VLOOKUP($A304,raw_ub[],COLUMN(AL$1)-COLUMN($A$1),FALSE))</f>
        <v>3.8829291089565216E-3</v>
      </c>
      <c r="AL304" s="72">
        <f>IF(VLOOKUP($A304,raw_ub[],COLUMN(AM$1)-COLUMN($A$1),FALSE)=0, VLOOKUP($D304, regions_ub[], COLUMN(AM$1)-COLUMN($A$1), FALSE), VLOOKUP($A304,raw_ub[],COLUMN(AM$1)-COLUMN($A$1),FALSE))</f>
        <v>5.1025802128150111E-3</v>
      </c>
      <c r="AM304" s="72">
        <f>IF(VLOOKUP($A304,raw_ub[],COLUMN(AN$1)-COLUMN($A$1),FALSE)=0, VLOOKUP($D304, regions_ub[], COLUMN(AN$1)-COLUMN($A$1), FALSE), VLOOKUP($A304,raw_ub[],COLUMN(AN$1)-COLUMN($A$1),FALSE))</f>
        <v>7.1027528541279181E-3</v>
      </c>
      <c r="AN304" s="72">
        <f>IF(VLOOKUP($A304,raw_ub[],COLUMN(AO$1)-COLUMN($A$1),FALSE)=0, VLOOKUP($D304, regions_ub[], COLUMN(AO$1)-COLUMN($A$1), FALSE), VLOOKUP($A304,raw_ub[],COLUMN(AO$1)-COLUMN($A$1),FALSE))</f>
        <v>1.0301257657844396E-2</v>
      </c>
      <c r="AO304" s="72">
        <f>IF(VLOOKUP($A304,raw_ub[],COLUMN(AP$1)-COLUMN($A$1),FALSE)=0, VLOOKUP($D304, regions_ub[], COLUMN(AP$1)-COLUMN($A$1), FALSE), VLOOKUP($A304,raw_ub[],COLUMN(AP$1)-COLUMN($A$1),FALSE))</f>
        <v>1.512486332996967E-2</v>
      </c>
      <c r="AP304" s="72">
        <f>IF(VLOOKUP($A304,raw_ub[],COLUMN(AQ$1)-COLUMN($A$1),FALSE)=0, VLOOKUP($D304, regions_ub[], COLUMN(AQ$1)-COLUMN($A$1), FALSE), VLOOKUP($A304,raw_ub[],COLUMN(AQ$1)-COLUMN($A$1),FALSE))</f>
        <v>2.2766690201277775E-2</v>
      </c>
      <c r="AQ304" s="72">
        <f>IF(VLOOKUP($A304,raw_ub[],COLUMN(AR$1)-COLUMN($A$1),FALSE)=0, VLOOKUP($D304, regions_ub[], COLUMN(AR$1)-COLUMN($A$1), FALSE), VLOOKUP($A304,raw_ub[],COLUMN(AR$1)-COLUMN($A$1),FALSE))</f>
        <v>3.4354550882199318E-2</v>
      </c>
      <c r="AR304" s="72">
        <f>IF(VLOOKUP($A304,raw_ub[],COLUMN(AS$1)-COLUMN($A$1),FALSE)=0, VLOOKUP($D304, regions_ub[], COLUMN(AS$1)-COLUMN($A$1), FALSE), VLOOKUP($A304,raw_ub[],COLUMN(AS$1)-COLUMN($A$1),FALSE))</f>
        <v>5.2271147595953742E-2</v>
      </c>
      <c r="AS304" s="72">
        <f>IF(VLOOKUP($A304,raw_ub[],COLUMN(AT$1)-COLUMN($A$1),FALSE)=0, VLOOKUP($D304, regions_ub[], COLUMN(AT$1)-COLUMN($A$1), FALSE), VLOOKUP($A304,raw_ub[],COLUMN(AT$1)-COLUMN($A$1),FALSE))</f>
        <v>7.755237884289469E-2</v>
      </c>
      <c r="AT304" s="82">
        <f>IF(VLOOKUP($A304,raw_ub[],COLUMN(AT$1),FALSE)=0, VLOOKUP($D304, regions_ub[], COLUMN(AT$1), FALSE), VLOOKUP($A304,raw_ub[],COLUMN(AT$1),FALSE))</f>
        <v>0.1100893846024886</v>
      </c>
      <c r="AU304" s="82">
        <f>IF(VLOOKUP($A304,raw_ub[],COLUMN(AU$1),FALSE)=0, VLOOKUP($D304, regions_ub[], COLUMN(AU$1), FALSE), VLOOKUP($A304,raw_ub[],COLUMN(AU$1),FALSE))</f>
        <v>0.1439812423464415</v>
      </c>
      <c r="AV304" s="82">
        <f>IF(VLOOKUP($A304,raw_ub[],COLUMN(AV$1),FALSE)=0, VLOOKUP($D304, regions_ub[], COLUMN(AV$1), FALSE), VLOOKUP($A304,raw_ub[],COLUMN(AV$1),FALSE))</f>
        <v>0.17126360738678251</v>
      </c>
      <c r="AW304" s="82">
        <f>IF(VLOOKUP($A304,raw_ub[],COLUMN(AW$1),FALSE)=0, VLOOKUP($D304, regions_ub[], COLUMN(AW$1), FALSE), VLOOKUP($A304,raw_ub[],COLUMN(AW$1),FALSE))</f>
        <v>0.18867871843907949</v>
      </c>
      <c r="AX304" s="82">
        <f>IF(VLOOKUP($A304,raw_ub[],COLUMN(AX$1),FALSE)=0, VLOOKUP($D304, regions_ub[], COLUMN(AX$1), FALSE), VLOOKUP($A304,raw_ub[],COLUMN(AX$1),FALSE))</f>
        <v>67.182149999999993</v>
      </c>
      <c r="AY304" t="str">
        <f t="shared" si="10"/>
        <v>Yes</v>
      </c>
    </row>
    <row r="305" spans="1:51" x14ac:dyDescent="0.25">
      <c r="A305" s="55" t="s">
        <v>277</v>
      </c>
      <c r="B305" s="56" t="s">
        <v>278</v>
      </c>
      <c r="C305" s="56">
        <v>180</v>
      </c>
      <c r="D305" s="56" t="s">
        <v>207</v>
      </c>
      <c r="E305" s="56" t="s">
        <v>210</v>
      </c>
      <c r="F305" s="56" t="s">
        <v>211</v>
      </c>
      <c r="G305" s="56" t="s">
        <v>198</v>
      </c>
      <c r="H305" s="74"/>
      <c r="I305" s="74"/>
      <c r="J305" s="67">
        <f>IF(VLOOKUP($A305,raw_ub[],COLUMN(J$1),FALSE)=0, VLOOKUP($D305, regions_ub[], COLUMN(J$1), FALSE), VLOOKUP($A305,raw_ub[],COLUMN(J$1),FALSE))</f>
        <v>0.85575000000000001</v>
      </c>
      <c r="K305" s="77">
        <f>VLOOKUP($A305, raw_ub[], 11, FALSE)</f>
        <v>0</v>
      </c>
      <c r="L305" s="77">
        <f>VLOOKUP($A305, raw_ub[], 12, FALSE)</f>
        <v>0.59849999999999992</v>
      </c>
      <c r="M305" s="77">
        <f>IF(VLOOKUP($A305,raw_ub[],COLUMN(M$1),FALSE)=0, VLOOKUP($D305, regions_ub[], COLUMN(M$1), FALSE), VLOOKUP($A305,raw_ub[],COLUMN(M$1),FALSE))</f>
        <v>0.1318</v>
      </c>
      <c r="N305" s="68">
        <f>IF(VLOOKUP($A305,raw_ub[],COLUMN(N$1),FALSE)=0, VLOOKUP($D305, regions_ub[], COLUMN(N$1), FALSE), VLOOKUP($A305,raw_ub[],COLUMN(N$1),FALSE))</f>
        <v>0.40200000000000002</v>
      </c>
      <c r="O305" s="67">
        <f>IF(VLOOKUP($A305,raw_ub[],COLUMN(O$1),FALSE)=0, VLOOKUP($D305, regions_ub[], COLUMN(O$1), FALSE), VLOOKUP($A305,raw_ub[],COLUMN(O$1),FALSE))</f>
        <v>0.74399999999999999</v>
      </c>
      <c r="P305" s="68">
        <f>IF(VLOOKUP($A305,raw_ub[],COLUMN(P$1),FALSE)=0, VLOOKUP($D305, regions_ub[], COLUMN(P$1), FALSE), VLOOKUP($A305,raw_ub[],COLUMN(P$1),FALSE))</f>
        <v>0.13300000000000001</v>
      </c>
      <c r="Q305" s="70">
        <f>IF(VLOOKUP($A305,raw_ub[],COLUMN(Q$1),FALSE)=0, VLOOKUP($D305, regions_ub[], COLUMN(Q$1), FALSE), VLOOKUP($A305,raw_ub[],COLUMN(Q$1),FALSE))</f>
        <v>10.848787539350035</v>
      </c>
      <c r="R305" s="70">
        <f>IF(VLOOKUP($A305,raw_ub[],COLUMN(R$1),FALSE)=0, VLOOKUP($D305, regions_ub[], COLUMN(R$1), FALSE), VLOOKUP($A305,raw_ub[],COLUMN(R$1),FALSE))</f>
        <v>119.83458753935003</v>
      </c>
      <c r="S305" s="70">
        <f>IF(VLOOKUP($A305,raw_ub[],COLUMN(S$1),FALSE)=0, VLOOKUP($D305, regions_ub[], COLUMN(S$1), FALSE), VLOOKUP($A305,raw_ub[],COLUMN(S$1),FALSE))</f>
        <v>161.42169624364792</v>
      </c>
      <c r="T305" s="70">
        <f>IF(VLOOKUP($A305,raw_ub[],COLUMN(U$1)-COLUMN($A$1),FALSE)=0, VLOOKUP($D305, regions_ub[], COLUMN(U$1)-COLUMN($A$1), FALSE), VLOOKUP($A305,raw_ub[],COLUMN(U$1)-COLUMN($A$1),FALSE))</f>
        <v>167.85834407959484</v>
      </c>
      <c r="U305" s="70">
        <f>IF(VLOOKUP($A305,raw_ub[],COLUMN(V$1)-COLUMN($A$1),FALSE)=0, VLOOKUP($D305, regions_ub[], COLUMN(V$1)-COLUMN($A$1), FALSE), VLOOKUP($A305,raw_ub[],COLUMN(V$1)-COLUMN($A$1),FALSE))</f>
        <v>164.90277144673067</v>
      </c>
      <c r="V305" s="70">
        <f>IF(VLOOKUP($A305,raw_ub[],COLUMN(W$1)-COLUMN($A$1),FALSE)=0, VLOOKUP($D305, regions_ub[], COLUMN(W$1)-COLUMN($A$1), FALSE), VLOOKUP($A305,raw_ub[],COLUMN(W$1)-COLUMN($A$1),FALSE))</f>
        <v>2.5653230237214393</v>
      </c>
      <c r="W305" s="70">
        <f>IF(VLOOKUP($A305,raw_ub[],COLUMN(X$1)-COLUMN($A$1),FALSE)=0, VLOOKUP($D305, regions_ub[], COLUMN(X$1)-COLUMN($A$1), FALSE), VLOOKUP($A305,raw_ub[],COLUMN(X$1)-COLUMN($A$1),FALSE))</f>
        <v>7.6368230237214396</v>
      </c>
      <c r="X305" s="70">
        <f>IF(VLOOKUP($A305,raw_ub[],COLUMN(Y$1)-COLUMN($A$1),FALSE)=0, VLOOKUP($D305, regions_ub[], COLUMN(Y$1)-COLUMN($A$1), FALSE), VLOOKUP($A305,raw_ub[],COLUMN(Y$1)-COLUMN($A$1),FALSE))</f>
        <v>2.5564735992945873</v>
      </c>
      <c r="Y305" s="70">
        <f>IF(VLOOKUP($A305,raw_ub[],COLUMN(Z$1)-COLUMN($A$1),FALSE)=0, VLOOKUP($D305, regions_ub[], COLUMN(Z$1)-COLUMN($A$1), FALSE), VLOOKUP($A305,raw_ub[],COLUMN(Z$1)-COLUMN($A$1),FALSE))</f>
        <v>7.6279735992945881</v>
      </c>
      <c r="Z305" s="70">
        <f>IF(VLOOKUP($A305,raw_ub[],COLUMN(AA$1)-COLUMN($A$1),FALSE)=0, VLOOKUP($D305, regions_ub[], COLUMN(AA$1)-COLUMN($A$1), FALSE), VLOOKUP($A305,raw_ub[],COLUMN(AA$1)-COLUMN($A$1),FALSE))</f>
        <v>7.6232937791737925</v>
      </c>
      <c r="AA305" s="70">
        <f>IF(VLOOKUP($A305,raw_ub[],COLUMN(AB$1)-COLUMN($A$1),FALSE)=0, VLOOKUP($D305, regions_ub[], COLUMN(AB$1)-COLUMN($A$1), FALSE), VLOOKUP($A305,raw_ub[],COLUMN(AB$1)-COLUMN($A$1),FALSE))</f>
        <v>2.5673651985891746</v>
      </c>
      <c r="AB305" s="70">
        <f>IF(VLOOKUP($A305,raw_ub[],COLUMN(AC$1)-COLUMN($A$1),FALSE)=0, VLOOKUP($D305, regions_ub[], COLUMN(AC$1)-COLUMN($A$1), FALSE), VLOOKUP($A305,raw_ub[],COLUMN(AC$1)-COLUMN($A$1),FALSE))</f>
        <v>7.6388651985891745</v>
      </c>
      <c r="AC305" s="72">
        <f>IF(VLOOKUP($A305,raw_ub[],COLUMN(AD$1)-COLUMN($A$1),FALSE)=0, VLOOKUP($D305, regions_ub[], COLUMN(AD$1)-COLUMN($A$1), FALSE), VLOOKUP($A305,raw_ub[],COLUMN(AD$1)-COLUMN($A$1),FALSE))</f>
        <v>6.8179145999999941E-2</v>
      </c>
      <c r="AD305" s="72">
        <f>IF(VLOOKUP($A305,raw_ub[],COLUMN(AE$1)-COLUMN($A$1),FALSE)=0, VLOOKUP($D305, regions_ub[], COLUMN(AE$1)-COLUMN($A$1), FALSE), VLOOKUP($A305,raw_ub[],COLUMN(AE$1)-COLUMN($A$1),FALSE))</f>
        <v>9.9809530591311122E-3</v>
      </c>
      <c r="AE305" s="72">
        <f>IF(VLOOKUP($A305,raw_ub[],COLUMN(AF$1)-COLUMN($A$1),FALSE)=0, VLOOKUP($D305, regions_ub[], COLUMN(AF$1)-COLUMN($A$1), FALSE), VLOOKUP($A305,raw_ub[],COLUMN(AF$1)-COLUMN($A$1),FALSE))</f>
        <v>3.6131285870006297E-3</v>
      </c>
      <c r="AF305" s="72">
        <f>IF(VLOOKUP($A305,raw_ub[],COLUMN(AG$1)-COLUMN($A$1),FALSE)=0, VLOOKUP($D305, regions_ub[], COLUMN(AG$1)-COLUMN($A$1), FALSE), VLOOKUP($A305,raw_ub[],COLUMN(AG$1)-COLUMN($A$1),FALSE))</f>
        <v>2.1347073568982258E-3</v>
      </c>
      <c r="AG305" s="72">
        <f>IF(VLOOKUP($A305,raw_ub[],COLUMN(AH$1)-COLUMN($A$1),FALSE)=0, VLOOKUP($D305, regions_ub[], COLUMN(AH$1)-COLUMN($A$1), FALSE), VLOOKUP($A305,raw_ub[],COLUMN(AH$1)-COLUMN($A$1),FALSE))</f>
        <v>2.8557623331473964E-3</v>
      </c>
      <c r="AH305" s="72">
        <f>IF(VLOOKUP($A305,raw_ub[],COLUMN(AI$1)-COLUMN($A$1),FALSE)=0, VLOOKUP($D305, regions_ub[], COLUMN(AI$1)-COLUMN($A$1), FALSE), VLOOKUP($A305,raw_ub[],COLUMN(AI$1)-COLUMN($A$1),FALSE))</f>
        <v>3.8467359351907621E-3</v>
      </c>
      <c r="AI305" s="72">
        <f>IF(VLOOKUP($A305,raw_ub[],COLUMN(AJ$1)-COLUMN($A$1),FALSE)=0, VLOOKUP($D305, regions_ub[], COLUMN(AJ$1)-COLUMN($A$1), FALSE), VLOOKUP($A305,raw_ub[],COLUMN(AJ$1)-COLUMN($A$1),FALSE))</f>
        <v>4.2138562223496675E-3</v>
      </c>
      <c r="AJ305" s="72">
        <f>IF(VLOOKUP($A305,raw_ub[],COLUMN(AK$1)-COLUMN($A$1),FALSE)=0, VLOOKUP($D305, regions_ub[], COLUMN(AK$1)-COLUMN($A$1), FALSE), VLOOKUP($A305,raw_ub[],COLUMN(AK$1)-COLUMN($A$1),FALSE))</f>
        <v>4.6267852367904211E-3</v>
      </c>
      <c r="AK305" s="72">
        <f>IF(VLOOKUP($A305,raw_ub[],COLUMN(AL$1)-COLUMN($A$1),FALSE)=0, VLOOKUP($D305, regions_ub[], COLUMN(AL$1)-COLUMN($A$1), FALSE), VLOOKUP($A305,raw_ub[],COLUMN(AL$1)-COLUMN($A$1),FALSE))</f>
        <v>5.2382755358250412E-3</v>
      </c>
      <c r="AL305" s="72">
        <f>IF(VLOOKUP($A305,raw_ub[],COLUMN(AM$1)-COLUMN($A$1),FALSE)=0, VLOOKUP($D305, regions_ub[], COLUMN(AM$1)-COLUMN($A$1), FALSE), VLOOKUP($A305,raw_ub[],COLUMN(AM$1)-COLUMN($A$1),FALSE))</f>
        <v>6.4208911195776375E-3</v>
      </c>
      <c r="AM305" s="72">
        <f>IF(VLOOKUP($A305,raw_ub[],COLUMN(AN$1)-COLUMN($A$1),FALSE)=0, VLOOKUP($D305, regions_ub[], COLUMN(AN$1)-COLUMN($A$1), FALSE), VLOOKUP($A305,raw_ub[],COLUMN(AN$1)-COLUMN($A$1),FALSE))</f>
        <v>7.7283181586088115E-3</v>
      </c>
      <c r="AN305" s="72">
        <f>IF(VLOOKUP($A305,raw_ub[],COLUMN(AO$1)-COLUMN($A$1),FALSE)=0, VLOOKUP($D305, regions_ub[], COLUMN(AO$1)-COLUMN($A$1), FALSE), VLOOKUP($A305,raw_ub[],COLUMN(AO$1)-COLUMN($A$1),FALSE))</f>
        <v>1.0645845397185893E-2</v>
      </c>
      <c r="AO305" s="72">
        <f>IF(VLOOKUP($A305,raw_ub[],COLUMN(AP$1)-COLUMN($A$1),FALSE)=0, VLOOKUP($D305, regions_ub[], COLUMN(AP$1)-COLUMN($A$1), FALSE), VLOOKUP($A305,raw_ub[],COLUMN(AP$1)-COLUMN($A$1),FALSE))</f>
        <v>1.4113132619577695E-2</v>
      </c>
      <c r="AP305" s="72">
        <f>IF(VLOOKUP($A305,raw_ub[],COLUMN(AQ$1)-COLUMN($A$1),FALSE)=0, VLOOKUP($D305, regions_ub[], COLUMN(AQ$1)-COLUMN($A$1), FALSE), VLOOKUP($A305,raw_ub[],COLUMN(AQ$1)-COLUMN($A$1),FALSE))</f>
        <v>2.103716336586222E-2</v>
      </c>
      <c r="AQ305" s="72">
        <f>IF(VLOOKUP($A305,raw_ub[],COLUMN(AR$1)-COLUMN($A$1),FALSE)=0, VLOOKUP($D305, regions_ub[], COLUMN(AR$1)-COLUMN($A$1), FALSE), VLOOKUP($A305,raw_ub[],COLUMN(AR$1)-COLUMN($A$1),FALSE))</f>
        <v>3.1894047538254179E-2</v>
      </c>
      <c r="AR305" s="72">
        <f>IF(VLOOKUP($A305,raw_ub[],COLUMN(AS$1)-COLUMN($A$1),FALSE)=0, VLOOKUP($D305, regions_ub[], COLUMN(AS$1)-COLUMN($A$1), FALSE), VLOOKUP($A305,raw_ub[],COLUMN(AS$1)-COLUMN($A$1),FALSE))</f>
        <v>4.8670284947360393E-2</v>
      </c>
      <c r="AS305" s="72">
        <f>IF(VLOOKUP($A305,raw_ub[],COLUMN(AT$1)-COLUMN($A$1),FALSE)=0, VLOOKUP($D305, regions_ub[], COLUMN(AT$1)-COLUMN($A$1), FALSE), VLOOKUP($A305,raw_ub[],COLUMN(AT$1)-COLUMN($A$1),FALSE))</f>
        <v>7.2363064897314422E-2</v>
      </c>
      <c r="AT305" s="82">
        <f>IF(VLOOKUP($A305,raw_ub[],COLUMN(AT$1),FALSE)=0, VLOOKUP($D305, regions_ub[], COLUMN(AT$1), FALSE), VLOOKUP($A305,raw_ub[],COLUMN(AT$1),FALSE))</f>
        <v>0.10360179250949343</v>
      </c>
      <c r="AU305" s="82">
        <f>IF(VLOOKUP($A305,raw_ub[],COLUMN(AU$1),FALSE)=0, VLOOKUP($D305, regions_ub[], COLUMN(AU$1), FALSE), VLOOKUP($A305,raw_ub[],COLUMN(AU$1),FALSE))</f>
        <v>0.13721220924006233</v>
      </c>
      <c r="AV305" s="82">
        <f>IF(VLOOKUP($A305,raw_ub[],COLUMN(AV$1),FALSE)=0, VLOOKUP($D305, regions_ub[], COLUMN(AV$1), FALSE), VLOOKUP($A305,raw_ub[],COLUMN(AV$1),FALSE))</f>
        <v>0.16573935331980036</v>
      </c>
      <c r="AW305" s="82">
        <f>IF(VLOOKUP($A305,raw_ub[],COLUMN(AW$1),FALSE)=0, VLOOKUP($D305, regions_ub[], COLUMN(AW$1), FALSE), VLOOKUP($A305,raw_ub[],COLUMN(AW$1),FALSE))</f>
        <v>0.1855006038634697</v>
      </c>
      <c r="AX305" s="82">
        <f>IF(VLOOKUP($A305,raw_ub[],COLUMN(AX$1),FALSE)=0, VLOOKUP($D305, regions_ub[], COLUMN(AX$1), FALSE), VLOOKUP($A305,raw_ub[],COLUMN(AX$1),FALSE))</f>
        <v>63.221550000000001</v>
      </c>
      <c r="AY305" t="str">
        <f t="shared" si="10"/>
        <v>Yes</v>
      </c>
    </row>
    <row r="306" spans="1:51" x14ac:dyDescent="0.25">
      <c r="A306" s="53" t="s">
        <v>279</v>
      </c>
      <c r="B306" s="54" t="s">
        <v>280</v>
      </c>
      <c r="C306" s="54">
        <v>178</v>
      </c>
      <c r="D306" s="54" t="s">
        <v>207</v>
      </c>
      <c r="E306" s="54" t="s">
        <v>210</v>
      </c>
      <c r="F306" s="54" t="s">
        <v>211</v>
      </c>
      <c r="G306" s="54" t="s">
        <v>212</v>
      </c>
      <c r="H306" s="73"/>
      <c r="I306" s="73"/>
      <c r="J306" s="67">
        <f>IF(VLOOKUP($A306,raw_ub[],COLUMN(J$1),FALSE)=0, VLOOKUP($D306, regions_ub[], COLUMN(J$1), FALSE), VLOOKUP($A306,raw_ub[],COLUMN(J$1),FALSE))</f>
        <v>0.9607500000000001</v>
      </c>
      <c r="K306" s="77">
        <f>VLOOKUP($A306, raw_ub[], 11, FALSE)</f>
        <v>0</v>
      </c>
      <c r="L306" s="77">
        <f>VLOOKUP($A306, raw_ub[], 12, FALSE)</f>
        <v>0.76649999999999996</v>
      </c>
      <c r="M306" s="77">
        <f>IF(VLOOKUP($A306,raw_ub[],COLUMN(M$1),FALSE)=0, VLOOKUP($D306, regions_ub[], COLUMN(M$1), FALSE), VLOOKUP($A306,raw_ub[],COLUMN(M$1),FALSE))</f>
        <v>0.10929999999999999</v>
      </c>
      <c r="N306" s="68">
        <f>IF(VLOOKUP($A306,raw_ub[],COLUMN(N$1),FALSE)=0, VLOOKUP($D306, regions_ub[], COLUMN(N$1), FALSE), VLOOKUP($A306,raw_ub[],COLUMN(N$1),FALSE))</f>
        <v>0.40200000000000002</v>
      </c>
      <c r="O306" s="67">
        <f>IF(VLOOKUP($A306,raw_ub[],COLUMN(O$1),FALSE)=0, VLOOKUP($D306, regions_ub[], COLUMN(O$1), FALSE), VLOOKUP($A306,raw_ub[],COLUMN(O$1),FALSE))</f>
        <v>0.74399999999999999</v>
      </c>
      <c r="P306" s="68">
        <f>IF(VLOOKUP($A306,raw_ub[],COLUMN(P$1),FALSE)=0, VLOOKUP($D306, regions_ub[], COLUMN(P$1), FALSE), VLOOKUP($A306,raw_ub[],COLUMN(P$1),FALSE))</f>
        <v>0.13300000000000001</v>
      </c>
      <c r="Q306" s="70">
        <f>IF(VLOOKUP($A306,raw_ub[],COLUMN(Q$1),FALSE)=0, VLOOKUP($D306, regions_ub[], COLUMN(Q$1), FALSE), VLOOKUP($A306,raw_ub[],COLUMN(Q$1),FALSE))</f>
        <v>14.656235522318299</v>
      </c>
      <c r="R306" s="70">
        <f>IF(VLOOKUP($A306,raw_ub[],COLUMN(R$1),FALSE)=0, VLOOKUP($D306, regions_ub[], COLUMN(R$1), FALSE), VLOOKUP($A306,raw_ub[],COLUMN(R$1),FALSE))</f>
        <v>123.64203552231831</v>
      </c>
      <c r="S306" s="70">
        <f>IF(VLOOKUP($A306,raw_ub[],COLUMN(S$1),FALSE)=0, VLOOKUP($D306, regions_ub[], COLUMN(S$1), FALSE), VLOOKUP($A306,raw_ub[],COLUMN(S$1),FALSE))</f>
        <v>170.07516865884244</v>
      </c>
      <c r="T306" s="70">
        <f>IF(VLOOKUP($A306,raw_ub[],COLUMN(U$1)-COLUMN($A$1),FALSE)=0, VLOOKUP($D306, regions_ub[], COLUMN(U$1)-COLUMN($A$1), FALSE), VLOOKUP($A306,raw_ub[],COLUMN(U$1)-COLUMN($A$1),FALSE))</f>
        <v>179.03400283764856</v>
      </c>
      <c r="U306" s="70">
        <f>IF(VLOOKUP($A306,raw_ub[],COLUMN(V$1)-COLUMN($A$1),FALSE)=0, VLOOKUP($D306, regions_ub[], COLUMN(V$1)-COLUMN($A$1), FALSE), VLOOKUP($A306,raw_ub[],COLUMN(V$1)-COLUMN($A$1),FALSE))</f>
        <v>174.92029554837106</v>
      </c>
      <c r="V306" s="70">
        <f>IF(VLOOKUP($A306,raw_ub[],COLUMN(W$1)-COLUMN($A$1),FALSE)=0, VLOOKUP($D306, regions_ub[], COLUMN(W$1)-COLUMN($A$1), FALSE), VLOOKUP($A306,raw_ub[],COLUMN(W$1)-COLUMN($A$1),FALSE))</f>
        <v>4.9200499465495957</v>
      </c>
      <c r="W306" s="70">
        <f>IF(VLOOKUP($A306,raw_ub[],COLUMN(X$1)-COLUMN($A$1),FALSE)=0, VLOOKUP($D306, regions_ub[], COLUMN(X$1)-COLUMN($A$1), FALSE), VLOOKUP($A306,raw_ub[],COLUMN(X$1)-COLUMN($A$1),FALSE))</f>
        <v>9.9915499465495969</v>
      </c>
      <c r="X306" s="70">
        <f>IF(VLOOKUP($A306,raw_ub[],COLUMN(Y$1)-COLUMN($A$1),FALSE)=0, VLOOKUP($D306, regions_ub[], COLUMN(Y$1)-COLUMN($A$1), FALSE), VLOOKUP($A306,raw_ub[],COLUMN(Y$1)-COLUMN($A$1),FALSE))</f>
        <v>4.8997376946480529</v>
      </c>
      <c r="Y306" s="70">
        <f>IF(VLOOKUP($A306,raw_ub[],COLUMN(Z$1)-COLUMN($A$1),FALSE)=0, VLOOKUP($D306, regions_ub[], COLUMN(Z$1)-COLUMN($A$1), FALSE), VLOOKUP($A306,raw_ub[],COLUMN(Z$1)-COLUMN($A$1),FALSE))</f>
        <v>9.9712376946480532</v>
      </c>
      <c r="Z306" s="70">
        <f>IF(VLOOKUP($A306,raw_ub[],COLUMN(AA$1)-COLUMN($A$1),FALSE)=0, VLOOKUP($D306, regions_ub[], COLUMN(AA$1)-COLUMN($A$1), FALSE), VLOOKUP($A306,raw_ub[],COLUMN(AA$1)-COLUMN($A$1),FALSE))</f>
        <v>9.9599130466450898</v>
      </c>
      <c r="AA306" s="70">
        <f>IF(VLOOKUP($A306,raw_ub[],COLUMN(AB$1)-COLUMN($A$1),FALSE)=0, VLOOKUP($D306, regions_ub[], COLUMN(AB$1)-COLUMN($A$1), FALSE), VLOOKUP($A306,raw_ub[],COLUMN(AB$1)-COLUMN($A$1),FALSE))</f>
        <v>4.9247373892961059</v>
      </c>
      <c r="AB306" s="70">
        <f>IF(VLOOKUP($A306,raw_ub[],COLUMN(AC$1)-COLUMN($A$1),FALSE)=0, VLOOKUP($D306, regions_ub[], COLUMN(AC$1)-COLUMN($A$1), FALSE), VLOOKUP($A306,raw_ub[],COLUMN(AC$1)-COLUMN($A$1),FALSE))</f>
        <v>9.9962373892961054</v>
      </c>
      <c r="AC306" s="72">
        <f>IF(VLOOKUP($A306,raw_ub[],COLUMN(AD$1)-COLUMN($A$1),FALSE)=0, VLOOKUP($D306, regions_ub[], COLUMN(AD$1)-COLUMN($A$1), FALSE), VLOOKUP($A306,raw_ub[],COLUMN(AD$1)-COLUMN($A$1),FALSE))</f>
        <v>3.7071310499999947E-2</v>
      </c>
      <c r="AD306" s="72">
        <f>IF(VLOOKUP($A306,raw_ub[],COLUMN(AE$1)-COLUMN($A$1),FALSE)=0, VLOOKUP($D306, regions_ub[], COLUMN(AE$1)-COLUMN($A$1), FALSE), VLOOKUP($A306,raw_ub[],COLUMN(AE$1)-COLUMN($A$1),FALSE))</f>
        <v>3.3303177311180543E-3</v>
      </c>
      <c r="AE306" s="72">
        <f>IF(VLOOKUP($A306,raw_ub[],COLUMN(AF$1)-COLUMN($A$1),FALSE)=0, VLOOKUP($D306, regions_ub[], COLUMN(AF$1)-COLUMN($A$1), FALSE), VLOOKUP($A306,raw_ub[],COLUMN(AF$1)-COLUMN($A$1),FALSE))</f>
        <v>1.4125410797627207E-3</v>
      </c>
      <c r="AF306" s="72">
        <f>IF(VLOOKUP($A306,raw_ub[],COLUMN(AG$1)-COLUMN($A$1),FALSE)=0, VLOOKUP($D306, regions_ub[], COLUMN(AG$1)-COLUMN($A$1), FALSE), VLOOKUP($A306,raw_ub[],COLUMN(AG$1)-COLUMN($A$1),FALSE))</f>
        <v>1.0436199559808867E-3</v>
      </c>
      <c r="AG306" s="72">
        <f>IF(VLOOKUP($A306,raw_ub[],COLUMN(AH$1)-COLUMN($A$1),FALSE)=0, VLOOKUP($D306, regions_ub[], COLUMN(AH$1)-COLUMN($A$1), FALSE), VLOOKUP($A306,raw_ub[],COLUMN(AH$1)-COLUMN($A$1),FALSE))</f>
        <v>1.7021511230116281E-3</v>
      </c>
      <c r="AH306" s="72">
        <f>IF(VLOOKUP($A306,raw_ub[],COLUMN(AI$1)-COLUMN($A$1),FALSE)=0, VLOOKUP($D306, regions_ub[], COLUMN(AI$1)-COLUMN($A$1), FALSE), VLOOKUP($A306,raw_ub[],COLUMN(AI$1)-COLUMN($A$1),FALSE))</f>
        <v>2.6877670965000239E-3</v>
      </c>
      <c r="AI306" s="72">
        <f>IF(VLOOKUP($A306,raw_ub[],COLUMN(AJ$1)-COLUMN($A$1),FALSE)=0, VLOOKUP($D306, regions_ub[], COLUMN(AJ$1)-COLUMN($A$1), FALSE), VLOOKUP($A306,raw_ub[],COLUMN(AJ$1)-COLUMN($A$1),FALSE))</f>
        <v>3.612036369739266E-3</v>
      </c>
      <c r="AJ306" s="72">
        <f>IF(VLOOKUP($A306,raw_ub[],COLUMN(AK$1)-COLUMN($A$1),FALSE)=0, VLOOKUP($D306, regions_ub[], COLUMN(AK$1)-COLUMN($A$1), FALSE), VLOOKUP($A306,raw_ub[],COLUMN(AK$1)-COLUMN($A$1),FALSE))</f>
        <v>4.5924009199306698E-3</v>
      </c>
      <c r="AK306" s="72">
        <f>IF(VLOOKUP($A306,raw_ub[],COLUMN(AL$1)-COLUMN($A$1),FALSE)=0, VLOOKUP($D306, regions_ub[], COLUMN(AL$1)-COLUMN($A$1), FALSE), VLOOKUP($A306,raw_ub[],COLUMN(AL$1)-COLUMN($A$1),FALSE))</f>
        <v>5.9602219503795502E-3</v>
      </c>
      <c r="AL306" s="72">
        <f>IF(VLOOKUP($A306,raw_ub[],COLUMN(AM$1)-COLUMN($A$1),FALSE)=0, VLOOKUP($D306, regions_ub[], COLUMN(AM$1)-COLUMN($A$1), FALSE), VLOOKUP($A306,raw_ub[],COLUMN(AM$1)-COLUMN($A$1),FALSE))</f>
        <v>7.342677538236057E-3</v>
      </c>
      <c r="AM306" s="72">
        <f>IF(VLOOKUP($A306,raw_ub[],COLUMN(AN$1)-COLUMN($A$1),FALSE)=0, VLOOKUP($D306, regions_ub[], COLUMN(AN$1)-COLUMN($A$1), FALSE), VLOOKUP($A306,raw_ub[],COLUMN(AN$1)-COLUMN($A$1),FALSE))</f>
        <v>9.027285202148138E-3</v>
      </c>
      <c r="AN306" s="72">
        <f>IF(VLOOKUP($A306,raw_ub[],COLUMN(AO$1)-COLUMN($A$1),FALSE)=0, VLOOKUP($D306, regions_ub[], COLUMN(AO$1)-COLUMN($A$1), FALSE), VLOOKUP($A306,raw_ub[],COLUMN(AO$1)-COLUMN($A$1),FALSE))</f>
        <v>1.2024456605297801E-2</v>
      </c>
      <c r="AO306" s="72">
        <f>IF(VLOOKUP($A306,raw_ub[],COLUMN(AP$1)-COLUMN($A$1),FALSE)=0, VLOOKUP($D306, regions_ub[], COLUMN(AP$1)-COLUMN($A$1), FALSE), VLOOKUP($A306,raw_ub[],COLUMN(AP$1)-COLUMN($A$1),FALSE))</f>
        <v>1.5559301342286641E-2</v>
      </c>
      <c r="AP306" s="72">
        <f>IF(VLOOKUP($A306,raw_ub[],COLUMN(AQ$1)-COLUMN($A$1),FALSE)=0, VLOOKUP($D306, regions_ub[], COLUMN(AQ$1)-COLUMN($A$1), FALSE), VLOOKUP($A306,raw_ub[],COLUMN(AQ$1)-COLUMN($A$1),FALSE))</f>
        <v>2.2367405766487377E-2</v>
      </c>
      <c r="AQ306" s="72">
        <f>IF(VLOOKUP($A306,raw_ub[],COLUMN(AR$1)-COLUMN($A$1),FALSE)=0, VLOOKUP($D306, regions_ub[], COLUMN(AR$1)-COLUMN($A$1), FALSE), VLOOKUP($A306,raw_ub[],COLUMN(AR$1)-COLUMN($A$1),FALSE))</f>
        <v>3.3458601833906948E-2</v>
      </c>
      <c r="AR306" s="72">
        <f>IF(VLOOKUP($A306,raw_ub[],COLUMN(AS$1)-COLUMN($A$1),FALSE)=0, VLOOKUP($D306, regions_ub[], COLUMN(AS$1)-COLUMN($A$1), FALSE), VLOOKUP($A306,raw_ub[],COLUMN(AS$1)-COLUMN($A$1),FALSE))</f>
        <v>5.0976521067808846E-2</v>
      </c>
      <c r="AS306" s="72">
        <f>IF(VLOOKUP($A306,raw_ub[],COLUMN(AT$1)-COLUMN($A$1),FALSE)=0, VLOOKUP($D306, regions_ub[], COLUMN(AT$1)-COLUMN($A$1), FALSE), VLOOKUP($A306,raw_ub[],COLUMN(AT$1)-COLUMN($A$1),FALSE))</f>
        <v>7.7035595202035595E-2</v>
      </c>
      <c r="AT306" s="82">
        <f>IF(VLOOKUP($A306,raw_ub[],COLUMN(AT$1),FALSE)=0, VLOOKUP($D306, regions_ub[], COLUMN(AT$1), FALSE), VLOOKUP($A306,raw_ub[],COLUMN(AT$1),FALSE))</f>
        <v>0.11477758034772892</v>
      </c>
      <c r="AU306" s="82">
        <f>IF(VLOOKUP($A306,raw_ub[],COLUMN(AU$1),FALSE)=0, VLOOKUP($D306, regions_ub[], COLUMN(AU$1), FALSE), VLOOKUP($A306,raw_ub[],COLUMN(AU$1),FALSE))</f>
        <v>0.15752259566269641</v>
      </c>
      <c r="AV306" s="82">
        <f>IF(VLOOKUP($A306,raw_ub[],COLUMN(AV$1),FALSE)=0, VLOOKUP($D306, regions_ub[], COLUMN(AV$1), FALSE), VLOOKUP($A306,raw_ub[],COLUMN(AV$1),FALSE))</f>
        <v>0.1901080803334419</v>
      </c>
      <c r="AW306" s="82">
        <f>IF(VLOOKUP($A306,raw_ub[],COLUMN(AW$1),FALSE)=0, VLOOKUP($D306, regions_ub[], COLUMN(AW$1), FALSE), VLOOKUP($A306,raw_ub[],COLUMN(AW$1),FALSE))</f>
        <v>0.19916726345277219</v>
      </c>
      <c r="AX306" s="82">
        <f>IF(VLOOKUP($A306,raw_ub[],COLUMN(AX$1),FALSE)=0, VLOOKUP($D306, regions_ub[], COLUMN(AX$1), FALSE), VLOOKUP($A306,raw_ub[],COLUMN(AX$1),FALSE))</f>
        <v>67.364850000000004</v>
      </c>
      <c r="AY306" t="str">
        <f t="shared" si="10"/>
        <v>Yes</v>
      </c>
    </row>
    <row r="307" spans="1:51" x14ac:dyDescent="0.25">
      <c r="A307" s="55" t="s">
        <v>281</v>
      </c>
      <c r="B307" s="56" t="s">
        <v>282</v>
      </c>
      <c r="C307" s="56">
        <v>188</v>
      </c>
      <c r="D307" s="56" t="s">
        <v>215</v>
      </c>
      <c r="E307" s="56" t="s">
        <v>274</v>
      </c>
      <c r="F307" s="56" t="s">
        <v>217</v>
      </c>
      <c r="G307" s="56" t="s">
        <v>204</v>
      </c>
      <c r="H307" s="74"/>
      <c r="I307" s="74"/>
      <c r="J307" s="67">
        <f>IF(VLOOKUP($A307,raw_ub[],COLUMN(J$1),FALSE)=0, VLOOKUP($D307, regions_ub[], COLUMN(J$1), FALSE), VLOOKUP($A307,raw_ub[],COLUMN(J$1),FALSE))</f>
        <v>0.999</v>
      </c>
      <c r="K307" s="77">
        <f>VLOOKUP($A307, raw_ub[], 11, FALSE)</f>
        <v>0.91349999999999998</v>
      </c>
      <c r="L307" s="77">
        <f>VLOOKUP($A307, raw_ub[], 12, FALSE)</f>
        <v>0.999</v>
      </c>
      <c r="M307" s="77">
        <f>IF(VLOOKUP($A307,raw_ub[],COLUMN(M$1),FALSE)=0, VLOOKUP($D307, regions_ub[], COLUMN(M$1), FALSE), VLOOKUP($A307,raw_ub[],COLUMN(M$1),FALSE))</f>
        <v>7.3000000000000001E-3</v>
      </c>
      <c r="N307" s="68">
        <f>IF(VLOOKUP($A307,raw_ub[],COLUMN(N$1),FALSE)=0, VLOOKUP($D307, regions_ub[], COLUMN(N$1), FALSE), VLOOKUP($A307,raw_ub[],COLUMN(N$1),FALSE))</f>
        <v>0.42950000000000005</v>
      </c>
      <c r="O307" s="67">
        <f>IF(VLOOKUP($A307,raw_ub[],COLUMN(O$1),FALSE)=0, VLOOKUP($D307, regions_ub[], COLUMN(O$1), FALSE), VLOOKUP($A307,raw_ub[],COLUMN(O$1),FALSE))</f>
        <v>0.9</v>
      </c>
      <c r="P307" s="68">
        <f>IF(VLOOKUP($A307,raw_ub[],COLUMN(P$1),FALSE)=0, VLOOKUP($D307, regions_ub[], COLUMN(P$1), FALSE), VLOOKUP($A307,raw_ub[],COLUMN(P$1),FALSE))</f>
        <v>0.3</v>
      </c>
      <c r="Q307" s="70">
        <f>IF(VLOOKUP($A307,raw_ub[],COLUMN(Q$1),FALSE)=0, VLOOKUP($D307, regions_ub[], COLUMN(Q$1), FALSE), VLOOKUP($A307,raw_ub[],COLUMN(Q$1),FALSE))</f>
        <v>35.200565954514104</v>
      </c>
      <c r="R307" s="70">
        <f>IF(VLOOKUP($A307,raw_ub[],COLUMN(R$1),FALSE)=0, VLOOKUP($D307, regions_ub[], COLUMN(R$1), FALSE), VLOOKUP($A307,raw_ub[],COLUMN(R$1),FALSE))</f>
        <v>144.18636595451409</v>
      </c>
      <c r="S307" s="70">
        <f>IF(VLOOKUP($A307,raw_ub[],COLUMN(S$1),FALSE)=0, VLOOKUP($D307, regions_ub[], COLUMN(S$1), FALSE), VLOOKUP($A307,raw_ub[],COLUMN(S$1),FALSE))</f>
        <v>249.29303572907432</v>
      </c>
      <c r="T307" s="70">
        <f>IF(VLOOKUP($A307,raw_ub[],COLUMN(U$1)-COLUMN($A$1),FALSE)=0, VLOOKUP($D307, regions_ub[], COLUMN(U$1)-COLUMN($A$1), FALSE), VLOOKUP($A307,raw_ub[],COLUMN(U$1)-COLUMN($A$1),FALSE))</f>
        <v>288.78939502054664</v>
      </c>
      <c r="U307" s="70">
        <f>IF(VLOOKUP($A307,raw_ub[],COLUMN(V$1)-COLUMN($A$1),FALSE)=0, VLOOKUP($D307, regions_ub[], COLUMN(V$1)-COLUMN($A$1), FALSE), VLOOKUP($A307,raw_ub[],COLUMN(V$1)-COLUMN($A$1),FALSE))</f>
        <v>270.65350168058251</v>
      </c>
      <c r="V307" s="70">
        <f>IF(VLOOKUP($A307,raw_ub[],COLUMN(W$1)-COLUMN($A$1),FALSE)=0, VLOOKUP($D307, regions_ub[], COLUMN(W$1)-COLUMN($A$1), FALSE), VLOOKUP($A307,raw_ub[],COLUMN(W$1)-COLUMN($A$1),FALSE))</f>
        <v>14.150240391278899</v>
      </c>
      <c r="W307" s="70">
        <f>IF(VLOOKUP($A307,raw_ub[],COLUMN(X$1)-COLUMN($A$1),FALSE)=0, VLOOKUP($D307, regions_ub[], COLUMN(X$1)-COLUMN($A$1), FALSE), VLOOKUP($A307,raw_ub[],COLUMN(X$1)-COLUMN($A$1),FALSE))</f>
        <v>14.1712403912789</v>
      </c>
      <c r="X307" s="70">
        <f>IF(VLOOKUP($A307,raw_ub[],COLUMN(Y$1)-COLUMN($A$1),FALSE)=0, VLOOKUP($D307, regions_ub[], COLUMN(Y$1)-COLUMN($A$1), FALSE), VLOOKUP($A307,raw_ub[],COLUMN(Y$1)-COLUMN($A$1),FALSE))</f>
        <v>14.076275595188358</v>
      </c>
      <c r="Y307" s="70">
        <f>IF(VLOOKUP($A307,raw_ub[],COLUMN(Z$1)-COLUMN($A$1),FALSE)=0, VLOOKUP($D307, regions_ub[], COLUMN(Z$1)-COLUMN($A$1), FALSE), VLOOKUP($A307,raw_ub[],COLUMN(Z$1)-COLUMN($A$1),FALSE))</f>
        <v>14.097275595188359</v>
      </c>
      <c r="Z307" s="70">
        <f>IF(VLOOKUP($A307,raw_ub[],COLUMN(AA$1)-COLUMN($A$1),FALSE)=0, VLOOKUP($D307, regions_ub[], COLUMN(AA$1)-COLUMN($A$1), FALSE), VLOOKUP($A307,raw_ub[],COLUMN(AA$1)-COLUMN($A$1),FALSE))</f>
        <v>14.054955303706629</v>
      </c>
      <c r="AA307" s="70">
        <f>IF(VLOOKUP($A307,raw_ub[],COLUMN(AB$1)-COLUMN($A$1),FALSE)=0, VLOOKUP($D307, regions_ub[], COLUMN(AB$1)-COLUMN($A$1), FALSE), VLOOKUP($A307,raw_ub[],COLUMN(AB$1)-COLUMN($A$1),FALSE))</f>
        <v>14.167309190376717</v>
      </c>
      <c r="AB307" s="70">
        <f>IF(VLOOKUP($A307,raw_ub[],COLUMN(AC$1)-COLUMN($A$1),FALSE)=0, VLOOKUP($D307, regions_ub[], COLUMN(AC$1)-COLUMN($A$1), FALSE), VLOOKUP($A307,raw_ub[],COLUMN(AC$1)-COLUMN($A$1),FALSE))</f>
        <v>14.188309190376717</v>
      </c>
      <c r="AC307" s="72">
        <f>IF(VLOOKUP($A307,raw_ub[],COLUMN(AD$1)-COLUMN($A$1),FALSE)=0, VLOOKUP($D307, regions_ub[], COLUMN(AD$1)-COLUMN($A$1), FALSE), VLOOKUP($A307,raw_ub[],COLUMN(AD$1)-COLUMN($A$1),FALSE))</f>
        <v>7.6840364999999442E-3</v>
      </c>
      <c r="AD307" s="72">
        <f>IF(VLOOKUP($A307,raw_ub[],COLUMN(AE$1)-COLUMN($A$1),FALSE)=0, VLOOKUP($D307, regions_ub[], COLUMN(AE$1)-COLUMN($A$1), FALSE), VLOOKUP($A307,raw_ub[],COLUMN(AE$1)-COLUMN($A$1),FALSE))</f>
        <v>4.8449547587691024E-4</v>
      </c>
      <c r="AE307" s="72">
        <f>IF(VLOOKUP($A307,raw_ub[],COLUMN(AF$1)-COLUMN($A$1),FALSE)=0, VLOOKUP($D307, regions_ub[], COLUMN(AF$1)-COLUMN($A$1), FALSE), VLOOKUP($A307,raw_ub[],COLUMN(AF$1)-COLUMN($A$1),FALSE))</f>
        <v>1.9864859824144407E-4</v>
      </c>
      <c r="AF307" s="72">
        <f>IF(VLOOKUP($A307,raw_ub[],COLUMN(AG$1)-COLUMN($A$1),FALSE)=0, VLOOKUP($D307, regions_ub[], COLUMN(AG$1)-COLUMN($A$1), FALSE), VLOOKUP($A307,raw_ub[],COLUMN(AG$1)-COLUMN($A$1),FALSE))</f>
        <v>2.6494374921401566E-4</v>
      </c>
      <c r="AG307" s="72">
        <f>IF(VLOOKUP($A307,raw_ub[],COLUMN(AH$1)-COLUMN($A$1),FALSE)=0, VLOOKUP($D307, regions_ub[], COLUMN(AH$1)-COLUMN($A$1), FALSE), VLOOKUP($A307,raw_ub[],COLUMN(AH$1)-COLUMN($A$1),FALSE))</f>
        <v>5.47810767724522E-4</v>
      </c>
      <c r="AH307" s="72">
        <f>IF(VLOOKUP($A307,raw_ub[],COLUMN(AI$1)-COLUMN($A$1),FALSE)=0, VLOOKUP($D307, regions_ub[], COLUMN(AI$1)-COLUMN($A$1), FALSE), VLOOKUP($A307,raw_ub[],COLUMN(AI$1)-COLUMN($A$1),FALSE))</f>
        <v>8.3040647949385825E-4</v>
      </c>
      <c r="AI307" s="72">
        <f>IF(VLOOKUP($A307,raw_ub[],COLUMN(AJ$1)-COLUMN($A$1),FALSE)=0, VLOOKUP($D307, regions_ub[], COLUMN(AJ$1)-COLUMN($A$1), FALSE), VLOOKUP($A307,raw_ub[],COLUMN(AJ$1)-COLUMN($A$1),FALSE))</f>
        <v>9.6546940223510367E-4</v>
      </c>
      <c r="AJ307" s="72">
        <f>IF(VLOOKUP($A307,raw_ub[],COLUMN(AK$1)-COLUMN($A$1),FALSE)=0, VLOOKUP($D307, regions_ub[], COLUMN(AK$1)-COLUMN($A$1), FALSE), VLOOKUP($A307,raw_ub[],COLUMN(AK$1)-COLUMN($A$1),FALSE))</f>
        <v>1.1399615311745647E-3</v>
      </c>
      <c r="AK307" s="72">
        <f>IF(VLOOKUP($A307,raw_ub[],COLUMN(AL$1)-COLUMN($A$1),FALSE)=0, VLOOKUP($D307, regions_ub[], COLUMN(AL$1)-COLUMN($A$1), FALSE), VLOOKUP($A307,raw_ub[],COLUMN(AL$1)-COLUMN($A$1),FALSE))</f>
        <v>1.3985603515726487E-3</v>
      </c>
      <c r="AL307" s="72">
        <f>IF(VLOOKUP($A307,raw_ub[],COLUMN(AM$1)-COLUMN($A$1),FALSE)=0, VLOOKUP($D307, regions_ub[], COLUMN(AM$1)-COLUMN($A$1), FALSE), VLOOKUP($A307,raw_ub[],COLUMN(AM$1)-COLUMN($A$1),FALSE))</f>
        <v>1.8358241104170759E-3</v>
      </c>
      <c r="AM307" s="72">
        <f>IF(VLOOKUP($A307,raw_ub[],COLUMN(AN$1)-COLUMN($A$1),FALSE)=0, VLOOKUP($D307, regions_ub[], COLUMN(AN$1)-COLUMN($A$1), FALSE), VLOOKUP($A307,raw_ub[],COLUMN(AN$1)-COLUMN($A$1),FALSE))</f>
        <v>2.5921710105203891E-3</v>
      </c>
      <c r="AN307" s="72">
        <f>IF(VLOOKUP($A307,raw_ub[],COLUMN(AO$1)-COLUMN($A$1),FALSE)=0, VLOOKUP($D307, regions_ub[], COLUMN(AO$1)-COLUMN($A$1), FALSE), VLOOKUP($A307,raw_ub[],COLUMN(AO$1)-COLUMN($A$1),FALSE))</f>
        <v>3.8003885665016837E-3</v>
      </c>
      <c r="AO307" s="72">
        <f>IF(VLOOKUP($A307,raw_ub[],COLUMN(AP$1)-COLUMN($A$1),FALSE)=0, VLOOKUP($D307, regions_ub[], COLUMN(AP$1)-COLUMN($A$1), FALSE), VLOOKUP($A307,raw_ub[],COLUMN(AP$1)-COLUMN($A$1),FALSE))</f>
        <v>5.7656491555989819E-3</v>
      </c>
      <c r="AP307" s="72">
        <f>IF(VLOOKUP($A307,raw_ub[],COLUMN(AQ$1)-COLUMN($A$1),FALSE)=0, VLOOKUP($D307, regions_ub[], COLUMN(AQ$1)-COLUMN($A$1), FALSE), VLOOKUP($A307,raw_ub[],COLUMN(AQ$1)-COLUMN($A$1),FALSE))</f>
        <v>8.879850796448624E-3</v>
      </c>
      <c r="AQ307" s="72">
        <f>IF(VLOOKUP($A307,raw_ub[],COLUMN(AR$1)-COLUMN($A$1),FALSE)=0, VLOOKUP($D307, regions_ub[], COLUMN(AR$1)-COLUMN($A$1), FALSE), VLOOKUP($A307,raw_ub[],COLUMN(AR$1)-COLUMN($A$1),FALSE))</f>
        <v>1.3904015770322384E-2</v>
      </c>
      <c r="AR307" s="72">
        <f>IF(VLOOKUP($A307,raw_ub[],COLUMN(AS$1)-COLUMN($A$1),FALSE)=0, VLOOKUP($D307, regions_ub[], COLUMN(AS$1)-COLUMN($A$1), FALSE), VLOOKUP($A307,raw_ub[],COLUMN(AS$1)-COLUMN($A$1),FALSE))</f>
        <v>2.1510604932386289E-2</v>
      </c>
      <c r="AS307" s="72">
        <f>IF(VLOOKUP($A307,raw_ub[],COLUMN(AT$1)-COLUMN($A$1),FALSE)=0, VLOOKUP($D307, regions_ub[], COLUMN(AT$1)-COLUMN($A$1), FALSE), VLOOKUP($A307,raw_ub[],COLUMN(AT$1)-COLUMN($A$1),FALSE))</f>
        <v>3.4097894881394059E-2</v>
      </c>
      <c r="AT307" s="82">
        <f>IF(VLOOKUP($A307,raw_ub[],COLUMN(AT$1),FALSE)=0, VLOOKUP($D307, regions_ub[], COLUMN(AT$1), FALSE), VLOOKUP($A307,raw_ub[],COLUMN(AT$1),FALSE))</f>
        <v>5.2973451743123331E-2</v>
      </c>
      <c r="AU307" s="82">
        <f>IF(VLOOKUP($A307,raw_ub[],COLUMN(AU$1),FALSE)=0, VLOOKUP($D307, regions_ub[], COLUMN(AU$1), FALSE), VLOOKUP($A307,raw_ub[],COLUMN(AU$1),FALSE))</f>
        <v>7.8864980847786398E-2</v>
      </c>
      <c r="AV307" s="82">
        <f>IF(VLOOKUP($A307,raw_ub[],COLUMN(AV$1),FALSE)=0, VLOOKUP($D307, regions_ub[], COLUMN(AV$1), FALSE), VLOOKUP($A307,raw_ub[],COLUMN(AV$1),FALSE))</f>
        <v>0.1119692505070348</v>
      </c>
      <c r="AW307" s="82">
        <f>IF(VLOOKUP($A307,raw_ub[],COLUMN(AW$1),FALSE)=0, VLOOKUP($D307, regions_ub[], COLUMN(AW$1), FALSE), VLOOKUP($A307,raw_ub[],COLUMN(AW$1),FALSE))</f>
        <v>0.14876225985532948</v>
      </c>
      <c r="AX307" s="82">
        <f>IF(VLOOKUP($A307,raw_ub[],COLUMN(AX$1),FALSE)=0, VLOOKUP($D307, regions_ub[], COLUMN(AX$1), FALSE), VLOOKUP($A307,raw_ub[],COLUMN(AX$1),FALSE))</f>
        <v>84.003150000000005</v>
      </c>
      <c r="AY307" t="str">
        <f t="shared" si="10"/>
        <v>No</v>
      </c>
    </row>
    <row r="308" spans="1:51" x14ac:dyDescent="0.25">
      <c r="A308" s="53" t="s">
        <v>283</v>
      </c>
      <c r="B308" s="54" t="s">
        <v>284</v>
      </c>
      <c r="C308" s="54">
        <v>384</v>
      </c>
      <c r="D308" s="54" t="s">
        <v>207</v>
      </c>
      <c r="E308" s="54" t="s">
        <v>235</v>
      </c>
      <c r="F308" s="54" t="s">
        <v>211</v>
      </c>
      <c r="G308" s="54" t="s">
        <v>212</v>
      </c>
      <c r="H308" s="73"/>
      <c r="I308" s="73"/>
      <c r="J308" s="67">
        <f>IF(VLOOKUP($A308,raw_ub[],COLUMN(J$1),FALSE)=0, VLOOKUP($D308, regions_ub[], COLUMN(J$1), FALSE), VLOOKUP($A308,raw_ub[],COLUMN(J$1),FALSE))</f>
        <v>0.7329</v>
      </c>
      <c r="K308" s="77">
        <f>VLOOKUP($A308, raw_ub[], 11, FALSE)</f>
        <v>0.65100000000000002</v>
      </c>
      <c r="L308" s="77">
        <f>VLOOKUP($A308, raw_ub[], 12, FALSE)</f>
        <v>0.84000000000000008</v>
      </c>
      <c r="M308" s="77">
        <f>IF(VLOOKUP($A308,raw_ub[],COLUMN(M$1),FALSE)=0, VLOOKUP($D308, regions_ub[], COLUMN(M$1), FALSE), VLOOKUP($A308,raw_ub[],COLUMN(M$1),FALSE))</f>
        <v>0.1182</v>
      </c>
      <c r="N308" s="68">
        <f>IF(VLOOKUP($A308,raw_ub[],COLUMN(N$1),FALSE)=0, VLOOKUP($D308, regions_ub[], COLUMN(N$1), FALSE), VLOOKUP($A308,raw_ub[],COLUMN(N$1),FALSE))</f>
        <v>0.41070000000000001</v>
      </c>
      <c r="O308" s="67">
        <f>IF(VLOOKUP($A308,raw_ub[],COLUMN(O$1),FALSE)=0, VLOOKUP($D308, regions_ub[], COLUMN(O$1), FALSE), VLOOKUP($A308,raw_ub[],COLUMN(O$1),FALSE))</f>
        <v>0.74399999999999999</v>
      </c>
      <c r="P308" s="68">
        <f>IF(VLOOKUP($A308,raw_ub[],COLUMN(P$1),FALSE)=0, VLOOKUP($D308, regions_ub[], COLUMN(P$1), FALSE), VLOOKUP($A308,raw_ub[],COLUMN(P$1),FALSE))</f>
        <v>0.13300000000000001</v>
      </c>
      <c r="Q308" s="70">
        <f>IF(VLOOKUP($A308,raw_ub[],COLUMN(Q$1),FALSE)=0, VLOOKUP($D308, regions_ub[], COLUMN(Q$1), FALSE), VLOOKUP($A308,raw_ub[],COLUMN(Q$1),FALSE))</f>
        <v>8.72911954022989</v>
      </c>
      <c r="R308" s="70">
        <f>IF(VLOOKUP($A308,raw_ub[],COLUMN(R$1),FALSE)=0, VLOOKUP($D308, regions_ub[], COLUMN(R$1), FALSE), VLOOKUP($A308,raw_ub[],COLUMN(R$1),FALSE))</f>
        <v>117.7149195402299</v>
      </c>
      <c r="S308" s="70">
        <f>IF(VLOOKUP($A308,raw_ub[],COLUMN(S$1),FALSE)=0, VLOOKUP($D308, regions_ub[], COLUMN(S$1), FALSE), VLOOKUP($A308,raw_ub[],COLUMN(S$1),FALSE))</f>
        <v>153.08620145333302</v>
      </c>
      <c r="T308" s="70">
        <f>IF(VLOOKUP($A308,raw_ub[],COLUMN(U$1)-COLUMN($A$1),FALSE)=0, VLOOKUP($D308, regions_ub[], COLUMN(U$1)-COLUMN($A$1), FALSE), VLOOKUP($A308,raw_ub[],COLUMN(U$1)-COLUMN($A$1),FALSE))</f>
        <v>156.28772869474193</v>
      </c>
      <c r="U308" s="70">
        <f>IF(VLOOKUP($A308,raw_ub[],COLUMN(V$1)-COLUMN($A$1),FALSE)=0, VLOOKUP($D308, regions_ub[], COLUMN(V$1)-COLUMN($A$1), FALSE), VLOOKUP($A308,raw_ub[],COLUMN(V$1)-COLUMN($A$1),FALSE))</f>
        <v>154.8176550571518</v>
      </c>
      <c r="V308" s="70">
        <f>IF(VLOOKUP($A308,raw_ub[],COLUMN(W$1)-COLUMN($A$1),FALSE)=0, VLOOKUP($D308, regions_ub[], COLUMN(W$1)-COLUMN($A$1), FALSE), VLOOKUP($A308,raw_ub[],COLUMN(W$1)-COLUMN($A$1),FALSE))</f>
        <v>4.2524212244237711</v>
      </c>
      <c r="W308" s="70">
        <f>IF(VLOOKUP($A308,raw_ub[],COLUMN(X$1)-COLUMN($A$1),FALSE)=0, VLOOKUP($D308, regions_ub[], COLUMN(X$1)-COLUMN($A$1), FALSE), VLOOKUP($A308,raw_ub[],COLUMN(X$1)-COLUMN($A$1),FALSE))</f>
        <v>9.3239212244237706</v>
      </c>
      <c r="X308" s="70">
        <f>IF(VLOOKUP($A308,raw_ub[],COLUMN(Y$1)-COLUMN($A$1),FALSE)=0, VLOOKUP($D308, regions_ub[], COLUMN(Y$1)-COLUMN($A$1), FALSE), VLOOKUP($A308,raw_ub[],COLUMN(Y$1)-COLUMN($A$1),FALSE))</f>
        <v>4.2264753651993221</v>
      </c>
      <c r="Y308" s="70">
        <f>IF(VLOOKUP($A308,raw_ub[],COLUMN(Z$1)-COLUMN($A$1),FALSE)=0, VLOOKUP($D308, regions_ub[], COLUMN(Z$1)-COLUMN($A$1), FALSE), VLOOKUP($A308,raw_ub[],COLUMN(Z$1)-COLUMN($A$1),FALSE))</f>
        <v>9.2979753651993224</v>
      </c>
      <c r="Z308" s="70">
        <f>IF(VLOOKUP($A308,raw_ub[],COLUMN(AA$1)-COLUMN($A$1),FALSE)=0, VLOOKUP($D308, regions_ub[], COLUMN(AA$1)-COLUMN($A$1), FALSE), VLOOKUP($A308,raw_ub[],COLUMN(AA$1)-COLUMN($A$1),FALSE))</f>
        <v>9.2832695830001661</v>
      </c>
      <c r="AA308" s="70">
        <f>IF(VLOOKUP($A308,raw_ub[],COLUMN(AB$1)-COLUMN($A$1),FALSE)=0, VLOOKUP($D308, regions_ub[], COLUMN(AB$1)-COLUMN($A$1), FALSE), VLOOKUP($A308,raw_ub[],COLUMN(AB$1)-COLUMN($A$1),FALSE))</f>
        <v>4.258408730398644</v>
      </c>
      <c r="AB308" s="70">
        <f>IF(VLOOKUP($A308,raw_ub[],COLUMN(AC$1)-COLUMN($A$1),FALSE)=0, VLOOKUP($D308, regions_ub[], COLUMN(AC$1)-COLUMN($A$1), FALSE), VLOOKUP($A308,raw_ub[],COLUMN(AC$1)-COLUMN($A$1),FALSE))</f>
        <v>9.3299087303986443</v>
      </c>
      <c r="AC308" s="72">
        <f>IF(VLOOKUP($A308,raw_ub[],COLUMN(AD$1)-COLUMN($A$1),FALSE)=0, VLOOKUP($D308, regions_ub[], COLUMN(AD$1)-COLUMN($A$1), FALSE), VLOOKUP($A308,raw_ub[],COLUMN(AD$1)-COLUMN($A$1),FALSE))</f>
        <v>6.3482789999999956E-2</v>
      </c>
      <c r="AD308" s="72">
        <f>IF(VLOOKUP($A308,raw_ub[],COLUMN(AE$1)-COLUMN($A$1),FALSE)=0, VLOOKUP($D308, regions_ub[], COLUMN(AE$1)-COLUMN($A$1), FALSE), VLOOKUP($A308,raw_ub[],COLUMN(AE$1)-COLUMN($A$1),FALSE))</f>
        <v>7.4397056134479587E-3</v>
      </c>
      <c r="AE308" s="72">
        <f>IF(VLOOKUP($A308,raw_ub[],COLUMN(AF$1)-COLUMN($A$1),FALSE)=0, VLOOKUP($D308, regions_ub[], COLUMN(AF$1)-COLUMN($A$1), FALSE), VLOOKUP($A308,raw_ub[],COLUMN(AF$1)-COLUMN($A$1),FALSE))</f>
        <v>2.7128496503496546E-3</v>
      </c>
      <c r="AF308" s="72">
        <f>IF(VLOOKUP($A308,raw_ub[],COLUMN(AG$1)-COLUMN($A$1),FALSE)=0, VLOOKUP($D308, regions_ub[], COLUMN(AG$1)-COLUMN($A$1), FALSE), VLOOKUP($A308,raw_ub[],COLUMN(AG$1)-COLUMN($A$1),FALSE))</f>
        <v>1.9529501496306765E-3</v>
      </c>
      <c r="AG308" s="72">
        <f>IF(VLOOKUP($A308,raw_ub[],COLUMN(AH$1)-COLUMN($A$1),FALSE)=0, VLOOKUP($D308, regions_ub[], COLUMN(AH$1)-COLUMN($A$1), FALSE), VLOOKUP($A308,raw_ub[],COLUMN(AH$1)-COLUMN($A$1),FALSE))</f>
        <v>2.9101681745531552E-3</v>
      </c>
      <c r="AH308" s="72">
        <f>IF(VLOOKUP($A308,raw_ub[],COLUMN(AI$1)-COLUMN($A$1),FALSE)=0, VLOOKUP($D308, regions_ub[], COLUMN(AI$1)-COLUMN($A$1), FALSE), VLOOKUP($A308,raw_ub[],COLUMN(AI$1)-COLUMN($A$1),FALSE))</f>
        <v>4.3030360554522579E-3</v>
      </c>
      <c r="AI308" s="72">
        <f>IF(VLOOKUP($A308,raw_ub[],COLUMN(AJ$1)-COLUMN($A$1),FALSE)=0, VLOOKUP($D308, regions_ub[], COLUMN(AJ$1)-COLUMN($A$1), FALSE), VLOOKUP($A308,raw_ub[],COLUMN(AJ$1)-COLUMN($A$1),FALSE))</f>
        <v>5.4897735512845188E-3</v>
      </c>
      <c r="AJ308" s="72">
        <f>IF(VLOOKUP($A308,raw_ub[],COLUMN(AK$1)-COLUMN($A$1),FALSE)=0, VLOOKUP($D308, regions_ub[], COLUMN(AK$1)-COLUMN($A$1), FALSE), VLOOKUP($A308,raw_ub[],COLUMN(AK$1)-COLUMN($A$1),FALSE))</f>
        <v>6.7332565343040402E-3</v>
      </c>
      <c r="AK308" s="72">
        <f>IF(VLOOKUP($A308,raw_ub[],COLUMN(AL$1)-COLUMN($A$1),FALSE)=0, VLOOKUP($D308, regions_ub[], COLUMN(AL$1)-COLUMN($A$1), FALSE), VLOOKUP($A308,raw_ub[],COLUMN(AL$1)-COLUMN($A$1),FALSE))</f>
        <v>8.4405343023970982E-3</v>
      </c>
      <c r="AL308" s="72">
        <f>IF(VLOOKUP($A308,raw_ub[],COLUMN(AM$1)-COLUMN($A$1),FALSE)=0, VLOOKUP($D308, regions_ub[], COLUMN(AM$1)-COLUMN($A$1), FALSE), VLOOKUP($A308,raw_ub[],COLUMN(AM$1)-COLUMN($A$1),FALSE))</f>
        <v>1.0237851914425595E-2</v>
      </c>
      <c r="AM308" s="72">
        <f>IF(VLOOKUP($A308,raw_ub[],COLUMN(AN$1)-COLUMN($A$1),FALSE)=0, VLOOKUP($D308, regions_ub[], COLUMN(AN$1)-COLUMN($A$1), FALSE), VLOOKUP($A308,raw_ub[],COLUMN(AN$1)-COLUMN($A$1),FALSE))</f>
        <v>1.2317365838045423E-2</v>
      </c>
      <c r="AN308" s="72">
        <f>IF(VLOOKUP($A308,raw_ub[],COLUMN(AO$1)-COLUMN($A$1),FALSE)=0, VLOOKUP($D308, regions_ub[], COLUMN(AO$1)-COLUMN($A$1), FALSE), VLOOKUP($A308,raw_ub[],COLUMN(AO$1)-COLUMN($A$1),FALSE))</f>
        <v>1.6076492086612638E-2</v>
      </c>
      <c r="AO308" s="72">
        <f>IF(VLOOKUP($A308,raw_ub[],COLUMN(AP$1)-COLUMN($A$1),FALSE)=0, VLOOKUP($D308, regions_ub[], COLUMN(AP$1)-COLUMN($A$1), FALSE), VLOOKUP($A308,raw_ub[],COLUMN(AP$1)-COLUMN($A$1),FALSE))</f>
        <v>2.0516586185045611E-2</v>
      </c>
      <c r="AP308" s="72">
        <f>IF(VLOOKUP($A308,raw_ub[],COLUMN(AQ$1)-COLUMN($A$1),FALSE)=0, VLOOKUP($D308, regions_ub[], COLUMN(AQ$1)-COLUMN($A$1), FALSE), VLOOKUP($A308,raw_ub[],COLUMN(AQ$1)-COLUMN($A$1),FALSE))</f>
        <v>2.8908801975983226E-2</v>
      </c>
      <c r="AQ308" s="72">
        <f>IF(VLOOKUP($A308,raw_ub[],COLUMN(AR$1)-COLUMN($A$1),FALSE)=0, VLOOKUP($D308, regions_ub[], COLUMN(AR$1)-COLUMN($A$1), FALSE), VLOOKUP($A308,raw_ub[],COLUMN(AR$1)-COLUMN($A$1),FALSE))</f>
        <v>4.2057271622457926E-2</v>
      </c>
      <c r="AR308" s="72">
        <f>IF(VLOOKUP($A308,raw_ub[],COLUMN(AS$1)-COLUMN($A$1),FALSE)=0, VLOOKUP($D308, regions_ub[], COLUMN(AS$1)-COLUMN($A$1), FALSE), VLOOKUP($A308,raw_ub[],COLUMN(AS$1)-COLUMN($A$1),FALSE))</f>
        <v>6.1942564966317351E-2</v>
      </c>
      <c r="AS308" s="72">
        <f>IF(VLOOKUP($A308,raw_ub[],COLUMN(AT$1)-COLUMN($A$1),FALSE)=0, VLOOKUP($D308, regions_ub[], COLUMN(AT$1)-COLUMN($A$1), FALSE), VLOOKUP($A308,raw_ub[],COLUMN(AT$1)-COLUMN($A$1),FALSE))</f>
        <v>8.9632154075950918E-2</v>
      </c>
      <c r="AT308" s="82">
        <f>IF(VLOOKUP($A308,raw_ub[],COLUMN(AT$1),FALSE)=0, VLOOKUP($D308, regions_ub[], COLUMN(AT$1), FALSE), VLOOKUP($A308,raw_ub[],COLUMN(AT$1),FALSE))</f>
        <v>0.12672532263895597</v>
      </c>
      <c r="AU308" s="82">
        <f>IF(VLOOKUP($A308,raw_ub[],COLUMN(AU$1),FALSE)=0, VLOOKUP($D308, regions_ub[], COLUMN(AU$1), FALSE), VLOOKUP($A308,raw_ub[],COLUMN(AU$1),FALSE))</f>
        <v>0.16527496002866171</v>
      </c>
      <c r="AV308" s="82">
        <f>IF(VLOOKUP($A308,raw_ub[],COLUMN(AV$1),FALSE)=0, VLOOKUP($D308, regions_ub[], COLUMN(AV$1), FALSE), VLOOKUP($A308,raw_ub[],COLUMN(AV$1),FALSE))</f>
        <v>0.19238938460276342</v>
      </c>
      <c r="AW308" s="82">
        <f>IF(VLOOKUP($A308,raw_ub[],COLUMN(AW$1),FALSE)=0, VLOOKUP($D308, regions_ub[], COLUMN(AW$1), FALSE), VLOOKUP($A308,raw_ub[],COLUMN(AW$1),FALSE))</f>
        <v>0.19904176052197139</v>
      </c>
      <c r="AX308" s="82">
        <f>IF(VLOOKUP($A308,raw_ub[],COLUMN(AX$1),FALSE)=0, VLOOKUP($D308, regions_ub[], COLUMN(AX$1), FALSE), VLOOKUP($A308,raw_ub[],COLUMN(AX$1),FALSE))</f>
        <v>60.107250000000001</v>
      </c>
      <c r="AY308" t="str">
        <f t="shared" si="10"/>
        <v>No</v>
      </c>
    </row>
    <row r="309" spans="1:51" x14ac:dyDescent="0.25">
      <c r="A309" s="55" t="s">
        <v>285</v>
      </c>
      <c r="B309" s="56" t="s">
        <v>286</v>
      </c>
      <c r="C309" s="56">
        <v>192</v>
      </c>
      <c r="D309" s="56" t="s">
        <v>215</v>
      </c>
      <c r="E309" s="56" t="s">
        <v>232</v>
      </c>
      <c r="F309" s="56" t="s">
        <v>217</v>
      </c>
      <c r="G309" s="56" t="s">
        <v>204</v>
      </c>
      <c r="H309" s="74"/>
      <c r="I309" s="74"/>
      <c r="J309" s="67">
        <f>IF(VLOOKUP($A309,raw_ub[],COLUMN(J$1),FALSE)=0, VLOOKUP($D309, regions_ub[], COLUMN(J$1), FALSE), VLOOKUP($A309,raw_ub[],COLUMN(J$1),FALSE))</f>
        <v>0.999</v>
      </c>
      <c r="K309" s="77">
        <f>VLOOKUP($A309, raw_ub[], 11, FALSE)</f>
        <v>0.999</v>
      </c>
      <c r="L309" s="77">
        <f>VLOOKUP($A309, raw_ub[], 12, FALSE)</f>
        <v>0.999</v>
      </c>
      <c r="M309" s="77">
        <f>IF(VLOOKUP($A309,raw_ub[],COLUMN(M$1),FALSE)=0, VLOOKUP($D309, regions_ub[], COLUMN(M$1), FALSE), VLOOKUP($A309,raw_ub[],COLUMN(M$1),FALSE))</f>
        <v>1.43E-2</v>
      </c>
      <c r="N309" s="68">
        <f>IF(VLOOKUP($A309,raw_ub[],COLUMN(N$1),FALSE)=0, VLOOKUP($D309, regions_ub[], COLUMN(N$1), FALSE), VLOOKUP($A309,raw_ub[],COLUMN(N$1),FALSE))</f>
        <v>0.43</v>
      </c>
      <c r="O309" s="67">
        <f>IF(VLOOKUP($A309,raw_ub[],COLUMN(O$1),FALSE)=0, VLOOKUP($D309, regions_ub[], COLUMN(O$1), FALSE), VLOOKUP($A309,raw_ub[],COLUMN(O$1),FALSE))</f>
        <v>0.9</v>
      </c>
      <c r="P309" s="68">
        <f>IF(VLOOKUP($A309,raw_ub[],COLUMN(P$1),FALSE)=0, VLOOKUP($D309, regions_ub[], COLUMN(P$1), FALSE), VLOOKUP($A309,raw_ub[],COLUMN(P$1),FALSE))</f>
        <v>0.3</v>
      </c>
      <c r="Q309" s="70">
        <f>IF(VLOOKUP($A309,raw_ub[],COLUMN(Q$1),FALSE)=0, VLOOKUP($D309, regions_ub[], COLUMN(Q$1), FALSE), VLOOKUP($A309,raw_ub[],COLUMN(Q$1),FALSE))</f>
        <v>29.769230135610201</v>
      </c>
      <c r="R309" s="70">
        <f>IF(VLOOKUP($A309,raw_ub[],COLUMN(R$1),FALSE)=0, VLOOKUP($D309, regions_ub[], COLUMN(R$1), FALSE), VLOOKUP($A309,raw_ub[],COLUMN(R$1),FALSE))</f>
        <v>138.75503013561018</v>
      </c>
      <c r="S309" s="70">
        <f>IF(VLOOKUP($A309,raw_ub[],COLUMN(S$1),FALSE)=0, VLOOKUP($D309, regions_ub[], COLUMN(S$1), FALSE), VLOOKUP($A309,raw_ub[],COLUMN(S$1),FALSE))</f>
        <v>210.76558445516983</v>
      </c>
      <c r="T309" s="70">
        <f>IF(VLOOKUP($A309,raw_ub[],COLUMN(U$1)-COLUMN($A$1),FALSE)=0, VLOOKUP($D309, regions_ub[], COLUMN(U$1)-COLUMN($A$1), FALSE), VLOOKUP($A309,raw_ub[],COLUMN(U$1)-COLUMN($A$1),FALSE))</f>
        <v>233.03657239952625</v>
      </c>
      <c r="U309" s="70">
        <f>IF(VLOOKUP($A309,raw_ub[],COLUMN(V$1)-COLUMN($A$1),FALSE)=0, VLOOKUP($D309, regions_ub[], COLUMN(V$1)-COLUMN($A$1), FALSE), VLOOKUP($A309,raw_ub[],COLUMN(V$1)-COLUMN($A$1),FALSE))</f>
        <v>222.81020548419181</v>
      </c>
      <c r="V309" s="70">
        <f>IF(VLOOKUP($A309,raw_ub[],COLUMN(W$1)-COLUMN($A$1),FALSE)=0, VLOOKUP($D309, regions_ub[], COLUMN(W$1)-COLUMN($A$1), FALSE), VLOOKUP($A309,raw_ub[],COLUMN(W$1)-COLUMN($A$1),FALSE))</f>
        <v>11.302318019110631</v>
      </c>
      <c r="W309" s="70">
        <f>IF(VLOOKUP($A309,raw_ub[],COLUMN(X$1)-COLUMN($A$1),FALSE)=0, VLOOKUP($D309, regions_ub[], COLUMN(X$1)-COLUMN($A$1), FALSE), VLOOKUP($A309,raw_ub[],COLUMN(X$1)-COLUMN($A$1),FALSE))</f>
        <v>11.323318019110632</v>
      </c>
      <c r="X309" s="70">
        <f>IF(VLOOKUP($A309,raw_ub[],COLUMN(Y$1)-COLUMN($A$1),FALSE)=0, VLOOKUP($D309, regions_ub[], COLUMN(Y$1)-COLUMN($A$1), FALSE), VLOOKUP($A309,raw_ub[],COLUMN(Y$1)-COLUMN($A$1),FALSE))</f>
        <v>11.24376690709552</v>
      </c>
      <c r="Y309" s="70">
        <f>IF(VLOOKUP($A309,raw_ub[],COLUMN(Z$1)-COLUMN($A$1),FALSE)=0, VLOOKUP($D309, regions_ub[], COLUMN(Z$1)-COLUMN($A$1), FALSE), VLOOKUP($A309,raw_ub[],COLUMN(Z$1)-COLUMN($A$1),FALSE))</f>
        <v>11.26476690709552</v>
      </c>
      <c r="Z309" s="70">
        <f>IF(VLOOKUP($A309,raw_ub[],COLUMN(AA$1)-COLUMN($A$1),FALSE)=0, VLOOKUP($D309, regions_ub[], COLUMN(AA$1)-COLUMN($A$1), FALSE), VLOOKUP($A309,raw_ub[],COLUMN(AA$1)-COLUMN($A$1),FALSE))</f>
        <v>11.230732422022371</v>
      </c>
      <c r="AA309" s="70">
        <f>IF(VLOOKUP($A309,raw_ub[],COLUMN(AB$1)-COLUMN($A$1),FALSE)=0, VLOOKUP($D309, regions_ub[], COLUMN(AB$1)-COLUMN($A$1), FALSE), VLOOKUP($A309,raw_ub[],COLUMN(AB$1)-COLUMN($A$1),FALSE))</f>
        <v>11.315829814191041</v>
      </c>
      <c r="AB309" s="70">
        <f>IF(VLOOKUP($A309,raw_ub[],COLUMN(AC$1)-COLUMN($A$1),FALSE)=0, VLOOKUP($D309, regions_ub[], COLUMN(AC$1)-COLUMN($A$1), FALSE), VLOOKUP($A309,raw_ub[],COLUMN(AC$1)-COLUMN($A$1),FALSE))</f>
        <v>11.336829814191042</v>
      </c>
      <c r="AC309" s="72">
        <f>IF(VLOOKUP($A309,raw_ub[],COLUMN(AD$1)-COLUMN($A$1),FALSE)=0, VLOOKUP($D309, regions_ub[], COLUMN(AD$1)-COLUMN($A$1), FALSE), VLOOKUP($A309,raw_ub[],COLUMN(AD$1)-COLUMN($A$1),FALSE))</f>
        <v>4.7103104999999482E-3</v>
      </c>
      <c r="AD309" s="72">
        <f>IF(VLOOKUP($A309,raw_ub[],COLUMN(AE$1)-COLUMN($A$1),FALSE)=0, VLOOKUP($D309, regions_ub[], COLUMN(AE$1)-COLUMN($A$1), FALSE), VLOOKUP($A309,raw_ub[],COLUMN(AE$1)-COLUMN($A$1),FALSE))</f>
        <v>2.8650727449847996E-4</v>
      </c>
      <c r="AE309" s="72">
        <f>IF(VLOOKUP($A309,raw_ub[],COLUMN(AF$1)-COLUMN($A$1),FALSE)=0, VLOOKUP($D309, regions_ub[], COLUMN(AF$1)-COLUMN($A$1), FALSE), VLOOKUP($A309,raw_ub[],COLUMN(AF$1)-COLUMN($A$1),FALSE))</f>
        <v>1.6861411395299348E-4</v>
      </c>
      <c r="AF309" s="72">
        <f>IF(VLOOKUP($A309,raw_ub[],COLUMN(AG$1)-COLUMN($A$1),FALSE)=0, VLOOKUP($D309, regions_ub[], COLUMN(AG$1)-COLUMN($A$1), FALSE), VLOOKUP($A309,raw_ub[],COLUMN(AG$1)-COLUMN($A$1),FALSE))</f>
        <v>2.1440256301702491E-4</v>
      </c>
      <c r="AG309" s="72">
        <f>IF(VLOOKUP($A309,raw_ub[],COLUMN(AH$1)-COLUMN($A$1),FALSE)=0, VLOOKUP($D309, regions_ub[], COLUMN(AH$1)-COLUMN($A$1), FALSE), VLOOKUP($A309,raw_ub[],COLUMN(AH$1)-COLUMN($A$1),FALSE))</f>
        <v>4.4998918613442041E-4</v>
      </c>
      <c r="AH309" s="72">
        <f>IF(VLOOKUP($A309,raw_ub[],COLUMN(AI$1)-COLUMN($A$1),FALSE)=0, VLOOKUP($D309, regions_ub[], COLUMN(AI$1)-COLUMN($A$1), FALSE), VLOOKUP($A309,raw_ub[],COLUMN(AI$1)-COLUMN($A$1),FALSE))</f>
        <v>6.0250298554991575E-4</v>
      </c>
      <c r="AI309" s="72">
        <f>IF(VLOOKUP($A309,raw_ub[],COLUMN(AJ$1)-COLUMN($A$1),FALSE)=0, VLOOKUP($D309, regions_ub[], COLUMN(AJ$1)-COLUMN($A$1), FALSE), VLOOKUP($A309,raw_ub[],COLUMN(AJ$1)-COLUMN($A$1),FALSE))</f>
        <v>6.6622155431293511E-4</v>
      </c>
      <c r="AJ309" s="72">
        <f>IF(VLOOKUP($A309,raw_ub[],COLUMN(AK$1)-COLUMN($A$1),FALSE)=0, VLOOKUP($D309, regions_ub[], COLUMN(AK$1)-COLUMN($A$1), FALSE), VLOOKUP($A309,raw_ub[],COLUMN(AK$1)-COLUMN($A$1),FALSE))</f>
        <v>8.2993635591092723E-4</v>
      </c>
      <c r="AK309" s="72">
        <f>IF(VLOOKUP($A309,raw_ub[],COLUMN(AL$1)-COLUMN($A$1),FALSE)=0, VLOOKUP($D309, regions_ub[], COLUMN(AL$1)-COLUMN($A$1), FALSE), VLOOKUP($A309,raw_ub[],COLUMN(AL$1)-COLUMN($A$1),FALSE))</f>
        <v>1.1219183717560233E-3</v>
      </c>
      <c r="AL309" s="72">
        <f>IF(VLOOKUP($A309,raw_ub[],COLUMN(AM$1)-COLUMN($A$1),FALSE)=0, VLOOKUP($D309, regions_ub[], COLUMN(AM$1)-COLUMN($A$1), FALSE), VLOOKUP($A309,raw_ub[],COLUMN(AM$1)-COLUMN($A$1),FALSE))</f>
        <v>1.7829519156825112E-3</v>
      </c>
      <c r="AM309" s="72">
        <f>IF(VLOOKUP($A309,raw_ub[],COLUMN(AN$1)-COLUMN($A$1),FALSE)=0, VLOOKUP($D309, regions_ub[], COLUMN(AN$1)-COLUMN($A$1), FALSE), VLOOKUP($A309,raw_ub[],COLUMN(AN$1)-COLUMN($A$1),FALSE))</f>
        <v>2.9736073288610366E-3</v>
      </c>
      <c r="AN309" s="72">
        <f>IF(VLOOKUP($A309,raw_ub[],COLUMN(AO$1)-COLUMN($A$1),FALSE)=0, VLOOKUP($D309, regions_ub[], COLUMN(AO$1)-COLUMN($A$1), FALSE), VLOOKUP($A309,raw_ub[],COLUMN(AO$1)-COLUMN($A$1),FALSE))</f>
        <v>4.7903248563541606E-3</v>
      </c>
      <c r="AO309" s="72">
        <f>IF(VLOOKUP($A309,raw_ub[],COLUMN(AP$1)-COLUMN($A$1),FALSE)=0, VLOOKUP($D309, regions_ub[], COLUMN(AP$1)-COLUMN($A$1), FALSE), VLOOKUP($A309,raw_ub[],COLUMN(AP$1)-COLUMN($A$1),FALSE))</f>
        <v>7.3860883649489685E-3</v>
      </c>
      <c r="AP309" s="72">
        <f>IF(VLOOKUP($A309,raw_ub[],COLUMN(AQ$1)-COLUMN($A$1),FALSE)=0, VLOOKUP($D309, regions_ub[], COLUMN(AQ$1)-COLUMN($A$1), FALSE), VLOOKUP($A309,raw_ub[],COLUMN(AQ$1)-COLUMN($A$1),FALSE))</f>
        <v>1.1702067424583684E-2</v>
      </c>
      <c r="AQ309" s="72">
        <f>IF(VLOOKUP($A309,raw_ub[],COLUMN(AR$1)-COLUMN($A$1),FALSE)=0, VLOOKUP($D309, regions_ub[], COLUMN(AR$1)-COLUMN($A$1), FALSE), VLOOKUP($A309,raw_ub[],COLUMN(AR$1)-COLUMN($A$1),FALSE))</f>
        <v>1.7855114365333158E-2</v>
      </c>
      <c r="AR309" s="72">
        <f>IF(VLOOKUP($A309,raw_ub[],COLUMN(AS$1)-COLUMN($A$1),FALSE)=0, VLOOKUP($D309, regions_ub[], COLUMN(AS$1)-COLUMN($A$1), FALSE), VLOOKUP($A309,raw_ub[],COLUMN(AS$1)-COLUMN($A$1),FALSE))</f>
        <v>2.6029844089512821E-2</v>
      </c>
      <c r="AS309" s="72">
        <f>IF(VLOOKUP($A309,raw_ub[],COLUMN(AT$1)-COLUMN($A$1),FALSE)=0, VLOOKUP($D309, regions_ub[], COLUMN(AT$1)-COLUMN($A$1), FALSE), VLOOKUP($A309,raw_ub[],COLUMN(AT$1)-COLUMN($A$1),FALSE))</f>
        <v>3.9446844112182106E-2</v>
      </c>
      <c r="AT309" s="82">
        <f>IF(VLOOKUP($A309,raw_ub[],COLUMN(AT$1),FALSE)=0, VLOOKUP($D309, regions_ub[], COLUMN(AT$1), FALSE), VLOOKUP($A309,raw_ub[],COLUMN(AT$1),FALSE))</f>
        <v>6.3429264972472962E-2</v>
      </c>
      <c r="AU309" s="82">
        <f>IF(VLOOKUP($A309,raw_ub[],COLUMN(AU$1),FALSE)=0, VLOOKUP($D309, regions_ub[], COLUMN(AU$1), FALSE), VLOOKUP($A309,raw_ub[],COLUMN(AU$1),FALSE))</f>
        <v>8.9947572057597555E-2</v>
      </c>
      <c r="AV309" s="82">
        <f>IF(VLOOKUP($A309,raw_ub[],COLUMN(AV$1),FALSE)=0, VLOOKUP($D309, regions_ub[], COLUMN(AV$1), FALSE), VLOOKUP($A309,raw_ub[],COLUMN(AV$1),FALSE))</f>
        <v>0.11956395055577872</v>
      </c>
      <c r="AW309" s="82">
        <f>IF(VLOOKUP($A309,raw_ub[],COLUMN(AW$1),FALSE)=0, VLOOKUP($D309, regions_ub[], COLUMN(AW$1), FALSE), VLOOKUP($A309,raw_ub[],COLUMN(AW$1),FALSE))</f>
        <v>0.15017008888538708</v>
      </c>
      <c r="AX309" s="82">
        <f>IF(VLOOKUP($A309,raw_ub[],COLUMN(AX$1),FALSE)=0, VLOOKUP($D309, regions_ub[], COLUMN(AX$1), FALSE), VLOOKUP($A309,raw_ub[],COLUMN(AX$1),FALSE))</f>
        <v>82.619250000000008</v>
      </c>
      <c r="AY309" t="str">
        <f t="shared" si="10"/>
        <v>No</v>
      </c>
    </row>
    <row r="310" spans="1:51" x14ac:dyDescent="0.25">
      <c r="A310" s="53" t="s">
        <v>287</v>
      </c>
      <c r="B310" s="54" t="s">
        <v>288</v>
      </c>
      <c r="C310" s="54">
        <v>262</v>
      </c>
      <c r="D310" s="54" t="s">
        <v>196</v>
      </c>
      <c r="E310" s="54" t="s">
        <v>255</v>
      </c>
      <c r="F310" s="54" t="s">
        <v>211</v>
      </c>
      <c r="G310" s="54" t="s">
        <v>212</v>
      </c>
      <c r="H310" s="73"/>
      <c r="I310" s="73"/>
      <c r="J310" s="67">
        <f>IF(VLOOKUP($A310,raw_ub[],COLUMN(J$1),FALSE)=0, VLOOKUP($D310, regions_ub[], COLUMN(J$1), FALSE), VLOOKUP($A310,raw_ub[],COLUMN(J$1),FALSE))</f>
        <v>0.91034999999999999</v>
      </c>
      <c r="K310" s="77">
        <f>VLOOKUP($A310, raw_ub[], 11, FALSE)</f>
        <v>0.80850000000000011</v>
      </c>
      <c r="L310" s="77">
        <f>VLOOKUP($A310, raw_ub[], 12, FALSE)</f>
        <v>0.73499999999999999</v>
      </c>
      <c r="M310" s="77">
        <f>IF(VLOOKUP($A310,raw_ub[],COLUMN(M$1),FALSE)=0, VLOOKUP($D310, regions_ub[], COLUMN(M$1), FALSE), VLOOKUP($A310,raw_ub[],COLUMN(M$1),FALSE))</f>
        <v>0.2306</v>
      </c>
      <c r="N310" s="68">
        <f>IF(VLOOKUP($A310,raw_ub[],COLUMN(N$1),FALSE)=0, VLOOKUP($D310, regions_ub[], COLUMN(N$1), FALSE), VLOOKUP($A310,raw_ub[],COLUMN(N$1),FALSE))</f>
        <v>0.39960000000000001</v>
      </c>
      <c r="O310" s="67">
        <f>IF(VLOOKUP($A310,raw_ub[],COLUMN(O$1),FALSE)=0, VLOOKUP($D310, regions_ub[], COLUMN(O$1), FALSE), VLOOKUP($A310,raw_ub[],COLUMN(O$1),FALSE))</f>
        <v>0.74399999999999999</v>
      </c>
      <c r="P310" s="68">
        <f>IF(VLOOKUP($A310,raw_ub[],COLUMN(P$1),FALSE)=0, VLOOKUP($D310, regions_ub[], COLUMN(P$1), FALSE), VLOOKUP($A310,raw_ub[],COLUMN(P$1),FALSE))</f>
        <v>0.13300000000000001</v>
      </c>
      <c r="Q310" s="70">
        <f>IF(VLOOKUP($A310,raw_ub[],COLUMN(Q$1),FALSE)=0, VLOOKUP($D310, regions_ub[], COLUMN(Q$1), FALSE), VLOOKUP($A310,raw_ub[],COLUMN(Q$1),FALSE))</f>
        <v>10.44519447513812</v>
      </c>
      <c r="R310" s="70">
        <f>IF(VLOOKUP($A310,raw_ub[],COLUMN(R$1),FALSE)=0, VLOOKUP($D310, regions_ub[], COLUMN(R$1), FALSE), VLOOKUP($A310,raw_ub[],COLUMN(R$1),FALSE))</f>
        <v>119.43099447513814</v>
      </c>
      <c r="S310" s="70">
        <f>IF(VLOOKUP($A310,raw_ub[],COLUMN(S$1),FALSE)=0, VLOOKUP($D310, regions_ub[], COLUMN(S$1), FALSE), VLOOKUP($A310,raw_ub[],COLUMN(S$1),FALSE))</f>
        <v>156.61268520300644</v>
      </c>
      <c r="T310" s="70">
        <f>IF(VLOOKUP($A310,raw_ub[],COLUMN(U$1)-COLUMN($A$1),FALSE)=0, VLOOKUP($D310, regions_ub[], COLUMN(U$1)-COLUMN($A$1), FALSE), VLOOKUP($A310,raw_ub[],COLUMN(U$1)-COLUMN($A$1),FALSE))</f>
        <v>160.75646695663514</v>
      </c>
      <c r="U310" s="70">
        <f>IF(VLOOKUP($A310,raw_ub[],COLUMN(V$1)-COLUMN($A$1),FALSE)=0, VLOOKUP($D310, regions_ub[], COLUMN(V$1)-COLUMN($A$1), FALSE), VLOOKUP($A310,raw_ub[],COLUMN(V$1)-COLUMN($A$1),FALSE))</f>
        <v>158.85372996375676</v>
      </c>
      <c r="V310" s="70">
        <f>IF(VLOOKUP($A310,raw_ub[],COLUMN(W$1)-COLUMN($A$1),FALSE)=0, VLOOKUP($D310, regions_ub[], COLUMN(W$1)-COLUMN($A$1), FALSE), VLOOKUP($A310,raw_ub[],COLUMN(W$1)-COLUMN($A$1),FALSE))</f>
        <v>8.720964728676849</v>
      </c>
      <c r="W310" s="70">
        <f>IF(VLOOKUP($A310,raw_ub[],COLUMN(X$1)-COLUMN($A$1),FALSE)=0, VLOOKUP($D310, regions_ub[], COLUMN(X$1)-COLUMN($A$1), FALSE), VLOOKUP($A310,raw_ub[],COLUMN(X$1)-COLUMN($A$1),FALSE))</f>
        <v>13.792464728676849</v>
      </c>
      <c r="X310" s="70">
        <f>IF(VLOOKUP($A310,raw_ub[],COLUMN(Y$1)-COLUMN($A$1),FALSE)=0, VLOOKUP($D310, regions_ub[], COLUMN(Y$1)-COLUMN($A$1), FALSE), VLOOKUP($A310,raw_ub[],COLUMN(Y$1)-COLUMN($A$1),FALSE))</f>
        <v>8.6830689537527448</v>
      </c>
      <c r="Y310" s="70">
        <f>IF(VLOOKUP($A310,raw_ub[],COLUMN(Z$1)-COLUMN($A$1),FALSE)=0, VLOOKUP($D310, regions_ub[], COLUMN(Z$1)-COLUMN($A$1), FALSE), VLOOKUP($A310,raw_ub[],COLUMN(Z$1)-COLUMN($A$1),FALSE))</f>
        <v>13.754568953752745</v>
      </c>
      <c r="Z310" s="70">
        <f>IF(VLOOKUP($A310,raw_ub[],COLUMN(AA$1)-COLUMN($A$1),FALSE)=0, VLOOKUP($D310, regions_ub[], COLUMN(AA$1)-COLUMN($A$1), FALSE), VLOOKUP($A310,raw_ub[],COLUMN(AA$1)-COLUMN($A$1),FALSE))</f>
        <v>13.733301956858208</v>
      </c>
      <c r="AA310" s="70">
        <f>IF(VLOOKUP($A310,raw_ub[],COLUMN(AB$1)-COLUMN($A$1),FALSE)=0, VLOOKUP($D310, regions_ub[], COLUMN(AB$1)-COLUMN($A$1), FALSE), VLOOKUP($A310,raw_ub[],COLUMN(AB$1)-COLUMN($A$1),FALSE))</f>
        <v>8.7297099075054891</v>
      </c>
      <c r="AB310" s="70">
        <f>IF(VLOOKUP($A310,raw_ub[],COLUMN(AC$1)-COLUMN($A$1),FALSE)=0, VLOOKUP($D310, regions_ub[], COLUMN(AC$1)-COLUMN($A$1), FALSE), VLOOKUP($A310,raw_ub[],COLUMN(AC$1)-COLUMN($A$1),FALSE))</f>
        <v>13.801209907505489</v>
      </c>
      <c r="AC310" s="72">
        <f>IF(VLOOKUP($A310,raw_ub[],COLUMN(AD$1)-COLUMN($A$1),FALSE)=0, VLOOKUP($D310, regions_ub[], COLUMN(AD$1)-COLUMN($A$1), FALSE), VLOOKUP($A310,raw_ub[],COLUMN(AD$1)-COLUMN($A$1),FALSE))</f>
        <v>3.5334652500000022E-2</v>
      </c>
      <c r="AD310" s="72">
        <f>IF(VLOOKUP($A310,raw_ub[],COLUMN(AE$1)-COLUMN($A$1),FALSE)=0, VLOOKUP($D310, regions_ub[], COLUMN(AE$1)-COLUMN($A$1), FALSE), VLOOKUP($A310,raw_ub[],COLUMN(AE$1)-COLUMN($A$1),FALSE))</f>
        <v>4.7551296093710253E-3</v>
      </c>
      <c r="AE310" s="72">
        <f>IF(VLOOKUP($A310,raw_ub[],COLUMN(AF$1)-COLUMN($A$1),FALSE)=0, VLOOKUP($D310, regions_ub[], COLUMN(AF$1)-COLUMN($A$1), FALSE), VLOOKUP($A310,raw_ub[],COLUMN(AF$1)-COLUMN($A$1),FALSE))</f>
        <v>1.8658947045567841E-3</v>
      </c>
      <c r="AF310" s="72">
        <f>IF(VLOOKUP($A310,raw_ub[],COLUMN(AG$1)-COLUMN($A$1),FALSE)=0, VLOOKUP($D310, regions_ub[], COLUMN(AG$1)-COLUMN($A$1), FALSE), VLOOKUP($A310,raw_ub[],COLUMN(AG$1)-COLUMN($A$1),FALSE))</f>
        <v>1.2747800671641923E-3</v>
      </c>
      <c r="AG310" s="72">
        <f>IF(VLOOKUP($A310,raw_ub[],COLUMN(AH$1)-COLUMN($A$1),FALSE)=0, VLOOKUP($D310, regions_ub[], COLUMN(AH$1)-COLUMN($A$1), FALSE), VLOOKUP($A310,raw_ub[],COLUMN(AH$1)-COLUMN($A$1),FALSE))</f>
        <v>1.7032426883974935E-3</v>
      </c>
      <c r="AH310" s="72">
        <f>IF(VLOOKUP($A310,raw_ub[],COLUMN(AI$1)-COLUMN($A$1),FALSE)=0, VLOOKUP($D310, regions_ub[], COLUMN(AI$1)-COLUMN($A$1), FALSE), VLOOKUP($A310,raw_ub[],COLUMN(AI$1)-COLUMN($A$1),FALSE))</f>
        <v>2.2777213570817183E-3</v>
      </c>
      <c r="AI310" s="72">
        <f>IF(VLOOKUP($A310,raw_ub[],COLUMN(AJ$1)-COLUMN($A$1),FALSE)=0, VLOOKUP($D310, regions_ub[], COLUMN(AJ$1)-COLUMN($A$1), FALSE), VLOOKUP($A310,raw_ub[],COLUMN(AJ$1)-COLUMN($A$1),FALSE))</f>
        <v>2.7445467096541801E-3</v>
      </c>
      <c r="AJ310" s="72">
        <f>IF(VLOOKUP($A310,raw_ub[],COLUMN(AK$1)-COLUMN($A$1),FALSE)=0, VLOOKUP($D310, regions_ub[], COLUMN(AK$1)-COLUMN($A$1), FALSE), VLOOKUP($A310,raw_ub[],COLUMN(AK$1)-COLUMN($A$1),FALSE))</f>
        <v>3.463455038555479E-3</v>
      </c>
      <c r="AK310" s="72">
        <f>IF(VLOOKUP($A310,raw_ub[],COLUMN(AL$1)-COLUMN($A$1),FALSE)=0, VLOOKUP($D310, regions_ub[], COLUMN(AL$1)-COLUMN($A$1), FALSE), VLOOKUP($A310,raw_ub[],COLUMN(AL$1)-COLUMN($A$1),FALSE))</f>
        <v>4.6902182482030279E-3</v>
      </c>
      <c r="AL310" s="72">
        <f>IF(VLOOKUP($A310,raw_ub[],COLUMN(AM$1)-COLUMN($A$1),FALSE)=0, VLOOKUP($D310, regions_ub[], COLUMN(AM$1)-COLUMN($A$1), FALSE), VLOOKUP($A310,raw_ub[],COLUMN(AM$1)-COLUMN($A$1),FALSE))</f>
        <v>5.7900850229833829E-3</v>
      </c>
      <c r="AM310" s="72">
        <f>IF(VLOOKUP($A310,raw_ub[],COLUMN(AN$1)-COLUMN($A$1),FALSE)=0, VLOOKUP($D310, regions_ub[], COLUMN(AN$1)-COLUMN($A$1), FALSE), VLOOKUP($A310,raw_ub[],COLUMN(AN$1)-COLUMN($A$1),FALSE))</f>
        <v>6.9502881972931026E-3</v>
      </c>
      <c r="AN310" s="72">
        <f>IF(VLOOKUP($A310,raw_ub[],COLUMN(AO$1)-COLUMN($A$1),FALSE)=0, VLOOKUP($D310, regions_ub[], COLUMN(AO$1)-COLUMN($A$1), FALSE), VLOOKUP($A310,raw_ub[],COLUMN(AO$1)-COLUMN($A$1),FALSE))</f>
        <v>9.0929701269253631E-3</v>
      </c>
      <c r="AO310" s="72">
        <f>IF(VLOOKUP($A310,raw_ub[],COLUMN(AP$1)-COLUMN($A$1),FALSE)=0, VLOOKUP($D310, regions_ub[], COLUMN(AP$1)-COLUMN($A$1), FALSE), VLOOKUP($A310,raw_ub[],COLUMN(AP$1)-COLUMN($A$1),FALSE))</f>
        <v>1.1893974390922574E-2</v>
      </c>
      <c r="AP310" s="72">
        <f>IF(VLOOKUP($A310,raw_ub[],COLUMN(AQ$1)-COLUMN($A$1),FALSE)=0, VLOOKUP($D310, regions_ub[], COLUMN(AQ$1)-COLUMN($A$1), FALSE), VLOOKUP($A310,raw_ub[],COLUMN(AQ$1)-COLUMN($A$1),FALSE))</f>
        <v>1.7926799237069378E-2</v>
      </c>
      <c r="AQ310" s="72">
        <f>IF(VLOOKUP($A310,raw_ub[],COLUMN(AR$1)-COLUMN($A$1),FALSE)=0, VLOOKUP($D310, regions_ub[], COLUMN(AR$1)-COLUMN($A$1), FALSE), VLOOKUP($A310,raw_ub[],COLUMN(AR$1)-COLUMN($A$1),FALSE))</f>
        <v>2.7643343997271905E-2</v>
      </c>
      <c r="AR310" s="72">
        <f>IF(VLOOKUP($A310,raw_ub[],COLUMN(AS$1)-COLUMN($A$1),FALSE)=0, VLOOKUP($D310, regions_ub[], COLUMN(AS$1)-COLUMN($A$1), FALSE), VLOOKUP($A310,raw_ub[],COLUMN(AS$1)-COLUMN($A$1),FALSE))</f>
        <v>4.3039174342356788E-2</v>
      </c>
      <c r="AS310" s="72">
        <f>IF(VLOOKUP($A310,raw_ub[],COLUMN(AT$1)-COLUMN($A$1),FALSE)=0, VLOOKUP($D310, regions_ub[], COLUMN(AT$1)-COLUMN($A$1), FALSE), VLOOKUP($A310,raw_ub[],COLUMN(AT$1)-COLUMN($A$1),FALSE))</f>
        <v>6.5597605741143344E-2</v>
      </c>
      <c r="AT310" s="82">
        <f>IF(VLOOKUP($A310,raw_ub[],COLUMN(AT$1),FALSE)=0, VLOOKUP($D310, regions_ub[], COLUMN(AT$1), FALSE), VLOOKUP($A310,raw_ub[],COLUMN(AT$1),FALSE))</f>
        <v>9.6274295897434414E-2</v>
      </c>
      <c r="AU310" s="82">
        <f>IF(VLOOKUP($A310,raw_ub[],COLUMN(AU$1),FALSE)=0, VLOOKUP($D310, regions_ub[], COLUMN(AU$1), FALSE), VLOOKUP($A310,raw_ub[],COLUMN(AU$1),FALSE))</f>
        <v>0.13078924888408708</v>
      </c>
      <c r="AV310" s="82">
        <f>IF(VLOOKUP($A310,raw_ub[],COLUMN(AV$1),FALSE)=0, VLOOKUP($D310, regions_ub[], COLUMN(AV$1), FALSE), VLOOKUP($A310,raw_ub[],COLUMN(AV$1),FALSE))</f>
        <v>0.16119898153366818</v>
      </c>
      <c r="AW310" s="82">
        <f>IF(VLOOKUP($A310,raw_ub[],COLUMN(AW$1),FALSE)=0, VLOOKUP($D310, regions_ub[], COLUMN(AW$1), FALSE), VLOOKUP($A310,raw_ub[],COLUMN(AW$1),FALSE))</f>
        <v>0.1832810302423396</v>
      </c>
      <c r="AX310" s="82">
        <f>IF(VLOOKUP($A310,raw_ub[],COLUMN(AX$1),FALSE)=0, VLOOKUP($D310, regions_ub[], COLUMN(AX$1), FALSE), VLOOKUP($A310,raw_ub[],COLUMN(AX$1),FALSE))</f>
        <v>69.867000000000004</v>
      </c>
      <c r="AY310" t="str">
        <f t="shared" ref="AY310:AY341" si="11">IF($K310=0,"Yes", "No")</f>
        <v>No</v>
      </c>
    </row>
    <row r="311" spans="1:51" x14ac:dyDescent="0.25">
      <c r="A311" s="55" t="s">
        <v>289</v>
      </c>
      <c r="B311" s="56" t="s">
        <v>290</v>
      </c>
      <c r="C311" s="56">
        <v>212</v>
      </c>
      <c r="D311" s="56" t="s">
        <v>215</v>
      </c>
      <c r="E311" s="56" t="s">
        <v>232</v>
      </c>
      <c r="F311" s="56" t="s">
        <v>217</v>
      </c>
      <c r="G311" s="56" t="s">
        <v>204</v>
      </c>
      <c r="H311" s="74"/>
      <c r="I311" s="74"/>
      <c r="J311" s="67">
        <f>IF(VLOOKUP($A311,raw_ub[],COLUMN(J$1),FALSE)=0, VLOOKUP($D311, regions_ub[], COLUMN(J$1), FALSE), VLOOKUP($A311,raw_ub[],COLUMN(J$1),FALSE))</f>
        <v>0.97771923296421437</v>
      </c>
      <c r="K311" s="77">
        <f>VLOOKUP($A311, raw_ub[], 11, FALSE)</f>
        <v>0.999</v>
      </c>
      <c r="L311" s="77">
        <f>VLOOKUP($A311, raw_ub[], 12, FALSE)</f>
        <v>0.999</v>
      </c>
      <c r="M311" s="77">
        <f>IF(VLOOKUP($A311,raw_ub[],COLUMN(M$1),FALSE)=0, VLOOKUP($D311, regions_ub[], COLUMN(M$1), FALSE), VLOOKUP($A311,raw_ub[],COLUMN(M$1),FALSE))</f>
        <v>4.3799999999999999E-2</v>
      </c>
      <c r="N311" s="68">
        <f>IF(VLOOKUP($A311,raw_ub[],COLUMN(N$1),FALSE)=0, VLOOKUP($D311, regions_ub[], COLUMN(N$1), FALSE), VLOOKUP($A311,raw_ub[],COLUMN(N$1),FALSE))</f>
        <v>0.43293946064750871</v>
      </c>
      <c r="O311" s="67">
        <f>IF(VLOOKUP($A311,raw_ub[],COLUMN(O$1),FALSE)=0, VLOOKUP($D311, regions_ub[], COLUMN(O$1), FALSE), VLOOKUP($A311,raw_ub[],COLUMN(O$1),FALSE))</f>
        <v>0.9</v>
      </c>
      <c r="P311" s="68">
        <f>IF(VLOOKUP($A311,raw_ub[],COLUMN(P$1),FALSE)=0, VLOOKUP($D311, regions_ub[], COLUMN(P$1), FALSE), VLOOKUP($A311,raw_ub[],COLUMN(P$1),FALSE))</f>
        <v>0.3</v>
      </c>
      <c r="Q311" s="70">
        <f>IF(VLOOKUP($A311,raw_ub[],COLUMN(Q$1),FALSE)=0, VLOOKUP($D311, regions_ub[], COLUMN(Q$1), FALSE), VLOOKUP($A311,raw_ub[],COLUMN(Q$1),FALSE))</f>
        <v>28.383547465435452</v>
      </c>
      <c r="R311" s="70">
        <f>IF(VLOOKUP($A311,raw_ub[],COLUMN(R$1),FALSE)=0, VLOOKUP($D311, regions_ub[], COLUMN(R$1), FALSE), VLOOKUP($A311,raw_ub[],COLUMN(R$1),FALSE))</f>
        <v>137.36934746543545</v>
      </c>
      <c r="S311" s="70">
        <f>IF(VLOOKUP($A311,raw_ub[],COLUMN(S$1),FALSE)=0, VLOOKUP($D311, regions_ub[], COLUMN(S$1), FALSE), VLOOKUP($A311,raw_ub[],COLUMN(S$1),FALSE))</f>
        <v>226.03829669347306</v>
      </c>
      <c r="T311" s="70">
        <f>IF(VLOOKUP($A311,raw_ub[],COLUMN(U$1)-COLUMN($A$1),FALSE)=0, VLOOKUP($D311, regions_ub[], COLUMN(U$1)-COLUMN($A$1), FALSE), VLOOKUP($A311,raw_ub[],COLUMN(U$1)-COLUMN($A$1),FALSE))</f>
        <v>256.97939695767519</v>
      </c>
      <c r="U311" s="70">
        <f>IF(VLOOKUP($A311,raw_ub[],COLUMN(V$1)-COLUMN($A$1),FALSE)=0, VLOOKUP($D311, regions_ub[], COLUMN(V$1)-COLUMN($A$1), FALSE), VLOOKUP($A311,raw_ub[],COLUMN(V$1)-COLUMN($A$1),FALSE))</f>
        <v>242.77189772789524</v>
      </c>
      <c r="V311" s="70">
        <f>IF(VLOOKUP($A311,raw_ub[],COLUMN(W$1)-COLUMN($A$1),FALSE)=0, VLOOKUP($D311, regions_ub[], COLUMN(W$1)-COLUMN($A$1), FALSE), VLOOKUP($A311,raw_ub[],COLUMN(W$1)-COLUMN($A$1),FALSE))</f>
        <v>37.829669622834295</v>
      </c>
      <c r="W311" s="70">
        <f>IF(VLOOKUP($A311,raw_ub[],COLUMN(X$1)-COLUMN($A$1),FALSE)=0, VLOOKUP($D311, regions_ub[], COLUMN(X$1)-COLUMN($A$1), FALSE), VLOOKUP($A311,raw_ub[],COLUMN(X$1)-COLUMN($A$1),FALSE))</f>
        <v>37.850669622834296</v>
      </c>
      <c r="X311" s="70">
        <f>IF(VLOOKUP($A311,raw_ub[],COLUMN(Y$1)-COLUMN($A$1),FALSE)=0, VLOOKUP($D311, regions_ub[], COLUMN(Y$1)-COLUMN($A$1), FALSE), VLOOKUP($A311,raw_ub[],COLUMN(Y$1)-COLUMN($A$1),FALSE))</f>
        <v>37.789729309149955</v>
      </c>
      <c r="Y311" s="70">
        <f>IF(VLOOKUP($A311,raw_ub[],COLUMN(Z$1)-COLUMN($A$1),FALSE)=0, VLOOKUP($D311, regions_ub[], COLUMN(Z$1)-COLUMN($A$1), FALSE), VLOOKUP($A311,raw_ub[],COLUMN(Z$1)-COLUMN($A$1),FALSE))</f>
        <v>37.810729309149956</v>
      </c>
      <c r="Z311" s="70">
        <f>IF(VLOOKUP($A311,raw_ub[],COLUMN(AA$1)-COLUMN($A$1),FALSE)=0, VLOOKUP($D311, regions_ub[], COLUMN(AA$1)-COLUMN($A$1), FALSE), VLOOKUP($A311,raw_ub[],COLUMN(AA$1)-COLUMN($A$1),FALSE))</f>
        <v>37.789673903481209</v>
      </c>
      <c r="AA311" s="70">
        <f>IF(VLOOKUP($A311,raw_ub[],COLUMN(AB$1)-COLUMN($A$1),FALSE)=0, VLOOKUP($D311, regions_ub[], COLUMN(AB$1)-COLUMN($A$1), FALSE), VLOOKUP($A311,raw_ub[],COLUMN(AB$1)-COLUMN($A$1),FALSE))</f>
        <v>37.83888661829991</v>
      </c>
      <c r="AB311" s="70">
        <f>IF(VLOOKUP($A311,raw_ub[],COLUMN(AC$1)-COLUMN($A$1),FALSE)=0, VLOOKUP($D311, regions_ub[], COLUMN(AC$1)-COLUMN($A$1), FALSE), VLOOKUP($A311,raw_ub[],COLUMN(AC$1)-COLUMN($A$1),FALSE))</f>
        <v>37.85988661829991</v>
      </c>
      <c r="AC311" s="72">
        <f>IF(VLOOKUP($A311,raw_ub[],COLUMN(AD$1)-COLUMN($A$1),FALSE)=0, VLOOKUP($D311, regions_ub[], COLUMN(AD$1)-COLUMN($A$1), FALSE), VLOOKUP($A311,raw_ub[],COLUMN(AD$1)-COLUMN($A$1),FALSE))</f>
        <v>1.4875370157604029E-2</v>
      </c>
      <c r="AD311" s="72">
        <f>IF(VLOOKUP($A311,raw_ub[],COLUMN(AE$1)-COLUMN($A$1),FALSE)=0, VLOOKUP($D311, regions_ub[], COLUMN(AE$1)-COLUMN($A$1), FALSE), VLOOKUP($A311,raw_ub[],COLUMN(AE$1)-COLUMN($A$1),FALSE))</f>
        <v>7.0112819915565071E-4</v>
      </c>
      <c r="AE311" s="72">
        <f>IF(VLOOKUP($A311,raw_ub[],COLUMN(AF$1)-COLUMN($A$1),FALSE)=0, VLOOKUP($D311, regions_ub[], COLUMN(AF$1)-COLUMN($A$1), FALSE), VLOOKUP($A311,raw_ub[],COLUMN(AF$1)-COLUMN($A$1),FALSE))</f>
        <v>3.0733935718052805E-4</v>
      </c>
      <c r="AF311" s="72">
        <f>IF(VLOOKUP($A311,raw_ub[],COLUMN(AG$1)-COLUMN($A$1),FALSE)=0, VLOOKUP($D311, regions_ub[], COLUMN(AG$1)-COLUMN($A$1), FALSE), VLOOKUP($A311,raw_ub[],COLUMN(AG$1)-COLUMN($A$1),FALSE))</f>
        <v>3.7223009148719654E-4</v>
      </c>
      <c r="AG311" s="72">
        <f>IF(VLOOKUP($A311,raw_ub[],COLUMN(AH$1)-COLUMN($A$1),FALSE)=0, VLOOKUP($D311, regions_ub[], COLUMN(AH$1)-COLUMN($A$1), FALSE), VLOOKUP($A311,raw_ub[],COLUMN(AH$1)-COLUMN($A$1),FALSE))</f>
        <v>1.0030664302677051E-3</v>
      </c>
      <c r="AH311" s="72">
        <f>IF(VLOOKUP($A311,raw_ub[],COLUMN(AI$1)-COLUMN($A$1),FALSE)=0, VLOOKUP($D311, regions_ub[], COLUMN(AI$1)-COLUMN($A$1), FALSE), VLOOKUP($A311,raw_ub[],COLUMN(AI$1)-COLUMN($A$1),FALSE))</f>
        <v>1.5885208150400254E-3</v>
      </c>
      <c r="AI311" s="72">
        <f>IF(VLOOKUP($A311,raw_ub[],COLUMN(AJ$1)-COLUMN($A$1),FALSE)=0, VLOOKUP($D311, regions_ub[], COLUMN(AJ$1)-COLUMN($A$1), FALSE), VLOOKUP($A311,raw_ub[],COLUMN(AJ$1)-COLUMN($A$1),FALSE))</f>
        <v>1.7499761556073602E-3</v>
      </c>
      <c r="AJ311" s="72">
        <f>IF(VLOOKUP($A311,raw_ub[],COLUMN(AK$1)-COLUMN($A$1),FALSE)=0, VLOOKUP($D311, regions_ub[], COLUMN(AK$1)-COLUMN($A$1), FALSE), VLOOKUP($A311,raw_ub[],COLUMN(AK$1)-COLUMN($A$1),FALSE))</f>
        <v>1.9569589110526213E-3</v>
      </c>
      <c r="AK311" s="72">
        <f>IF(VLOOKUP($A311,raw_ub[],COLUMN(AL$1)-COLUMN($A$1),FALSE)=0, VLOOKUP($D311, regions_ub[], COLUMN(AL$1)-COLUMN($A$1), FALSE), VLOOKUP($A311,raw_ub[],COLUMN(AL$1)-COLUMN($A$1),FALSE))</f>
        <v>2.3136991765487884E-3</v>
      </c>
      <c r="AL311" s="72">
        <f>IF(VLOOKUP($A311,raw_ub[],COLUMN(AM$1)-COLUMN($A$1),FALSE)=0, VLOOKUP($D311, regions_ub[], COLUMN(AM$1)-COLUMN($A$1), FALSE), VLOOKUP($A311,raw_ub[],COLUMN(AM$1)-COLUMN($A$1),FALSE))</f>
        <v>2.9473256505067823E-3</v>
      </c>
      <c r="AM311" s="72">
        <f>IF(VLOOKUP($A311,raw_ub[],COLUMN(AN$1)-COLUMN($A$1),FALSE)=0, VLOOKUP($D311, regions_ub[], COLUMN(AN$1)-COLUMN($A$1), FALSE), VLOOKUP($A311,raw_ub[],COLUMN(AN$1)-COLUMN($A$1),FALSE))</f>
        <v>4.1233860830386946E-3</v>
      </c>
      <c r="AN311" s="72">
        <f>IF(VLOOKUP($A311,raw_ub[],COLUMN(AO$1)-COLUMN($A$1),FALSE)=0, VLOOKUP($D311, regions_ub[], COLUMN(AO$1)-COLUMN($A$1), FALSE), VLOOKUP($A311,raw_ub[],COLUMN(AO$1)-COLUMN($A$1),FALSE))</f>
        <v>5.9997128097811353E-3</v>
      </c>
      <c r="AO311" s="72">
        <f>IF(VLOOKUP($A311,raw_ub[],COLUMN(AP$1)-COLUMN($A$1),FALSE)=0, VLOOKUP($D311, regions_ub[], COLUMN(AP$1)-COLUMN($A$1), FALSE), VLOOKUP($A311,raw_ub[],COLUMN(AP$1)-COLUMN($A$1),FALSE))</f>
        <v>8.7604179856467443E-3</v>
      </c>
      <c r="AP311" s="72">
        <f>IF(VLOOKUP($A311,raw_ub[],COLUMN(AQ$1)-COLUMN($A$1),FALSE)=0, VLOOKUP($D311, regions_ub[], COLUMN(AQ$1)-COLUMN($A$1), FALSE), VLOOKUP($A311,raw_ub[],COLUMN(AQ$1)-COLUMN($A$1),FALSE))</f>
        <v>1.3102874225191654E-2</v>
      </c>
      <c r="AQ311" s="72">
        <f>IF(VLOOKUP($A311,raw_ub[],COLUMN(AR$1)-COLUMN($A$1),FALSE)=0, VLOOKUP($D311, regions_ub[], COLUMN(AR$1)-COLUMN($A$1), FALSE), VLOOKUP($A311,raw_ub[],COLUMN(AR$1)-COLUMN($A$1),FALSE))</f>
        <v>1.9564147659307776E-2</v>
      </c>
      <c r="AR311" s="72">
        <f>IF(VLOOKUP($A311,raw_ub[],COLUMN(AS$1)-COLUMN($A$1),FALSE)=0, VLOOKUP($D311, regions_ub[], COLUMN(AS$1)-COLUMN($A$1), FALSE), VLOOKUP($A311,raw_ub[],COLUMN(AS$1)-COLUMN($A$1),FALSE))</f>
        <v>2.8861622850957731E-2</v>
      </c>
      <c r="AS311" s="72">
        <f>IF(VLOOKUP($A311,raw_ub[],COLUMN(AT$1)-COLUMN($A$1),FALSE)=0, VLOOKUP($D311, regions_ub[], COLUMN(AT$1)-COLUMN($A$1), FALSE), VLOOKUP($A311,raw_ub[],COLUMN(AT$1)-COLUMN($A$1),FALSE))</f>
        <v>4.318831098075631E-2</v>
      </c>
      <c r="AT311" s="82">
        <f>IF(VLOOKUP($A311,raw_ub[],COLUMN(AT$1),FALSE)=0, VLOOKUP($D311, regions_ub[], COLUMN(AT$1), FALSE), VLOOKUP($A311,raw_ub[],COLUMN(AT$1),FALSE))</f>
        <v>6.3407619549871438E-2</v>
      </c>
      <c r="AU311" s="82">
        <f>IF(VLOOKUP($A311,raw_ub[],COLUMN(AU$1),FALSE)=0, VLOOKUP($D311, regions_ub[], COLUMN(AU$1), FALSE), VLOOKUP($A311,raw_ub[],COLUMN(AU$1),FALSE))</f>
        <v>9.0559557216384118E-2</v>
      </c>
      <c r="AV311" s="82">
        <f>IF(VLOOKUP($A311,raw_ub[],COLUMN(AV$1),FALSE)=0, VLOOKUP($D311, regions_ub[], COLUMN(AV$1), FALSE), VLOOKUP($A311,raw_ub[],COLUMN(AV$1),FALSE))</f>
        <v>0.11911018832445608</v>
      </c>
      <c r="AW311" s="82">
        <f>IF(VLOOKUP($A311,raw_ub[],COLUMN(AW$1),FALSE)=0, VLOOKUP($D311, regions_ub[], COLUMN(AW$1), FALSE), VLOOKUP($A311,raw_ub[],COLUMN(AW$1),FALSE))</f>
        <v>0.15330693757163419</v>
      </c>
      <c r="AX311" s="82">
        <f>IF(VLOOKUP($A311,raw_ub[],COLUMN(AX$1),FALSE)=0, VLOOKUP($D311, regions_ub[], COLUMN(AX$1), FALSE), VLOOKUP($A311,raw_ub[],COLUMN(AX$1),FALSE))</f>
        <v>79.185499765665284</v>
      </c>
      <c r="AY311" t="str">
        <f t="shared" si="11"/>
        <v>No</v>
      </c>
    </row>
    <row r="312" spans="1:51" x14ac:dyDescent="0.25">
      <c r="A312" s="53" t="s">
        <v>291</v>
      </c>
      <c r="B312" s="54" t="s">
        <v>292</v>
      </c>
      <c r="C312" s="54">
        <v>214</v>
      </c>
      <c r="D312" s="54" t="s">
        <v>215</v>
      </c>
      <c r="E312" s="54" t="s">
        <v>232</v>
      </c>
      <c r="F312" s="54" t="s">
        <v>217</v>
      </c>
      <c r="G312" s="54" t="s">
        <v>204</v>
      </c>
      <c r="H312" s="73"/>
      <c r="I312" s="73"/>
      <c r="J312" s="67">
        <f>IF(VLOOKUP($A312,raw_ub[],COLUMN(J$1),FALSE)=0, VLOOKUP($D312, regions_ub[], COLUMN(J$1), FALSE), VLOOKUP($A312,raw_ub[],COLUMN(J$1),FALSE))</f>
        <v>0.999</v>
      </c>
      <c r="K312" s="77">
        <f>VLOOKUP($A312, raw_ub[], 11, FALSE)</f>
        <v>0.69300000000000006</v>
      </c>
      <c r="L312" s="77">
        <f>VLOOKUP($A312, raw_ub[], 12, FALSE)</f>
        <v>0.85050000000000014</v>
      </c>
      <c r="M312" s="77">
        <f>IF(VLOOKUP($A312,raw_ub[],COLUMN(M$1),FALSE)=0, VLOOKUP($D312, regions_ub[], COLUMN(M$1), FALSE), VLOOKUP($A312,raw_ub[],COLUMN(M$1),FALSE))</f>
        <v>4.4000000000000004E-2</v>
      </c>
      <c r="N312" s="68">
        <f>IF(VLOOKUP($A312,raw_ub[],COLUMN(N$1),FALSE)=0, VLOOKUP($D312, regions_ub[], COLUMN(N$1), FALSE), VLOOKUP($A312,raw_ub[],COLUMN(N$1),FALSE))</f>
        <v>0.43</v>
      </c>
      <c r="O312" s="67">
        <f>IF(VLOOKUP($A312,raw_ub[],COLUMN(O$1),FALSE)=0, VLOOKUP($D312, regions_ub[], COLUMN(O$1), FALSE), VLOOKUP($A312,raw_ub[],COLUMN(O$1),FALSE))</f>
        <v>0.9</v>
      </c>
      <c r="P312" s="68">
        <f>IF(VLOOKUP($A312,raw_ub[],COLUMN(P$1),FALSE)=0, VLOOKUP($D312, regions_ub[], COLUMN(P$1), FALSE), VLOOKUP($A312,raw_ub[],COLUMN(P$1),FALSE))</f>
        <v>0.3</v>
      </c>
      <c r="Q312" s="70">
        <f>IF(VLOOKUP($A312,raw_ub[],COLUMN(Q$1),FALSE)=0, VLOOKUP($D312, regions_ub[], COLUMN(Q$1), FALSE), VLOOKUP($A312,raw_ub[],COLUMN(Q$1),FALSE))</f>
        <v>22.916467052650599</v>
      </c>
      <c r="R312" s="70">
        <f>IF(VLOOKUP($A312,raw_ub[],COLUMN(R$1),FALSE)=0, VLOOKUP($D312, regions_ub[], COLUMN(R$1), FALSE), VLOOKUP($A312,raw_ub[],COLUMN(R$1),FALSE))</f>
        <v>131.90226705265061</v>
      </c>
      <c r="S312" s="70">
        <f>IF(VLOOKUP($A312,raw_ub[],COLUMN(S$1),FALSE)=0, VLOOKUP($D312, regions_ub[], COLUMN(S$1), FALSE), VLOOKUP($A312,raw_ub[],COLUMN(S$1),FALSE))</f>
        <v>209.08394601129754</v>
      </c>
      <c r="T312" s="70">
        <f>IF(VLOOKUP($A312,raw_ub[],COLUMN(U$1)-COLUMN($A$1),FALSE)=0, VLOOKUP($D312, regions_ub[], COLUMN(U$1)-COLUMN($A$1), FALSE), VLOOKUP($A312,raw_ub[],COLUMN(U$1)-COLUMN($A$1),FALSE))</f>
        <v>234.04632359355909</v>
      </c>
      <c r="U312" s="70">
        <f>IF(VLOOKUP($A312,raw_ub[],COLUMN(V$1)-COLUMN($A$1),FALSE)=0, VLOOKUP($D312, regions_ub[], COLUMN(V$1)-COLUMN($A$1), FALSE), VLOOKUP($A312,raw_ub[],COLUMN(V$1)-COLUMN($A$1),FALSE))</f>
        <v>222.58412744522818</v>
      </c>
      <c r="V312" s="70">
        <f>IF(VLOOKUP($A312,raw_ub[],COLUMN(W$1)-COLUMN($A$1),FALSE)=0, VLOOKUP($D312, regions_ub[], COLUMN(W$1)-COLUMN($A$1), FALSE), VLOOKUP($A312,raw_ub[],COLUMN(W$1)-COLUMN($A$1),FALSE))</f>
        <v>9.9114412478643619</v>
      </c>
      <c r="W312" s="70">
        <f>IF(VLOOKUP($A312,raw_ub[],COLUMN(X$1)-COLUMN($A$1),FALSE)=0, VLOOKUP($D312, regions_ub[], COLUMN(X$1)-COLUMN($A$1), FALSE), VLOOKUP($A312,raw_ub[],COLUMN(X$1)-COLUMN($A$1),FALSE))</f>
        <v>9.9324412478643627</v>
      </c>
      <c r="X312" s="70">
        <f>IF(VLOOKUP($A312,raw_ub[],COLUMN(Y$1)-COLUMN($A$1),FALSE)=0, VLOOKUP($D312, regions_ub[], COLUMN(Y$1)-COLUMN($A$1), FALSE), VLOOKUP($A312,raw_ub[],COLUMN(Y$1)-COLUMN($A$1),FALSE))</f>
        <v>9.8665557229596477</v>
      </c>
      <c r="Y312" s="70">
        <f>IF(VLOOKUP($A312,raw_ub[],COLUMN(Z$1)-COLUMN($A$1),FALSE)=0, VLOOKUP($D312, regions_ub[], COLUMN(Z$1)-COLUMN($A$1), FALSE), VLOOKUP($A312,raw_ub[],COLUMN(Z$1)-COLUMN($A$1),FALSE))</f>
        <v>9.8875557229596485</v>
      </c>
      <c r="Z312" s="70">
        <f>IF(VLOOKUP($A312,raw_ub[],COLUMN(AA$1)-COLUMN($A$1),FALSE)=0, VLOOKUP($D312, regions_ub[], COLUMN(AA$1)-COLUMN($A$1), FALSE), VLOOKUP($A312,raw_ub[],COLUMN(AA$1)-COLUMN($A$1),FALSE))</f>
        <v>9.8614745184646821</v>
      </c>
      <c r="AA312" s="70">
        <f>IF(VLOOKUP($A312,raw_ub[],COLUMN(AB$1)-COLUMN($A$1),FALSE)=0, VLOOKUP($D312, regions_ub[], COLUMN(AB$1)-COLUMN($A$1), FALSE), VLOOKUP($A312,raw_ub[],COLUMN(AB$1)-COLUMN($A$1),FALSE))</f>
        <v>9.9217994459192962</v>
      </c>
      <c r="AB312" s="70">
        <f>IF(VLOOKUP($A312,raw_ub[],COLUMN(AC$1)-COLUMN($A$1),FALSE)=0, VLOOKUP($D312, regions_ub[], COLUMN(AC$1)-COLUMN($A$1), FALSE), VLOOKUP($A312,raw_ub[],COLUMN(AC$1)-COLUMN($A$1),FALSE))</f>
        <v>9.942799445919297</v>
      </c>
      <c r="AC312" s="72">
        <f>IF(VLOOKUP($A312,raw_ub[],COLUMN(AD$1)-COLUMN($A$1),FALSE)=0, VLOOKUP($D312, regions_ub[], COLUMN(AD$1)-COLUMN($A$1), FALSE), VLOOKUP($A312,raw_ub[],COLUMN(AD$1)-COLUMN($A$1),FALSE))</f>
        <v>2.7156286499999946E-2</v>
      </c>
      <c r="AD312" s="72">
        <f>IF(VLOOKUP($A312,raw_ub[],COLUMN(AE$1)-COLUMN($A$1),FALSE)=0, VLOOKUP($D312, regions_ub[], COLUMN(AE$1)-COLUMN($A$1), FALSE), VLOOKUP($A312,raw_ub[],COLUMN(AE$1)-COLUMN($A$1),FALSE))</f>
        <v>8.1225328736405158E-4</v>
      </c>
      <c r="AE312" s="72">
        <f>IF(VLOOKUP($A312,raw_ub[],COLUMN(AF$1)-COLUMN($A$1),FALSE)=0, VLOOKUP($D312, regions_ub[], COLUMN(AF$1)-COLUMN($A$1), FALSE), VLOOKUP($A312,raw_ub[],COLUMN(AF$1)-COLUMN($A$1),FALSE))</f>
        <v>3.9047067795557028E-4</v>
      </c>
      <c r="AF312" s="72">
        <f>IF(VLOOKUP($A312,raw_ub[],COLUMN(AG$1)-COLUMN($A$1),FALSE)=0, VLOOKUP($D312, regions_ub[], COLUMN(AG$1)-COLUMN($A$1), FALSE), VLOOKUP($A312,raw_ub[],COLUMN(AG$1)-COLUMN($A$1),FALSE))</f>
        <v>3.9130638915606318E-4</v>
      </c>
      <c r="AG312" s="72">
        <f>IF(VLOOKUP($A312,raw_ub[],COLUMN(AH$1)-COLUMN($A$1),FALSE)=0, VLOOKUP($D312, regions_ub[], COLUMN(AH$1)-COLUMN($A$1), FALSE), VLOOKUP($A312,raw_ub[],COLUMN(AH$1)-COLUMN($A$1),FALSE))</f>
        <v>9.8608178729017227E-4</v>
      </c>
      <c r="AH312" s="72">
        <f>IF(VLOOKUP($A312,raw_ub[],COLUMN(AI$1)-COLUMN($A$1),FALSE)=0, VLOOKUP($D312, regions_ub[], COLUMN(AI$1)-COLUMN($A$1), FALSE), VLOOKUP($A312,raw_ub[],COLUMN(AI$1)-COLUMN($A$1),FALSE))</f>
        <v>1.7425678837705554E-3</v>
      </c>
      <c r="AI312" s="72">
        <f>IF(VLOOKUP($A312,raw_ub[],COLUMN(AJ$1)-COLUMN($A$1),FALSE)=0, VLOOKUP($D312, regions_ub[], COLUMN(AJ$1)-COLUMN($A$1), FALSE), VLOOKUP($A312,raw_ub[],COLUMN(AJ$1)-COLUMN($A$1),FALSE))</f>
        <v>2.2040437623105005E-3</v>
      </c>
      <c r="AJ312" s="72">
        <f>IF(VLOOKUP($A312,raw_ub[],COLUMN(AK$1)-COLUMN($A$1),FALSE)=0, VLOOKUP($D312, regions_ub[], COLUMN(AK$1)-COLUMN($A$1), FALSE), VLOOKUP($A312,raw_ub[],COLUMN(AK$1)-COLUMN($A$1),FALSE))</f>
        <v>2.6871705481480174E-3</v>
      </c>
      <c r="AK312" s="72">
        <f>IF(VLOOKUP($A312,raw_ub[],COLUMN(AL$1)-COLUMN($A$1),FALSE)=0, VLOOKUP($D312, regions_ub[], COLUMN(AL$1)-COLUMN($A$1), FALSE), VLOOKUP($A312,raw_ub[],COLUMN(AL$1)-COLUMN($A$1),FALSE))</f>
        <v>2.9847787520991226E-3</v>
      </c>
      <c r="AL312" s="72">
        <f>IF(VLOOKUP($A312,raw_ub[],COLUMN(AM$1)-COLUMN($A$1),FALSE)=0, VLOOKUP($D312, regions_ub[], COLUMN(AM$1)-COLUMN($A$1), FALSE), VLOOKUP($A312,raw_ub[],COLUMN(AM$1)-COLUMN($A$1),FALSE))</f>
        <v>3.7500411862322162E-3</v>
      </c>
      <c r="AM312" s="72">
        <f>IF(VLOOKUP($A312,raw_ub[],COLUMN(AN$1)-COLUMN($A$1),FALSE)=0, VLOOKUP($D312, regions_ub[], COLUMN(AN$1)-COLUMN($A$1), FALSE), VLOOKUP($A312,raw_ub[],COLUMN(AN$1)-COLUMN($A$1),FALSE))</f>
        <v>5.0038463465409914E-3</v>
      </c>
      <c r="AN312" s="72">
        <f>IF(VLOOKUP($A312,raw_ub[],COLUMN(AO$1)-COLUMN($A$1),FALSE)=0, VLOOKUP($D312, regions_ub[], COLUMN(AO$1)-COLUMN($A$1), FALSE), VLOOKUP($A312,raw_ub[],COLUMN(AO$1)-COLUMN($A$1),FALSE))</f>
        <v>6.6241016614006967E-3</v>
      </c>
      <c r="AO312" s="72">
        <f>IF(VLOOKUP($A312,raw_ub[],COLUMN(AP$1)-COLUMN($A$1),FALSE)=0, VLOOKUP($D312, regions_ub[], COLUMN(AP$1)-COLUMN($A$1), FALSE), VLOOKUP($A312,raw_ub[],COLUMN(AP$1)-COLUMN($A$1),FALSE))</f>
        <v>9.6066629240124084E-3</v>
      </c>
      <c r="AP312" s="72">
        <f>IF(VLOOKUP($A312,raw_ub[],COLUMN(AQ$1)-COLUMN($A$1),FALSE)=0, VLOOKUP($D312, regions_ub[], COLUMN(AQ$1)-COLUMN($A$1), FALSE), VLOOKUP($A312,raw_ub[],COLUMN(AQ$1)-COLUMN($A$1),FALSE))</f>
        <v>1.4171404144453878E-2</v>
      </c>
      <c r="AQ312" s="72">
        <f>IF(VLOOKUP($A312,raw_ub[],COLUMN(AR$1)-COLUMN($A$1),FALSE)=0, VLOOKUP($D312, regions_ub[], COLUMN(AR$1)-COLUMN($A$1), FALSE), VLOOKUP($A312,raw_ub[],COLUMN(AR$1)-COLUMN($A$1),FALSE))</f>
        <v>2.0859036833784282E-2</v>
      </c>
      <c r="AR312" s="72">
        <f>IF(VLOOKUP($A312,raw_ub[],COLUMN(AS$1)-COLUMN($A$1),FALSE)=0, VLOOKUP($D312, regions_ub[], COLUMN(AS$1)-COLUMN($A$1), FALSE), VLOOKUP($A312,raw_ub[],COLUMN(AS$1)-COLUMN($A$1),FALSE))</f>
        <v>3.0246212685517852E-2</v>
      </c>
      <c r="AS312" s="72">
        <f>IF(VLOOKUP($A312,raw_ub[],COLUMN(AT$1)-COLUMN($A$1),FALSE)=0, VLOOKUP($D312, regions_ub[], COLUMN(AT$1)-COLUMN($A$1), FALSE), VLOOKUP($A312,raw_ub[],COLUMN(AT$1)-COLUMN($A$1),FALSE))</f>
        <v>4.3860022794586513E-2</v>
      </c>
      <c r="AT312" s="82">
        <f>IF(VLOOKUP($A312,raw_ub[],COLUMN(AT$1),FALSE)=0, VLOOKUP($D312, regions_ub[], COLUMN(AT$1), FALSE), VLOOKUP($A312,raw_ub[],COLUMN(AT$1),FALSE))</f>
        <v>6.0637465725273842E-2</v>
      </c>
      <c r="AU312" s="82">
        <f>IF(VLOOKUP($A312,raw_ub[],COLUMN(AU$1),FALSE)=0, VLOOKUP($D312, regions_ub[], COLUMN(AU$1), FALSE), VLOOKUP($A312,raw_ub[],COLUMN(AU$1),FALSE))</f>
        <v>8.0014745456791062E-2</v>
      </c>
      <c r="AV312" s="82">
        <f>IF(VLOOKUP($A312,raw_ub[],COLUMN(AV$1),FALSE)=0, VLOOKUP($D312, regions_ub[], COLUMN(AV$1), FALSE), VLOOKUP($A312,raw_ub[],COLUMN(AV$1),FALSE))</f>
        <v>0.10064475645029461</v>
      </c>
      <c r="AW312" s="82">
        <f>IF(VLOOKUP($A312,raw_ub[],COLUMN(AW$1),FALSE)=0, VLOOKUP($D312, regions_ub[], COLUMN(AW$1), FALSE), VLOOKUP($A312,raw_ub[],COLUMN(AW$1),FALSE))</f>
        <v>0.12096311876246614</v>
      </c>
      <c r="AX312" s="82">
        <f>IF(VLOOKUP($A312,raw_ub[],COLUMN(AX$1),FALSE)=0, VLOOKUP($D312, regions_ub[], COLUMN(AX$1), FALSE), VLOOKUP($A312,raw_ub[],COLUMN(AX$1),FALSE))</f>
        <v>77.501550000000009</v>
      </c>
      <c r="AY312" t="str">
        <f t="shared" si="11"/>
        <v>No</v>
      </c>
    </row>
    <row r="313" spans="1:51" x14ac:dyDescent="0.25">
      <c r="A313" s="55" t="s">
        <v>293</v>
      </c>
      <c r="B313" s="56" t="s">
        <v>294</v>
      </c>
      <c r="C313" s="56">
        <v>218</v>
      </c>
      <c r="D313" s="56" t="s">
        <v>215</v>
      </c>
      <c r="E313" s="56" t="s">
        <v>240</v>
      </c>
      <c r="F313" s="56" t="s">
        <v>217</v>
      </c>
      <c r="G313" s="56" t="s">
        <v>204</v>
      </c>
      <c r="H313" s="74"/>
      <c r="I313" s="74"/>
      <c r="J313" s="67">
        <f>IF(VLOOKUP($A313,raw_ub[],COLUMN(J$1),FALSE)=0, VLOOKUP($D313, regions_ub[], COLUMN(J$1), FALSE), VLOOKUP($A313,raw_ub[],COLUMN(J$1),FALSE))</f>
        <v>0.97965000000000002</v>
      </c>
      <c r="K313" s="77">
        <f>VLOOKUP($A313, raw_ub[], 11, FALSE)</f>
        <v>0.65100000000000002</v>
      </c>
      <c r="L313" s="77">
        <f>VLOOKUP($A313, raw_ub[], 12, FALSE)</f>
        <v>0.73499999999999999</v>
      </c>
      <c r="M313" s="77">
        <f>IF(VLOOKUP($A313,raw_ub[],COLUMN(M$1),FALSE)=0, VLOOKUP($D313, regions_ub[], COLUMN(M$1), FALSE), VLOOKUP($A313,raw_ub[],COLUMN(M$1),FALSE))</f>
        <v>4.9200000000000001E-2</v>
      </c>
      <c r="N313" s="68">
        <f>IF(VLOOKUP($A313,raw_ub[],COLUMN(N$1),FALSE)=0, VLOOKUP($D313, regions_ub[], COLUMN(N$1), FALSE), VLOOKUP($A313,raw_ub[],COLUMN(N$1),FALSE))</f>
        <v>0.43020000000000003</v>
      </c>
      <c r="O313" s="67">
        <f>IF(VLOOKUP($A313,raw_ub[],COLUMN(O$1),FALSE)=0, VLOOKUP($D313, regions_ub[], COLUMN(O$1), FALSE), VLOOKUP($A313,raw_ub[],COLUMN(O$1),FALSE))</f>
        <v>0.9</v>
      </c>
      <c r="P313" s="68">
        <f>IF(VLOOKUP($A313,raw_ub[],COLUMN(P$1),FALSE)=0, VLOOKUP($D313, regions_ub[], COLUMN(P$1), FALSE), VLOOKUP($A313,raw_ub[],COLUMN(P$1),FALSE))</f>
        <v>0.3</v>
      </c>
      <c r="Q313" s="70">
        <f>IF(VLOOKUP($A313,raw_ub[],COLUMN(Q$1),FALSE)=0, VLOOKUP($D313, regions_ub[], COLUMN(Q$1), FALSE), VLOOKUP($A313,raw_ub[],COLUMN(Q$1),FALSE))</f>
        <v>28.383547465435452</v>
      </c>
      <c r="R313" s="70">
        <f>IF(VLOOKUP($A313,raw_ub[],COLUMN(R$1),FALSE)=0, VLOOKUP($D313, regions_ub[], COLUMN(R$1), FALSE), VLOOKUP($A313,raw_ub[],COLUMN(R$1),FALSE))</f>
        <v>137.36934746543545</v>
      </c>
      <c r="S313" s="70">
        <f>IF(VLOOKUP($A313,raw_ub[],COLUMN(S$1),FALSE)=0, VLOOKUP($D313, regions_ub[], COLUMN(S$1), FALSE), VLOOKUP($A313,raw_ub[],COLUMN(S$1),FALSE))</f>
        <v>226.03829669347306</v>
      </c>
      <c r="T313" s="70">
        <f>IF(VLOOKUP($A313,raw_ub[],COLUMN(U$1)-COLUMN($A$1),FALSE)=0, VLOOKUP($D313, regions_ub[], COLUMN(U$1)-COLUMN($A$1), FALSE), VLOOKUP($A313,raw_ub[],COLUMN(U$1)-COLUMN($A$1),FALSE))</f>
        <v>256.97939695767519</v>
      </c>
      <c r="U313" s="70">
        <f>IF(VLOOKUP($A313,raw_ub[],COLUMN(V$1)-COLUMN($A$1),FALSE)=0, VLOOKUP($D313, regions_ub[], COLUMN(V$1)-COLUMN($A$1), FALSE), VLOOKUP($A313,raw_ub[],COLUMN(V$1)-COLUMN($A$1),FALSE))</f>
        <v>242.77189772789524</v>
      </c>
      <c r="V313" s="70">
        <f>IF(VLOOKUP($A313,raw_ub[],COLUMN(W$1)-COLUMN($A$1),FALSE)=0, VLOOKUP($D313, regions_ub[], COLUMN(W$1)-COLUMN($A$1), FALSE), VLOOKUP($A313,raw_ub[],COLUMN(W$1)-COLUMN($A$1),FALSE))</f>
        <v>7.197394306171109</v>
      </c>
      <c r="W313" s="70">
        <f>IF(VLOOKUP($A313,raw_ub[],COLUMN(X$1)-COLUMN($A$1),FALSE)=0, VLOOKUP($D313, regions_ub[], COLUMN(X$1)-COLUMN($A$1), FALSE), VLOOKUP($A313,raw_ub[],COLUMN(X$1)-COLUMN($A$1),FALSE))</f>
        <v>7.2183943061711089</v>
      </c>
      <c r="X313" s="70">
        <f>IF(VLOOKUP($A313,raw_ub[],COLUMN(Y$1)-COLUMN($A$1),FALSE)=0, VLOOKUP($D313, regions_ub[], COLUMN(Y$1)-COLUMN($A$1), FALSE), VLOOKUP($A313,raw_ub[],COLUMN(Y$1)-COLUMN($A$1),FALSE))</f>
        <v>7.1633485137495772</v>
      </c>
      <c r="Y313" s="70">
        <f>IF(VLOOKUP($A313,raw_ub[],COLUMN(Z$1)-COLUMN($A$1),FALSE)=0, VLOOKUP($D313, regions_ub[], COLUMN(Z$1)-COLUMN($A$1), FALSE), VLOOKUP($A313,raw_ub[],COLUMN(Z$1)-COLUMN($A$1),FALSE))</f>
        <v>7.1843485137495771</v>
      </c>
      <c r="Z313" s="70">
        <f>IF(VLOOKUP($A313,raw_ub[],COLUMN(AA$1)-COLUMN($A$1),FALSE)=0, VLOOKUP($D313, regions_ub[], COLUMN(AA$1)-COLUMN($A$1), FALSE), VLOOKUP($A313,raw_ub[],COLUMN(AA$1)-COLUMN($A$1),FALSE))</f>
        <v>7.1649166990723439</v>
      </c>
      <c r="AA313" s="70">
        <f>IF(VLOOKUP($A313,raw_ub[],COLUMN(AB$1)-COLUMN($A$1),FALSE)=0, VLOOKUP($D313, regions_ub[], COLUMN(AB$1)-COLUMN($A$1), FALSE), VLOOKUP($A313,raw_ub[],COLUMN(AB$1)-COLUMN($A$1),FALSE))</f>
        <v>7.2052510274991555</v>
      </c>
      <c r="AB313" s="70">
        <f>IF(VLOOKUP($A313,raw_ub[],COLUMN(AC$1)-COLUMN($A$1),FALSE)=0, VLOOKUP($D313, regions_ub[], COLUMN(AC$1)-COLUMN($A$1), FALSE), VLOOKUP($A313,raw_ub[],COLUMN(AC$1)-COLUMN($A$1),FALSE))</f>
        <v>7.2262510274991554</v>
      </c>
      <c r="AC313" s="72">
        <f>IF(VLOOKUP($A313,raw_ub[],COLUMN(AD$1)-COLUMN($A$1),FALSE)=0, VLOOKUP($D313, regions_ub[], COLUMN(AD$1)-COLUMN($A$1), FALSE), VLOOKUP($A313,raw_ub[],COLUMN(AD$1)-COLUMN($A$1),FALSE))</f>
        <v>1.428419999999994E-2</v>
      </c>
      <c r="AD313" s="72">
        <f>IF(VLOOKUP($A313,raw_ub[],COLUMN(AE$1)-COLUMN($A$1),FALSE)=0, VLOOKUP($D313, regions_ub[], COLUMN(AE$1)-COLUMN($A$1), FALSE), VLOOKUP($A313,raw_ub[],COLUMN(AE$1)-COLUMN($A$1),FALSE))</f>
        <v>7.2205356672168429E-4</v>
      </c>
      <c r="AE313" s="72">
        <f>IF(VLOOKUP($A313,raw_ub[],COLUMN(AF$1)-COLUMN($A$1),FALSE)=0, VLOOKUP($D313, regions_ub[], COLUMN(AF$1)-COLUMN($A$1), FALSE), VLOOKUP($A313,raw_ub[],COLUMN(AF$1)-COLUMN($A$1),FALSE))</f>
        <v>4.133893820277855E-4</v>
      </c>
      <c r="AF313" s="72">
        <f>IF(VLOOKUP($A313,raw_ub[],COLUMN(AG$1)-COLUMN($A$1),FALSE)=0, VLOOKUP($D313, regions_ub[], COLUMN(AG$1)-COLUMN($A$1), FALSE), VLOOKUP($A313,raw_ub[],COLUMN(AG$1)-COLUMN($A$1),FALSE))</f>
        <v>5.2002974617661971E-4</v>
      </c>
      <c r="AG313" s="72">
        <f>IF(VLOOKUP($A313,raw_ub[],COLUMN(AH$1)-COLUMN($A$1),FALSE)=0, VLOOKUP($D313, regions_ub[], COLUMN(AH$1)-COLUMN($A$1), FALSE), VLOOKUP($A313,raw_ub[],COLUMN(AH$1)-COLUMN($A$1),FALSE))</f>
        <v>1.0807316063231292E-3</v>
      </c>
      <c r="AH313" s="72">
        <f>IF(VLOOKUP($A313,raw_ub[],COLUMN(AI$1)-COLUMN($A$1),FALSE)=0, VLOOKUP($D313, regions_ub[], COLUMN(AI$1)-COLUMN($A$1), FALSE), VLOOKUP($A313,raw_ub[],COLUMN(AI$1)-COLUMN($A$1),FALSE))</f>
        <v>1.7032050036944414E-3</v>
      </c>
      <c r="AI313" s="72">
        <f>IF(VLOOKUP($A313,raw_ub[],COLUMN(AJ$1)-COLUMN($A$1),FALSE)=0, VLOOKUP($D313, regions_ub[], COLUMN(AJ$1)-COLUMN($A$1), FALSE), VLOOKUP($A313,raw_ub[],COLUMN(AJ$1)-COLUMN($A$1),FALSE))</f>
        <v>2.0485036913162062E-3</v>
      </c>
      <c r="AJ313" s="72">
        <f>IF(VLOOKUP($A313,raw_ub[],COLUMN(AK$1)-COLUMN($A$1),FALSE)=0, VLOOKUP($D313, regions_ub[], COLUMN(AK$1)-COLUMN($A$1), FALSE), VLOOKUP($A313,raw_ub[],COLUMN(AK$1)-COLUMN($A$1),FALSE))</f>
        <v>2.1255970682588798E-3</v>
      </c>
      <c r="AK313" s="72">
        <f>IF(VLOOKUP($A313,raw_ub[],COLUMN(AL$1)-COLUMN($A$1),FALSE)=0, VLOOKUP($D313, regions_ub[], COLUMN(AL$1)-COLUMN($A$1), FALSE), VLOOKUP($A313,raw_ub[],COLUMN(AL$1)-COLUMN($A$1),FALSE))</f>
        <v>2.2768445375733145E-3</v>
      </c>
      <c r="AL313" s="72">
        <f>IF(VLOOKUP($A313,raw_ub[],COLUMN(AM$1)-COLUMN($A$1),FALSE)=0, VLOOKUP($D313, regions_ub[], COLUMN(AM$1)-COLUMN($A$1), FALSE), VLOOKUP($A313,raw_ub[],COLUMN(AM$1)-COLUMN($A$1),FALSE))</f>
        <v>2.84626015544155E-3</v>
      </c>
      <c r="AM313" s="72">
        <f>IF(VLOOKUP($A313,raw_ub[],COLUMN(AN$1)-COLUMN($A$1),FALSE)=0, VLOOKUP($D313, regions_ub[], COLUMN(AN$1)-COLUMN($A$1), FALSE), VLOOKUP($A313,raw_ub[],COLUMN(AN$1)-COLUMN($A$1),FALSE))</f>
        <v>3.6232942825225943E-3</v>
      </c>
      <c r="AN313" s="72">
        <f>IF(VLOOKUP($A313,raw_ub[],COLUMN(AO$1)-COLUMN($A$1),FALSE)=0, VLOOKUP($D313, regions_ub[], COLUMN(AO$1)-COLUMN($A$1), FALSE), VLOOKUP($A313,raw_ub[],COLUMN(AO$1)-COLUMN($A$1),FALSE))</f>
        <v>5.281412038155288E-3</v>
      </c>
      <c r="AO313" s="72">
        <f>IF(VLOOKUP($A313,raw_ub[],COLUMN(AP$1)-COLUMN($A$1),FALSE)=0, VLOOKUP($D313, regions_ub[], COLUMN(AP$1)-COLUMN($A$1), FALSE), VLOOKUP($A313,raw_ub[],COLUMN(AP$1)-COLUMN($A$1),FALSE))</f>
        <v>7.201212862297671E-3</v>
      </c>
      <c r="AP313" s="72">
        <f>IF(VLOOKUP($A313,raw_ub[],COLUMN(AQ$1)-COLUMN($A$1),FALSE)=0, VLOOKUP($D313, regions_ub[], COLUMN(AQ$1)-COLUMN($A$1), FALSE), VLOOKUP($A313,raw_ub[],COLUMN(AQ$1)-COLUMN($A$1),FALSE))</f>
        <v>1.0470697422218135E-2</v>
      </c>
      <c r="AQ313" s="72">
        <f>IF(VLOOKUP($A313,raw_ub[],COLUMN(AR$1)-COLUMN($A$1),FALSE)=0, VLOOKUP($D313, regions_ub[], COLUMN(AR$1)-COLUMN($A$1), FALSE), VLOOKUP($A313,raw_ub[],COLUMN(AR$1)-COLUMN($A$1),FALSE))</f>
        <v>1.4680739461354821E-2</v>
      </c>
      <c r="AR313" s="72">
        <f>IF(VLOOKUP($A313,raw_ub[],COLUMN(AS$1)-COLUMN($A$1),FALSE)=0, VLOOKUP($D313, regions_ub[], COLUMN(AS$1)-COLUMN($A$1), FALSE), VLOOKUP($A313,raw_ub[],COLUMN(AS$1)-COLUMN($A$1),FALSE))</f>
        <v>2.3956681473236725E-2</v>
      </c>
      <c r="AS313" s="72">
        <f>IF(VLOOKUP($A313,raw_ub[],COLUMN(AT$1)-COLUMN($A$1),FALSE)=0, VLOOKUP($D313, regions_ub[], COLUMN(AT$1)-COLUMN($A$1), FALSE), VLOOKUP($A313,raw_ub[],COLUMN(AT$1)-COLUMN($A$1),FALSE))</f>
        <v>3.8348397163032455E-2</v>
      </c>
      <c r="AT313" s="82">
        <f>IF(VLOOKUP($A313,raw_ub[],COLUMN(AT$1),FALSE)=0, VLOOKUP($D313, regions_ub[], COLUMN(AT$1), FALSE), VLOOKUP($A313,raw_ub[],COLUMN(AT$1),FALSE))</f>
        <v>5.8721609166823716E-2</v>
      </c>
      <c r="AU313" s="82">
        <f>IF(VLOOKUP($A313,raw_ub[],COLUMN(AU$1),FALSE)=0, VLOOKUP($D313, regions_ub[], COLUMN(AU$1), FALSE), VLOOKUP($A313,raw_ub[],COLUMN(AU$1),FALSE))</f>
        <v>8.9383277352656554E-2</v>
      </c>
      <c r="AV313" s="82">
        <f>IF(VLOOKUP($A313,raw_ub[],COLUMN(AV$1),FALSE)=0, VLOOKUP($D313, regions_ub[], COLUMN(AV$1), FALSE), VLOOKUP($A313,raw_ub[],COLUMN(AV$1),FALSE))</f>
        <v>0.11446772273272936</v>
      </c>
      <c r="AW313" s="82">
        <f>IF(VLOOKUP($A313,raw_ub[],COLUMN(AW$1),FALSE)=0, VLOOKUP($D313, regions_ub[], COLUMN(AW$1), FALSE), VLOOKUP($A313,raw_ub[],COLUMN(AW$1),FALSE))</f>
        <v>0.14670558266820294</v>
      </c>
      <c r="AX313" s="82">
        <f>IF(VLOOKUP($A313,raw_ub[],COLUMN(AX$1),FALSE)=0, VLOOKUP($D313, regions_ub[], COLUMN(AX$1), FALSE), VLOOKUP($A313,raw_ub[],COLUMN(AX$1),FALSE))</f>
        <v>80.537099999999995</v>
      </c>
      <c r="AY313" t="str">
        <f t="shared" si="11"/>
        <v>No</v>
      </c>
    </row>
    <row r="314" spans="1:51" x14ac:dyDescent="0.25">
      <c r="A314" s="53" t="s">
        <v>295</v>
      </c>
      <c r="B314" s="54" t="s">
        <v>296</v>
      </c>
      <c r="C314" s="54">
        <v>818</v>
      </c>
      <c r="D314" s="54" t="s">
        <v>196</v>
      </c>
      <c r="E314" s="54" t="s">
        <v>197</v>
      </c>
      <c r="F314" s="54" t="s">
        <v>197</v>
      </c>
      <c r="G314" s="54" t="s">
        <v>212</v>
      </c>
      <c r="H314" s="73"/>
      <c r="I314" s="73"/>
      <c r="J314" s="67">
        <f>IF(VLOOKUP($A314,raw_ub[],COLUMN(J$1),FALSE)=0, VLOOKUP($D314, regions_ub[], COLUMN(J$1), FALSE), VLOOKUP($A314,raw_ub[],COLUMN(J$1),FALSE))</f>
        <v>0.91034999999999999</v>
      </c>
      <c r="K314" s="77">
        <f>VLOOKUP($A314, raw_ub[], 11, FALSE)</f>
        <v>0.96600000000000008</v>
      </c>
      <c r="L314" s="77">
        <f>VLOOKUP($A314, raw_ub[], 12, FALSE)</f>
        <v>0.98699999999999999</v>
      </c>
      <c r="M314" s="77">
        <f>IF(VLOOKUP($A314,raw_ub[],COLUMN(M$1),FALSE)=0, VLOOKUP($D314, regions_ub[], COLUMN(M$1), FALSE), VLOOKUP($A314,raw_ub[],COLUMN(M$1),FALSE))</f>
        <v>1.7299999999999999E-2</v>
      </c>
      <c r="N314" s="68">
        <f>IF(VLOOKUP($A314,raw_ub[],COLUMN(N$1),FALSE)=0, VLOOKUP($D314, regions_ub[], COLUMN(N$1), FALSE), VLOOKUP($A314,raw_ub[],COLUMN(N$1),FALSE))</f>
        <v>0.37619999999999998</v>
      </c>
      <c r="O314" s="67">
        <f>IF(VLOOKUP($A314,raw_ub[],COLUMN(O$1),FALSE)=0, VLOOKUP($D314, regions_ub[], COLUMN(O$1), FALSE), VLOOKUP($A314,raw_ub[],COLUMN(O$1),FALSE))</f>
        <v>0.9</v>
      </c>
      <c r="P314" s="68">
        <f>IF(VLOOKUP($A314,raw_ub[],COLUMN(P$1),FALSE)=0, VLOOKUP($D314, regions_ub[], COLUMN(P$1), FALSE), VLOOKUP($A314,raw_ub[],COLUMN(P$1),FALSE))</f>
        <v>0.3</v>
      </c>
      <c r="Q314" s="70">
        <f>IF(VLOOKUP($A314,raw_ub[],COLUMN(Q$1),FALSE)=0, VLOOKUP($D314, regions_ub[], COLUMN(Q$1), FALSE), VLOOKUP($A314,raw_ub[],COLUMN(Q$1),FALSE))</f>
        <v>16.115531541408856</v>
      </c>
      <c r="R314" s="70">
        <f>IF(VLOOKUP($A314,raw_ub[],COLUMN(R$1),FALSE)=0, VLOOKUP($D314, regions_ub[], COLUMN(R$1), FALSE), VLOOKUP($A314,raw_ub[],COLUMN(R$1),FALSE))</f>
        <v>125.10133154140887</v>
      </c>
      <c r="S314" s="70">
        <f>IF(VLOOKUP($A314,raw_ub[],COLUMN(S$1),FALSE)=0, VLOOKUP($D314, regions_ub[], COLUMN(S$1), FALSE), VLOOKUP($A314,raw_ub[],COLUMN(S$1),FALSE))</f>
        <v>183.32559742757255</v>
      </c>
      <c r="T314" s="70">
        <f>IF(VLOOKUP($A314,raw_ub[],COLUMN(U$1)-COLUMN($A$1),FALSE)=0, VLOOKUP($D314, regions_ub[], COLUMN(U$1)-COLUMN($A$1), FALSE), VLOOKUP($A314,raw_ub[],COLUMN(U$1)-COLUMN($A$1),FALSE))</f>
        <v>198.42130408894653</v>
      </c>
      <c r="U314" s="70">
        <f>IF(VLOOKUP($A314,raw_ub[],COLUMN(V$1)-COLUMN($A$1),FALSE)=0, VLOOKUP($D314, regions_ub[], COLUMN(V$1)-COLUMN($A$1), FALSE), VLOOKUP($A314,raw_ub[],COLUMN(V$1)-COLUMN($A$1),FALSE))</f>
        <v>191.48967467263284</v>
      </c>
      <c r="V314" s="70">
        <f>IF(VLOOKUP($A314,raw_ub[],COLUMN(W$1)-COLUMN($A$1),FALSE)=0, VLOOKUP($D314, regions_ub[], COLUMN(W$1)-COLUMN($A$1), FALSE), VLOOKUP($A314,raw_ub[],COLUMN(W$1)-COLUMN($A$1),FALSE))</f>
        <v>5.3330294902285749</v>
      </c>
      <c r="W314" s="70">
        <f>IF(VLOOKUP($A314,raw_ub[],COLUMN(X$1)-COLUMN($A$1),FALSE)=0, VLOOKUP($D314, regions_ub[], COLUMN(X$1)-COLUMN($A$1), FALSE), VLOOKUP($A314,raw_ub[],COLUMN(X$1)-COLUMN($A$1),FALSE))</f>
        <v>5.8370294902285753</v>
      </c>
      <c r="X314" s="70">
        <f>IF(VLOOKUP($A314,raw_ub[],COLUMN(Y$1)-COLUMN($A$1),FALSE)=0, VLOOKUP($D314, regions_ub[], COLUMN(Y$1)-COLUMN($A$1), FALSE), VLOOKUP($A314,raw_ub[],COLUMN(Y$1)-COLUMN($A$1),FALSE))</f>
        <v>5.2939059946088687</v>
      </c>
      <c r="Y314" s="70">
        <f>IF(VLOOKUP($A314,raw_ub[],COLUMN(Z$1)-COLUMN($A$1),FALSE)=0, VLOOKUP($D314, regions_ub[], COLUMN(Z$1)-COLUMN($A$1), FALSE), VLOOKUP($A314,raw_ub[],COLUMN(Z$1)-COLUMN($A$1),FALSE))</f>
        <v>5.7979059946088682</v>
      </c>
      <c r="Z314" s="70">
        <f>IF(VLOOKUP($A314,raw_ub[],COLUMN(AA$1)-COLUMN($A$1),FALSE)=0, VLOOKUP($D314, regions_ub[], COLUMN(AA$1)-COLUMN($A$1), FALSE), VLOOKUP($A314,raw_ub[],COLUMN(AA$1)-COLUMN($A$1),FALSE))</f>
        <v>5.7761925691941567</v>
      </c>
      <c r="AA314" s="70">
        <f>IF(VLOOKUP($A314,raw_ub[],COLUMN(AB$1)-COLUMN($A$1),FALSE)=0, VLOOKUP($D314, regions_ub[], COLUMN(AB$1)-COLUMN($A$1), FALSE), VLOOKUP($A314,raw_ub[],COLUMN(AB$1)-COLUMN($A$1),FALSE))</f>
        <v>5.3420579892177376</v>
      </c>
      <c r="AB314" s="70">
        <f>IF(VLOOKUP($A314,raw_ub[],COLUMN(AC$1)-COLUMN($A$1),FALSE)=0, VLOOKUP($D314, regions_ub[], COLUMN(AC$1)-COLUMN($A$1), FALSE), VLOOKUP($A314,raw_ub[],COLUMN(AC$1)-COLUMN($A$1),FALSE))</f>
        <v>5.8460579892177371</v>
      </c>
      <c r="AC314" s="72">
        <f>IF(VLOOKUP($A314,raw_ub[],COLUMN(AD$1)-COLUMN($A$1),FALSE)=0, VLOOKUP($D314, regions_ub[], COLUMN(AD$1)-COLUMN($A$1), FALSE), VLOOKUP($A314,raw_ub[],COLUMN(AD$1)-COLUMN($A$1),FALSE))</f>
        <v>1.638315000000003E-2</v>
      </c>
      <c r="AD314" s="72">
        <f>IF(VLOOKUP($A314,raw_ub[],COLUMN(AE$1)-COLUMN($A$1),FALSE)=0, VLOOKUP($D314, regions_ub[], COLUMN(AE$1)-COLUMN($A$1), FALSE), VLOOKUP($A314,raw_ub[],COLUMN(AE$1)-COLUMN($A$1),FALSE))</f>
        <v>1.1528382349803813E-3</v>
      </c>
      <c r="AE314" s="72">
        <f>IF(VLOOKUP($A314,raw_ub[],COLUMN(AF$1)-COLUMN($A$1),FALSE)=0, VLOOKUP($D314, regions_ub[], COLUMN(AF$1)-COLUMN($A$1), FALSE), VLOOKUP($A314,raw_ub[],COLUMN(AF$1)-COLUMN($A$1),FALSE))</f>
        <v>4.2213251378143171E-4</v>
      </c>
      <c r="AF314" s="72">
        <f>IF(VLOOKUP($A314,raw_ub[],COLUMN(AG$1)-COLUMN($A$1),FALSE)=0, VLOOKUP($D314, regions_ub[], COLUMN(AG$1)-COLUMN($A$1), FALSE), VLOOKUP($A314,raw_ub[],COLUMN(AG$1)-COLUMN($A$1),FALSE))</f>
        <v>3.5409375730175482E-4</v>
      </c>
      <c r="AG314" s="72">
        <f>IF(VLOOKUP($A314,raw_ub[],COLUMN(AH$1)-COLUMN($A$1),FALSE)=0, VLOOKUP($D314, regions_ub[], COLUMN(AH$1)-COLUMN($A$1), FALSE), VLOOKUP($A314,raw_ub[],COLUMN(AH$1)-COLUMN($A$1),FALSE))</f>
        <v>5.1395302199563789E-4</v>
      </c>
      <c r="AH314" s="72">
        <f>IF(VLOOKUP($A314,raw_ub[],COLUMN(AI$1)-COLUMN($A$1),FALSE)=0, VLOOKUP($D314, regions_ub[], COLUMN(AI$1)-COLUMN($A$1), FALSE), VLOOKUP($A314,raw_ub[],COLUMN(AI$1)-COLUMN($A$1),FALSE))</f>
        <v>7.7133442836673719E-4</v>
      </c>
      <c r="AI314" s="72">
        <f>IF(VLOOKUP($A314,raw_ub[],COLUMN(AJ$1)-COLUMN($A$1),FALSE)=0, VLOOKUP($D314, regions_ub[], COLUMN(AJ$1)-COLUMN($A$1), FALSE), VLOOKUP($A314,raw_ub[],COLUMN(AJ$1)-COLUMN($A$1),FALSE))</f>
        <v>9.52025843440297E-4</v>
      </c>
      <c r="AJ314" s="72">
        <f>IF(VLOOKUP($A314,raw_ub[],COLUMN(AK$1)-COLUMN($A$1),FALSE)=0, VLOOKUP($D314, regions_ub[], COLUMN(AK$1)-COLUMN($A$1), FALSE), VLOOKUP($A314,raw_ub[],COLUMN(AK$1)-COLUMN($A$1),FALSE))</f>
        <v>1.2549258103742853E-3</v>
      </c>
      <c r="AK314" s="72">
        <f>IF(VLOOKUP($A314,raw_ub[],COLUMN(AL$1)-COLUMN($A$1),FALSE)=0, VLOOKUP($D314, regions_ub[], COLUMN(AL$1)-COLUMN($A$1), FALSE), VLOOKUP($A314,raw_ub[],COLUMN(AL$1)-COLUMN($A$1),FALSE))</f>
        <v>1.5123277640267806E-3</v>
      </c>
      <c r="AL314" s="72">
        <f>IF(VLOOKUP($A314,raw_ub[],COLUMN(AM$1)-COLUMN($A$1),FALSE)=0, VLOOKUP($D314, regions_ub[], COLUMN(AM$1)-COLUMN($A$1), FALSE), VLOOKUP($A314,raw_ub[],COLUMN(AM$1)-COLUMN($A$1),FALSE))</f>
        <v>2.2650481154104056E-3</v>
      </c>
      <c r="AM314" s="72">
        <f>IF(VLOOKUP($A314,raw_ub[],COLUMN(AN$1)-COLUMN($A$1),FALSE)=0, VLOOKUP($D314, regions_ub[], COLUMN(AN$1)-COLUMN($A$1), FALSE), VLOOKUP($A314,raw_ub[],COLUMN(AN$1)-COLUMN($A$1),FALSE))</f>
        <v>4.7218431975087159E-3</v>
      </c>
      <c r="AN314" s="72">
        <f>IF(VLOOKUP($A314,raw_ub[],COLUMN(AO$1)-COLUMN($A$1),FALSE)=0, VLOOKUP($D314, regions_ub[], COLUMN(AO$1)-COLUMN($A$1), FALSE), VLOOKUP($A314,raw_ub[],COLUMN(AO$1)-COLUMN($A$1),FALSE))</f>
        <v>8.6722904388792776E-3</v>
      </c>
      <c r="AO314" s="72">
        <f>IF(VLOOKUP($A314,raw_ub[],COLUMN(AP$1)-COLUMN($A$1),FALSE)=0, VLOOKUP($D314, regions_ub[], COLUMN(AP$1)-COLUMN($A$1), FALSE), VLOOKUP($A314,raw_ub[],COLUMN(AP$1)-COLUMN($A$1),FALSE))</f>
        <v>1.1967305862328633E-2</v>
      </c>
      <c r="AP314" s="72">
        <f>IF(VLOOKUP($A314,raw_ub[],COLUMN(AQ$1)-COLUMN($A$1),FALSE)=0, VLOOKUP($D314, regions_ub[], COLUMN(AQ$1)-COLUMN($A$1), FALSE), VLOOKUP($A314,raw_ub[],COLUMN(AQ$1)-COLUMN($A$1),FALSE))</f>
        <v>1.9247043768680021E-2</v>
      </c>
      <c r="AQ314" s="72">
        <f>IF(VLOOKUP($A314,raw_ub[],COLUMN(AR$1)-COLUMN($A$1),FALSE)=0, VLOOKUP($D314, regions_ub[], COLUMN(AR$1)-COLUMN($A$1), FALSE), VLOOKUP($A314,raw_ub[],COLUMN(AR$1)-COLUMN($A$1),FALSE))</f>
        <v>2.9512164945043898E-2</v>
      </c>
      <c r="AR314" s="72">
        <f>IF(VLOOKUP($A314,raw_ub[],COLUMN(AS$1)-COLUMN($A$1),FALSE)=0, VLOOKUP($D314, regions_ub[], COLUMN(AS$1)-COLUMN($A$1), FALSE), VLOOKUP($A314,raw_ub[],COLUMN(AS$1)-COLUMN($A$1),FALSE))</f>
        <v>4.6176992920395669E-2</v>
      </c>
      <c r="AS314" s="72">
        <f>IF(VLOOKUP($A314,raw_ub[],COLUMN(AT$1)-COLUMN($A$1),FALSE)=0, VLOOKUP($D314, regions_ub[], COLUMN(AT$1)-COLUMN($A$1), FALSE), VLOOKUP($A314,raw_ub[],COLUMN(AT$1)-COLUMN($A$1),FALSE))</f>
        <v>7.0742415569198233E-2</v>
      </c>
      <c r="AT314" s="82">
        <f>IF(VLOOKUP($A314,raw_ub[],COLUMN(AT$1),FALSE)=0, VLOOKUP($D314, regions_ub[], COLUMN(AT$1), FALSE), VLOOKUP($A314,raw_ub[],COLUMN(AT$1),FALSE))</f>
        <v>9.9560630893391691E-2</v>
      </c>
      <c r="AU314" s="82">
        <f>IF(VLOOKUP($A314,raw_ub[],COLUMN(AU$1),FALSE)=0, VLOOKUP($D314, regions_ub[], COLUMN(AU$1), FALSE), VLOOKUP($A314,raw_ub[],COLUMN(AU$1),FALSE))</f>
        <v>0.13085176926174732</v>
      </c>
      <c r="AV314" s="82">
        <f>IF(VLOOKUP($A314,raw_ub[],COLUMN(AV$1),FALSE)=0, VLOOKUP($D314, regions_ub[], COLUMN(AV$1), FALSE), VLOOKUP($A314,raw_ub[],COLUMN(AV$1),FALSE))</f>
        <v>0.15714082040458924</v>
      </c>
      <c r="AW314" s="82">
        <f>IF(VLOOKUP($A314,raw_ub[],COLUMN(AW$1),FALSE)=0, VLOOKUP($D314, regions_ub[], COLUMN(AW$1), FALSE), VLOOKUP($A314,raw_ub[],COLUMN(AW$1),FALSE))</f>
        <v>0.18023538214993942</v>
      </c>
      <c r="AX314" s="82">
        <f>IF(VLOOKUP($A314,raw_ub[],COLUMN(AX$1),FALSE)=0, VLOOKUP($D314, regions_ub[], COLUMN(AX$1), FALSE), VLOOKUP($A314,raw_ub[],COLUMN(AX$1),FALSE))</f>
        <v>75.33120000000001</v>
      </c>
      <c r="AY314" t="str">
        <f t="shared" si="11"/>
        <v>No</v>
      </c>
    </row>
    <row r="315" spans="1:51" x14ac:dyDescent="0.25">
      <c r="A315" s="55" t="s">
        <v>297</v>
      </c>
      <c r="B315" s="56" t="s">
        <v>298</v>
      </c>
      <c r="C315" s="56">
        <v>222</v>
      </c>
      <c r="D315" s="56" t="s">
        <v>215</v>
      </c>
      <c r="E315" s="56" t="s">
        <v>274</v>
      </c>
      <c r="F315" s="56" t="s">
        <v>217</v>
      </c>
      <c r="G315" s="56" t="s">
        <v>212</v>
      </c>
      <c r="H315" s="74"/>
      <c r="I315" s="74"/>
      <c r="J315" s="67">
        <f>IF(VLOOKUP($A315,raw_ub[],COLUMN(J$1),FALSE)=0, VLOOKUP($D315, regions_ub[], COLUMN(J$1), FALSE), VLOOKUP($A315,raw_ub[],COLUMN(J$1),FALSE))</f>
        <v>0.999</v>
      </c>
      <c r="K315" s="77">
        <f>VLOOKUP($A315, raw_ub[], 11, FALSE)</f>
        <v>0.78750000000000009</v>
      </c>
      <c r="L315" s="77">
        <f>VLOOKUP($A315, raw_ub[], 12, FALSE)</f>
        <v>0.75600000000000001</v>
      </c>
      <c r="M315" s="77">
        <f>IF(VLOOKUP($A315,raw_ub[],COLUMN(M$1),FALSE)=0, VLOOKUP($D315, regions_ub[], COLUMN(M$1), FALSE), VLOOKUP($A315,raw_ub[],COLUMN(M$1),FALSE))</f>
        <v>0.01</v>
      </c>
      <c r="N315" s="68">
        <f>IF(VLOOKUP($A315,raw_ub[],COLUMN(N$1),FALSE)=0, VLOOKUP($D315, regions_ub[], COLUMN(N$1), FALSE), VLOOKUP($A315,raw_ub[],COLUMN(N$1),FALSE))</f>
        <v>0.42950000000000005</v>
      </c>
      <c r="O315" s="67">
        <f>IF(VLOOKUP($A315,raw_ub[],COLUMN(O$1),FALSE)=0, VLOOKUP($D315, regions_ub[], COLUMN(O$1), FALSE), VLOOKUP($A315,raw_ub[],COLUMN(O$1),FALSE))</f>
        <v>0.9</v>
      </c>
      <c r="P315" s="68">
        <f>IF(VLOOKUP($A315,raw_ub[],COLUMN(P$1),FALSE)=0, VLOOKUP($D315, regions_ub[], COLUMN(P$1), FALSE), VLOOKUP($A315,raw_ub[],COLUMN(P$1),FALSE))</f>
        <v>0.3</v>
      </c>
      <c r="Q315" s="70">
        <f>IF(VLOOKUP($A315,raw_ub[],COLUMN(Q$1),FALSE)=0, VLOOKUP($D315, regions_ub[], COLUMN(Q$1), FALSE), VLOOKUP($A315,raw_ub[],COLUMN(Q$1),FALSE))</f>
        <v>28.383547465435452</v>
      </c>
      <c r="R315" s="70">
        <f>IF(VLOOKUP($A315,raw_ub[],COLUMN(R$1),FALSE)=0, VLOOKUP($D315, regions_ub[], COLUMN(R$1), FALSE), VLOOKUP($A315,raw_ub[],COLUMN(R$1),FALSE))</f>
        <v>137.36934746543545</v>
      </c>
      <c r="S315" s="70">
        <f>IF(VLOOKUP($A315,raw_ub[],COLUMN(S$1),FALSE)=0, VLOOKUP($D315, regions_ub[], COLUMN(S$1), FALSE), VLOOKUP($A315,raw_ub[],COLUMN(S$1),FALSE))</f>
        <v>226.03829669347306</v>
      </c>
      <c r="T315" s="70">
        <f>IF(VLOOKUP($A315,raw_ub[],COLUMN(U$1)-COLUMN($A$1),FALSE)=0, VLOOKUP($D315, regions_ub[], COLUMN(U$1)-COLUMN($A$1), FALSE), VLOOKUP($A315,raw_ub[],COLUMN(U$1)-COLUMN($A$1),FALSE))</f>
        <v>256.97939695767519</v>
      </c>
      <c r="U315" s="70">
        <f>IF(VLOOKUP($A315,raw_ub[],COLUMN(V$1)-COLUMN($A$1),FALSE)=0, VLOOKUP($D315, regions_ub[], COLUMN(V$1)-COLUMN($A$1), FALSE), VLOOKUP($A315,raw_ub[],COLUMN(V$1)-COLUMN($A$1),FALSE))</f>
        <v>242.77189772789524</v>
      </c>
      <c r="V315" s="70">
        <f>IF(VLOOKUP($A315,raw_ub[],COLUMN(W$1)-COLUMN($A$1),FALSE)=0, VLOOKUP($D315, regions_ub[], COLUMN(W$1)-COLUMN($A$1), FALSE), VLOOKUP($A315,raw_ub[],COLUMN(W$1)-COLUMN($A$1),FALSE))</f>
        <v>6.662981158670588</v>
      </c>
      <c r="W315" s="70">
        <f>IF(VLOOKUP($A315,raw_ub[],COLUMN(X$1)-COLUMN($A$1),FALSE)=0, VLOOKUP($D315, regions_ub[], COLUMN(X$1)-COLUMN($A$1), FALSE), VLOOKUP($A315,raw_ub[],COLUMN(X$1)-COLUMN($A$1),FALSE))</f>
        <v>6.683981158670588</v>
      </c>
      <c r="X315" s="70">
        <f>IF(VLOOKUP($A315,raw_ub[],COLUMN(Y$1)-COLUMN($A$1),FALSE)=0, VLOOKUP($D315, regions_ub[], COLUMN(Y$1)-COLUMN($A$1), FALSE), VLOOKUP($A315,raw_ub[],COLUMN(Y$1)-COLUMN($A$1),FALSE))</f>
        <v>6.6190236047837727</v>
      </c>
      <c r="Y315" s="70">
        <f>IF(VLOOKUP($A315,raw_ub[],COLUMN(Z$1)-COLUMN($A$1),FALSE)=0, VLOOKUP($D315, regions_ub[], COLUMN(Z$1)-COLUMN($A$1), FALSE), VLOOKUP($A315,raw_ub[],COLUMN(Z$1)-COLUMN($A$1),FALSE))</f>
        <v>6.6400236047837726</v>
      </c>
      <c r="Z315" s="70">
        <f>IF(VLOOKUP($A315,raw_ub[],COLUMN(AA$1)-COLUMN($A$1),FALSE)=0, VLOOKUP($D315, regions_ub[], COLUMN(AA$1)-COLUMN($A$1), FALSE), VLOOKUP($A315,raw_ub[],COLUMN(AA$1)-COLUMN($A$1),FALSE))</f>
        <v>6.6140600483023944</v>
      </c>
      <c r="AA315" s="70">
        <f>IF(VLOOKUP($A315,raw_ub[],COLUMN(AB$1)-COLUMN($A$1),FALSE)=0, VLOOKUP($D315, regions_ub[], COLUMN(AB$1)-COLUMN($A$1), FALSE), VLOOKUP($A315,raw_ub[],COLUMN(AB$1)-COLUMN($A$1),FALSE))</f>
        <v>6.6731252095675453</v>
      </c>
      <c r="AB315" s="70">
        <f>IF(VLOOKUP($A315,raw_ub[],COLUMN(AC$1)-COLUMN($A$1),FALSE)=0, VLOOKUP($D315, regions_ub[], COLUMN(AC$1)-COLUMN($A$1), FALSE), VLOOKUP($A315,raw_ub[],COLUMN(AC$1)-COLUMN($A$1),FALSE))</f>
        <v>6.6941252095675452</v>
      </c>
      <c r="AC315" s="72">
        <f>IF(VLOOKUP($A315,raw_ub[],COLUMN(AD$1)-COLUMN($A$1),FALSE)=0, VLOOKUP($D315, regions_ub[], COLUMN(AD$1)-COLUMN($A$1), FALSE), VLOOKUP($A315,raw_ub[],COLUMN(AD$1)-COLUMN($A$1),FALSE))</f>
        <v>1.5302805000000037E-2</v>
      </c>
      <c r="AD315" s="72">
        <f>IF(VLOOKUP($A315,raw_ub[],COLUMN(AE$1)-COLUMN($A$1),FALSE)=0, VLOOKUP($D315, regions_ub[], COLUMN(AE$1)-COLUMN($A$1), FALSE), VLOOKUP($A315,raw_ub[],COLUMN(AE$1)-COLUMN($A$1),FALSE))</f>
        <v>6.1726635153387492E-4</v>
      </c>
      <c r="AE315" s="72">
        <f>IF(VLOOKUP($A315,raw_ub[],COLUMN(AF$1)-COLUMN($A$1),FALSE)=0, VLOOKUP($D315, regions_ub[], COLUMN(AF$1)-COLUMN($A$1), FALSE), VLOOKUP($A315,raw_ub[],COLUMN(AF$1)-COLUMN($A$1),FALSE))</f>
        <v>2.8727302051692729E-4</v>
      </c>
      <c r="AF315" s="72">
        <f>IF(VLOOKUP($A315,raw_ub[],COLUMN(AG$1)-COLUMN($A$1),FALSE)=0, VLOOKUP($D315, regions_ub[], COLUMN(AG$1)-COLUMN($A$1), FALSE), VLOOKUP($A315,raw_ub[],COLUMN(AG$1)-COLUMN($A$1),FALSE))</f>
        <v>5.9446435905531202E-4</v>
      </c>
      <c r="AG315" s="72">
        <f>IF(VLOOKUP($A315,raw_ub[],COLUMN(AH$1)-COLUMN($A$1),FALSE)=0, VLOOKUP($D315, regions_ub[], COLUMN(AH$1)-COLUMN($A$1), FALSE), VLOOKUP($A315,raw_ub[],COLUMN(AH$1)-COLUMN($A$1),FALSE))</f>
        <v>1.6240397474665356E-3</v>
      </c>
      <c r="AH315" s="72">
        <f>IF(VLOOKUP($A315,raw_ub[],COLUMN(AI$1)-COLUMN($A$1),FALSE)=0, VLOOKUP($D315, regions_ub[], COLUMN(AI$1)-COLUMN($A$1), FALSE), VLOOKUP($A315,raw_ub[],COLUMN(AI$1)-COLUMN($A$1),FALSE))</f>
        <v>2.6962743142812996E-3</v>
      </c>
      <c r="AI315" s="72">
        <f>IF(VLOOKUP($A315,raw_ub[],COLUMN(AJ$1)-COLUMN($A$1),FALSE)=0, VLOOKUP($D315, regions_ub[], COLUMN(AJ$1)-COLUMN($A$1), FALSE), VLOOKUP($A315,raw_ub[],COLUMN(AJ$1)-COLUMN($A$1),FALSE))</f>
        <v>3.3524862611766359E-3</v>
      </c>
      <c r="AJ315" s="72">
        <f>IF(VLOOKUP($A315,raw_ub[],COLUMN(AK$1)-COLUMN($A$1),FALSE)=0, VLOOKUP($D315, regions_ub[], COLUMN(AK$1)-COLUMN($A$1), FALSE), VLOOKUP($A315,raw_ub[],COLUMN(AK$1)-COLUMN($A$1),FALSE))</f>
        <v>3.5114590262010151E-3</v>
      </c>
      <c r="AK315" s="72">
        <f>IF(VLOOKUP($A315,raw_ub[],COLUMN(AL$1)-COLUMN($A$1),FALSE)=0, VLOOKUP($D315, regions_ub[], COLUMN(AL$1)-COLUMN($A$1), FALSE), VLOOKUP($A315,raw_ub[],COLUMN(AL$1)-COLUMN($A$1),FALSE))</f>
        <v>3.6787158201554643E-3</v>
      </c>
      <c r="AL315" s="72">
        <f>IF(VLOOKUP($A315,raw_ub[],COLUMN(AM$1)-COLUMN($A$1),FALSE)=0, VLOOKUP($D315, regions_ub[], COLUMN(AM$1)-COLUMN($A$1), FALSE), VLOOKUP($A315,raw_ub[],COLUMN(AM$1)-COLUMN($A$1),FALSE))</f>
        <v>4.3855814915660912E-3</v>
      </c>
      <c r="AM315" s="72">
        <f>IF(VLOOKUP($A315,raw_ub[],COLUMN(AN$1)-COLUMN($A$1),FALSE)=0, VLOOKUP($D315, regions_ub[], COLUMN(AN$1)-COLUMN($A$1), FALSE), VLOOKUP($A315,raw_ub[],COLUMN(AN$1)-COLUMN($A$1),FALSE))</f>
        <v>5.5951148198739821E-3</v>
      </c>
      <c r="AN315" s="72">
        <f>IF(VLOOKUP($A315,raw_ub[],COLUMN(AO$1)-COLUMN($A$1),FALSE)=0, VLOOKUP($D315, regions_ub[], COLUMN(AO$1)-COLUMN($A$1), FALSE), VLOOKUP($A315,raw_ub[],COLUMN(AO$1)-COLUMN($A$1),FALSE))</f>
        <v>7.352392571720121E-3</v>
      </c>
      <c r="AO315" s="72">
        <f>IF(VLOOKUP($A315,raw_ub[],COLUMN(AP$1)-COLUMN($A$1),FALSE)=0, VLOOKUP($D315, regions_ub[], COLUMN(AP$1)-COLUMN($A$1), FALSE), VLOOKUP($A315,raw_ub[],COLUMN(AP$1)-COLUMN($A$1),FALSE))</f>
        <v>9.6971712402376762E-3</v>
      </c>
      <c r="AP315" s="72">
        <f>IF(VLOOKUP($A315,raw_ub[],COLUMN(AQ$1)-COLUMN($A$1),FALSE)=0, VLOOKUP($D315, regions_ub[], COLUMN(AQ$1)-COLUMN($A$1), FALSE), VLOOKUP($A315,raw_ub[],COLUMN(AQ$1)-COLUMN($A$1),FALSE))</f>
        <v>1.322639481709945E-2</v>
      </c>
      <c r="AQ315" s="72">
        <f>IF(VLOOKUP($A315,raw_ub[],COLUMN(AR$1)-COLUMN($A$1),FALSE)=0, VLOOKUP($D315, regions_ub[], COLUMN(AR$1)-COLUMN($A$1), FALSE), VLOOKUP($A315,raw_ub[],COLUMN(AR$1)-COLUMN($A$1),FALSE))</f>
        <v>1.8819588424880677E-2</v>
      </c>
      <c r="AR315" s="72">
        <f>IF(VLOOKUP($A315,raw_ub[],COLUMN(AS$1)-COLUMN($A$1),FALSE)=0, VLOOKUP($D315, regions_ub[], COLUMN(AS$1)-COLUMN($A$1), FALSE), VLOOKUP($A315,raw_ub[],COLUMN(AS$1)-COLUMN($A$1),FALSE))</f>
        <v>2.7280637203718459E-2</v>
      </c>
      <c r="AS315" s="72">
        <f>IF(VLOOKUP($A315,raw_ub[],COLUMN(AT$1)-COLUMN($A$1),FALSE)=0, VLOOKUP($D315, regions_ub[], COLUMN(AT$1)-COLUMN($A$1), FALSE), VLOOKUP($A315,raw_ub[],COLUMN(AT$1)-COLUMN($A$1),FALSE))</f>
        <v>4.2064076015538826E-2</v>
      </c>
      <c r="AT315" s="82">
        <f>IF(VLOOKUP($A315,raw_ub[],COLUMN(AT$1),FALSE)=0, VLOOKUP($D315, regions_ub[], COLUMN(AT$1), FALSE), VLOOKUP($A315,raw_ub[],COLUMN(AT$1),FALSE))</f>
        <v>6.8114848311823184E-2</v>
      </c>
      <c r="AU315" s="82">
        <f>IF(VLOOKUP($A315,raw_ub[],COLUMN(AU$1),FALSE)=0, VLOOKUP($D315, regions_ub[], COLUMN(AU$1), FALSE), VLOOKUP($A315,raw_ub[],COLUMN(AU$1),FALSE))</f>
        <v>0.10264041908714509</v>
      </c>
      <c r="AV315" s="82">
        <f>IF(VLOOKUP($A315,raw_ub[],COLUMN(AV$1),FALSE)=0, VLOOKUP($D315, regions_ub[], COLUMN(AV$1), FALSE), VLOOKUP($A315,raw_ub[],COLUMN(AV$1),FALSE))</f>
        <v>0.13998121802759006</v>
      </c>
      <c r="AW315" s="82">
        <f>IF(VLOOKUP($A315,raw_ub[],COLUMN(AW$1),FALSE)=0, VLOOKUP($D315, regions_ub[], COLUMN(AW$1), FALSE), VLOOKUP($A315,raw_ub[],COLUMN(AW$1),FALSE))</f>
        <v>0.17267349238044222</v>
      </c>
      <c r="AX315" s="82">
        <f>IF(VLOOKUP($A315,raw_ub[],COLUMN(AX$1),FALSE)=0, VLOOKUP($D315, regions_ub[], COLUMN(AX$1), FALSE), VLOOKUP($A315,raw_ub[],COLUMN(AX$1),FALSE))</f>
        <v>76.635300000000001</v>
      </c>
      <c r="AY315" t="str">
        <f t="shared" si="11"/>
        <v>No</v>
      </c>
    </row>
    <row r="316" spans="1:51" x14ac:dyDescent="0.25">
      <c r="A316" s="53" t="s">
        <v>299</v>
      </c>
      <c r="B316" s="54" t="s">
        <v>300</v>
      </c>
      <c r="C316" s="54">
        <v>226</v>
      </c>
      <c r="D316" s="54" t="s">
        <v>207</v>
      </c>
      <c r="E316" s="54" t="s">
        <v>210</v>
      </c>
      <c r="F316" s="54" t="s">
        <v>211</v>
      </c>
      <c r="G316" s="54" t="s">
        <v>204</v>
      </c>
      <c r="H316" s="73"/>
      <c r="I316" s="73"/>
      <c r="J316" s="67">
        <f>IF(VLOOKUP($A316,raw_ub[],COLUMN(J$1),FALSE)=0, VLOOKUP($D316, regions_ub[], COLUMN(J$1), FALSE), VLOOKUP($A316,raw_ub[],COLUMN(J$1),FALSE))</f>
        <v>0.70665</v>
      </c>
      <c r="K316" s="77">
        <f>VLOOKUP($A316, raw_ub[], 11, FALSE)</f>
        <v>0</v>
      </c>
      <c r="L316" s="77">
        <f>VLOOKUP($A316, raw_ub[], 12, FALSE)</f>
        <v>0.55650000000000011</v>
      </c>
      <c r="M316" s="77">
        <f>IF(VLOOKUP($A316,raw_ub[],COLUMN(M$1),FALSE)=0, VLOOKUP($D316, regions_ub[], COLUMN(M$1), FALSE), VLOOKUP($A316,raw_ub[],COLUMN(M$1),FALSE))</f>
        <v>0.10189999999999999</v>
      </c>
      <c r="N316" s="68">
        <f>IF(VLOOKUP($A316,raw_ub[],COLUMN(N$1),FALSE)=0, VLOOKUP($D316, regions_ub[], COLUMN(N$1), FALSE), VLOOKUP($A316,raw_ub[],COLUMN(N$1),FALSE))</f>
        <v>0.40200000000000002</v>
      </c>
      <c r="O316" s="67">
        <f>IF(VLOOKUP($A316,raw_ub[],COLUMN(O$1),FALSE)=0, VLOOKUP($D316, regions_ub[], COLUMN(O$1), FALSE), VLOOKUP($A316,raw_ub[],COLUMN(O$1),FALSE))</f>
        <v>0.74399999999999999</v>
      </c>
      <c r="P316" s="68">
        <f>IF(VLOOKUP($A316,raw_ub[],COLUMN(P$1),FALSE)=0, VLOOKUP($D316, regions_ub[], COLUMN(P$1), FALSE), VLOOKUP($A316,raw_ub[],COLUMN(P$1),FALSE))</f>
        <v>0.13300000000000001</v>
      </c>
      <c r="Q316" s="70">
        <f>IF(VLOOKUP($A316,raw_ub[],COLUMN(Q$1),FALSE)=0, VLOOKUP($D316, regions_ub[], COLUMN(Q$1), FALSE), VLOOKUP($A316,raw_ub[],COLUMN(Q$1),FALSE))</f>
        <v>10.848787539350035</v>
      </c>
      <c r="R316" s="70">
        <f>IF(VLOOKUP($A316,raw_ub[],COLUMN(R$1),FALSE)=0, VLOOKUP($D316, regions_ub[], COLUMN(R$1), FALSE), VLOOKUP($A316,raw_ub[],COLUMN(R$1),FALSE))</f>
        <v>119.83458753935003</v>
      </c>
      <c r="S316" s="70">
        <f>IF(VLOOKUP($A316,raw_ub[],COLUMN(S$1),FALSE)=0, VLOOKUP($D316, regions_ub[], COLUMN(S$1), FALSE), VLOOKUP($A316,raw_ub[],COLUMN(S$1),FALSE))</f>
        <v>161.42169624364792</v>
      </c>
      <c r="T316" s="70">
        <f>IF(VLOOKUP($A316,raw_ub[],COLUMN(U$1)-COLUMN($A$1),FALSE)=0, VLOOKUP($D316, regions_ub[], COLUMN(U$1)-COLUMN($A$1), FALSE), VLOOKUP($A316,raw_ub[],COLUMN(U$1)-COLUMN($A$1),FALSE))</f>
        <v>167.85834407959484</v>
      </c>
      <c r="U316" s="70">
        <f>IF(VLOOKUP($A316,raw_ub[],COLUMN(V$1)-COLUMN($A$1),FALSE)=0, VLOOKUP($D316, regions_ub[], COLUMN(V$1)-COLUMN($A$1), FALSE), VLOOKUP($A316,raw_ub[],COLUMN(V$1)-COLUMN($A$1),FALSE))</f>
        <v>164.90277144673067</v>
      </c>
      <c r="V316" s="70">
        <f>IF(VLOOKUP($A316,raw_ub[],COLUMN(W$1)-COLUMN($A$1),FALSE)=0, VLOOKUP($D316, regions_ub[], COLUMN(W$1)-COLUMN($A$1), FALSE), VLOOKUP($A316,raw_ub[],COLUMN(W$1)-COLUMN($A$1),FALSE))</f>
        <v>7.0636535107564304</v>
      </c>
      <c r="W316" s="70">
        <f>IF(VLOOKUP($A316,raw_ub[],COLUMN(X$1)-COLUMN($A$1),FALSE)=0, VLOOKUP($D316, regions_ub[], COLUMN(X$1)-COLUMN($A$1), FALSE), VLOOKUP($A316,raw_ub[],COLUMN(X$1)-COLUMN($A$1),FALSE))</f>
        <v>12.135153510756432</v>
      </c>
      <c r="X316" s="70">
        <f>IF(VLOOKUP($A316,raw_ub[],COLUMN(Y$1)-COLUMN($A$1),FALSE)=0, VLOOKUP($D316, regions_ub[], COLUMN(Y$1)-COLUMN($A$1), FALSE), VLOOKUP($A316,raw_ub[],COLUMN(Y$1)-COLUMN($A$1),FALSE))</f>
        <v>7.0202615231759617</v>
      </c>
      <c r="Y316" s="70">
        <f>IF(VLOOKUP($A316,raw_ub[],COLUMN(Z$1)-COLUMN($A$1),FALSE)=0, VLOOKUP($D316, regions_ub[], COLUMN(Z$1)-COLUMN($A$1), FALSE), VLOOKUP($A316,raw_ub[],COLUMN(Z$1)-COLUMN($A$1),FALSE))</f>
        <v>12.091761523175961</v>
      </c>
      <c r="Z316" s="70">
        <f>IF(VLOOKUP($A316,raw_ub[],COLUMN(AA$1)-COLUMN($A$1),FALSE)=0, VLOOKUP($D316, regions_ub[], COLUMN(AA$1)-COLUMN($A$1), FALSE), VLOOKUP($A316,raw_ub[],COLUMN(AA$1)-COLUMN($A$1),FALSE))</f>
        <v>12.067017142952047</v>
      </c>
      <c r="AA316" s="70">
        <f>IF(VLOOKUP($A316,raw_ub[],COLUMN(AB$1)-COLUMN($A$1),FALSE)=0, VLOOKUP($D316, regions_ub[], COLUMN(AB$1)-COLUMN($A$1), FALSE), VLOOKUP($A316,raw_ub[],COLUMN(AB$1)-COLUMN($A$1),FALSE))</f>
        <v>7.0736670463519236</v>
      </c>
      <c r="AB316" s="70">
        <f>IF(VLOOKUP($A316,raw_ub[],COLUMN(AC$1)-COLUMN($A$1),FALSE)=0, VLOOKUP($D316, regions_ub[], COLUMN(AC$1)-COLUMN($A$1), FALSE), VLOOKUP($A316,raw_ub[],COLUMN(AC$1)-COLUMN($A$1),FALSE))</f>
        <v>12.145167046351924</v>
      </c>
      <c r="AC316" s="72">
        <f>IF(VLOOKUP($A316,raw_ub[],COLUMN(AD$1)-COLUMN($A$1),FALSE)=0, VLOOKUP($D316, regions_ub[], COLUMN(AD$1)-COLUMN($A$1), FALSE), VLOOKUP($A316,raw_ub[],COLUMN(AD$1)-COLUMN($A$1),FALSE))</f>
        <v>6.9459127499999995E-2</v>
      </c>
      <c r="AD316" s="72">
        <f>IF(VLOOKUP($A316,raw_ub[],COLUMN(AE$1)-COLUMN($A$1),FALSE)=0, VLOOKUP($D316, regions_ub[], COLUMN(AE$1)-COLUMN($A$1), FALSE), VLOOKUP($A316,raw_ub[],COLUMN(AE$1)-COLUMN($A$1),FALSE))</f>
        <v>7.7727648153188104E-3</v>
      </c>
      <c r="AE316" s="72">
        <f>IF(VLOOKUP($A316,raw_ub[],COLUMN(AF$1)-COLUMN($A$1),FALSE)=0, VLOOKUP($D316, regions_ub[], COLUMN(AF$1)-COLUMN($A$1), FALSE), VLOOKUP($A316,raw_ub[],COLUMN(AF$1)-COLUMN($A$1),FALSE))</f>
        <v>2.2901229942682453E-3</v>
      </c>
      <c r="AF316" s="72">
        <f>IF(VLOOKUP($A316,raw_ub[],COLUMN(AG$1)-COLUMN($A$1),FALSE)=0, VLOOKUP($D316, regions_ub[], COLUMN(AG$1)-COLUMN($A$1), FALSE), VLOOKUP($A316,raw_ub[],COLUMN(AG$1)-COLUMN($A$1),FALSE))</f>
        <v>1.6340611587468763E-3</v>
      </c>
      <c r="AG316" s="72">
        <f>IF(VLOOKUP($A316,raw_ub[],COLUMN(AH$1)-COLUMN($A$1),FALSE)=0, VLOOKUP($D316, regions_ub[], COLUMN(AH$1)-COLUMN($A$1), FALSE), VLOOKUP($A316,raw_ub[],COLUMN(AH$1)-COLUMN($A$1),FALSE))</f>
        <v>2.4289178669117686E-3</v>
      </c>
      <c r="AH316" s="72">
        <f>IF(VLOOKUP($A316,raw_ub[],COLUMN(AI$1)-COLUMN($A$1),FALSE)=0, VLOOKUP($D316, regions_ub[], COLUMN(AI$1)-COLUMN($A$1), FALSE), VLOOKUP($A316,raw_ub[],COLUMN(AI$1)-COLUMN($A$1),FALSE))</f>
        <v>3.654245761964534E-3</v>
      </c>
      <c r="AI316" s="72">
        <f>IF(VLOOKUP($A316,raw_ub[],COLUMN(AJ$1)-COLUMN($A$1),FALSE)=0, VLOOKUP($D316, regions_ub[], COLUMN(AJ$1)-COLUMN($A$1), FALSE), VLOOKUP($A316,raw_ub[],COLUMN(AJ$1)-COLUMN($A$1),FALSE))</f>
        <v>4.7797341048343052E-3</v>
      </c>
      <c r="AJ316" s="72">
        <f>IF(VLOOKUP($A316,raw_ub[],COLUMN(AK$1)-COLUMN($A$1),FALSE)=0, VLOOKUP($D316, regions_ub[], COLUMN(AK$1)-COLUMN($A$1), FALSE), VLOOKUP($A316,raw_ub[],COLUMN(AK$1)-COLUMN($A$1),FALSE))</f>
        <v>6.0354805068088564E-3</v>
      </c>
      <c r="AK316" s="72">
        <f>IF(VLOOKUP($A316,raw_ub[],COLUMN(AL$1)-COLUMN($A$1),FALSE)=0, VLOOKUP($D316, regions_ub[], COLUMN(AL$1)-COLUMN($A$1), FALSE), VLOOKUP($A316,raw_ub[],COLUMN(AL$1)-COLUMN($A$1),FALSE))</f>
        <v>7.7953479373147044E-3</v>
      </c>
      <c r="AL316" s="72">
        <f>IF(VLOOKUP($A316,raw_ub[],COLUMN(AM$1)-COLUMN($A$1),FALSE)=0, VLOOKUP($D316, regions_ub[], COLUMN(AM$1)-COLUMN($A$1), FALSE), VLOOKUP($A316,raw_ub[],COLUMN(AM$1)-COLUMN($A$1),FALSE))</f>
        <v>9.4988338490574163E-3</v>
      </c>
      <c r="AM316" s="72">
        <f>IF(VLOOKUP($A316,raw_ub[],COLUMN(AN$1)-COLUMN($A$1),FALSE)=0, VLOOKUP($D316, regions_ub[], COLUMN(AN$1)-COLUMN($A$1), FALSE), VLOOKUP($A316,raw_ub[],COLUMN(AN$1)-COLUMN($A$1),FALSE))</f>
        <v>1.1404862497359539E-2</v>
      </c>
      <c r="AN316" s="72">
        <f>IF(VLOOKUP($A316,raw_ub[],COLUMN(AO$1)-COLUMN($A$1),FALSE)=0, VLOOKUP($D316, regions_ub[], COLUMN(AO$1)-COLUMN($A$1), FALSE), VLOOKUP($A316,raw_ub[],COLUMN(AO$1)-COLUMN($A$1),FALSE))</f>
        <v>1.4690660704199984E-2</v>
      </c>
      <c r="AO316" s="72">
        <f>IF(VLOOKUP($A316,raw_ub[],COLUMN(AP$1)-COLUMN($A$1),FALSE)=0, VLOOKUP($D316, regions_ub[], COLUMN(AP$1)-COLUMN($A$1), FALSE), VLOOKUP($A316,raw_ub[],COLUMN(AP$1)-COLUMN($A$1),FALSE))</f>
        <v>1.8644016875275959E-2</v>
      </c>
      <c r="AP316" s="72">
        <f>IF(VLOOKUP($A316,raw_ub[],COLUMN(AQ$1)-COLUMN($A$1),FALSE)=0, VLOOKUP($D316, regions_ub[], COLUMN(AQ$1)-COLUMN($A$1), FALSE), VLOOKUP($A316,raw_ub[],COLUMN(AQ$1)-COLUMN($A$1),FALSE))</f>
        <v>2.6242524152832521E-2</v>
      </c>
      <c r="AQ316" s="72">
        <f>IF(VLOOKUP($A316,raw_ub[],COLUMN(AR$1)-COLUMN($A$1),FALSE)=0, VLOOKUP($D316, regions_ub[], COLUMN(AR$1)-COLUMN($A$1), FALSE), VLOOKUP($A316,raw_ub[],COLUMN(AR$1)-COLUMN($A$1),FALSE))</f>
        <v>3.8400236269681545E-2</v>
      </c>
      <c r="AR316" s="72">
        <f>IF(VLOOKUP($A316,raw_ub[],COLUMN(AS$1)-COLUMN($A$1),FALSE)=0, VLOOKUP($D316, regions_ub[], COLUMN(AS$1)-COLUMN($A$1), FALSE), VLOOKUP($A316,raw_ub[],COLUMN(AS$1)-COLUMN($A$1),FALSE))</f>
        <v>5.7298368615599643E-2</v>
      </c>
      <c r="AS316" s="72">
        <f>IF(VLOOKUP($A316,raw_ub[],COLUMN(AT$1)-COLUMN($A$1),FALSE)=0, VLOOKUP($D316, regions_ub[], COLUMN(AT$1)-COLUMN($A$1), FALSE), VLOOKUP($A316,raw_ub[],COLUMN(AT$1)-COLUMN($A$1),FALSE))</f>
        <v>8.426329423058708E-2</v>
      </c>
      <c r="AT316" s="82">
        <f>IF(VLOOKUP($A316,raw_ub[],COLUMN(AT$1),FALSE)=0, VLOOKUP($D316, regions_ub[], COLUMN(AT$1), FALSE), VLOOKUP($A316,raw_ub[],COLUMN(AT$1),FALSE))</f>
        <v>0.12172810430954861</v>
      </c>
      <c r="AU316" s="82">
        <f>IF(VLOOKUP($A316,raw_ub[],COLUMN(AU$1),FALSE)=0, VLOOKUP($D316, regions_ub[], COLUMN(AU$1), FALSE), VLOOKUP($A316,raw_ub[],COLUMN(AU$1),FALSE))</f>
        <v>0.16180336919267241</v>
      </c>
      <c r="AV316" s="82">
        <f>IF(VLOOKUP($A316,raw_ub[],COLUMN(AV$1),FALSE)=0, VLOOKUP($D316, regions_ub[], COLUMN(AV$1), FALSE), VLOOKUP($A316,raw_ub[],COLUMN(AV$1),FALSE))</f>
        <v>0.19072366440381383</v>
      </c>
      <c r="AW316" s="82">
        <f>IF(VLOOKUP($A316,raw_ub[],COLUMN(AW$1),FALSE)=0, VLOOKUP($D316, regions_ub[], COLUMN(AW$1), FALSE), VLOOKUP($A316,raw_ub[],COLUMN(AW$1),FALSE))</f>
        <v>0.19864548158872186</v>
      </c>
      <c r="AX316" s="82">
        <f>IF(VLOOKUP($A316,raw_ub[],COLUMN(AX$1),FALSE)=0, VLOOKUP($D316, regions_ub[], COLUMN(AX$1), FALSE), VLOOKUP($A316,raw_ub[],COLUMN(AX$1),FALSE))</f>
        <v>61.158300000000004</v>
      </c>
      <c r="AY316" t="str">
        <f t="shared" si="11"/>
        <v>Yes</v>
      </c>
    </row>
    <row r="317" spans="1:51" x14ac:dyDescent="0.25">
      <c r="A317" s="55" t="s">
        <v>301</v>
      </c>
      <c r="B317" s="56" t="s">
        <v>302</v>
      </c>
      <c r="C317" s="56">
        <v>232</v>
      </c>
      <c r="D317" s="56" t="s">
        <v>207</v>
      </c>
      <c r="E317" s="56" t="s">
        <v>255</v>
      </c>
      <c r="F317" s="56" t="s">
        <v>211</v>
      </c>
      <c r="G317" s="56" t="s">
        <v>198</v>
      </c>
      <c r="H317" s="74"/>
      <c r="I317" s="74"/>
      <c r="J317" s="67">
        <f>IF(VLOOKUP($A317,raw_ub[],COLUMN(J$1),FALSE)=0, VLOOKUP($D317, regions_ub[], COLUMN(J$1), FALSE), VLOOKUP($A317,raw_ub[],COLUMN(J$1),FALSE))</f>
        <v>0.35385000000000005</v>
      </c>
      <c r="K317" s="77">
        <f>VLOOKUP($A317, raw_ub[], 11, FALSE)</f>
        <v>0</v>
      </c>
      <c r="L317" s="77">
        <f>VLOOKUP($A317, raw_ub[], 12, FALSE)</f>
        <v>0.99749999999999994</v>
      </c>
      <c r="M317" s="77">
        <f>IF(VLOOKUP($A317,raw_ub[],COLUMN(M$1),FALSE)=0, VLOOKUP($D317, regions_ub[], COLUMN(M$1), FALSE), VLOOKUP($A317,raw_ub[],COLUMN(M$1),FALSE))</f>
        <v>6.9199999999999998E-2</v>
      </c>
      <c r="N317" s="68">
        <f>IF(VLOOKUP($A317,raw_ub[],COLUMN(N$1),FALSE)=0, VLOOKUP($D317, regions_ub[], COLUMN(N$1), FALSE), VLOOKUP($A317,raw_ub[],COLUMN(N$1),FALSE))</f>
        <v>0.39960000000000001</v>
      </c>
      <c r="O317" s="67">
        <f>IF(VLOOKUP($A317,raw_ub[],COLUMN(O$1),FALSE)=0, VLOOKUP($D317, regions_ub[], COLUMN(O$1), FALSE), VLOOKUP($A317,raw_ub[],COLUMN(O$1),FALSE))</f>
        <v>0.74399999999999999</v>
      </c>
      <c r="P317" s="68">
        <f>IF(VLOOKUP($A317,raw_ub[],COLUMN(P$1),FALSE)=0, VLOOKUP($D317, regions_ub[], COLUMN(P$1), FALSE), VLOOKUP($A317,raw_ub[],COLUMN(P$1),FALSE))</f>
        <v>0.13300000000000001</v>
      </c>
      <c r="Q317" s="70">
        <f>IF(VLOOKUP($A317,raw_ub[],COLUMN(Q$1),FALSE)=0, VLOOKUP($D317, regions_ub[], COLUMN(Q$1), FALSE), VLOOKUP($A317,raw_ub[],COLUMN(Q$1),FALSE))</f>
        <v>5.2939647058823507</v>
      </c>
      <c r="R317" s="70">
        <f>IF(VLOOKUP($A317,raw_ub[],COLUMN(R$1),FALSE)=0, VLOOKUP($D317, regions_ub[], COLUMN(R$1), FALSE), VLOOKUP($A317,raw_ub[],COLUMN(R$1),FALSE))</f>
        <v>114.27976470588236</v>
      </c>
      <c r="S317" s="70">
        <f>IF(VLOOKUP($A317,raw_ub[],COLUMN(S$1),FALSE)=0, VLOOKUP($D317, regions_ub[], COLUMN(S$1), FALSE), VLOOKUP($A317,raw_ub[],COLUMN(S$1),FALSE))</f>
        <v>144.15631185043065</v>
      </c>
      <c r="T317" s="70">
        <f>IF(VLOOKUP($A317,raw_ub[],COLUMN(U$1)-COLUMN($A$1),FALSE)=0, VLOOKUP($D317, regions_ub[], COLUMN(U$1)-COLUMN($A$1), FALSE), VLOOKUP($A317,raw_ub[],COLUMN(U$1)-COLUMN($A$1),FALSE))</f>
        <v>144.49802169209198</v>
      </c>
      <c r="U317" s="70">
        <f>IF(VLOOKUP($A317,raw_ub[],COLUMN(V$1)-COLUMN($A$1),FALSE)=0, VLOOKUP($D317, regions_ub[], COLUMN(V$1)-COLUMN($A$1), FALSE), VLOOKUP($A317,raw_ub[],COLUMN(V$1)-COLUMN($A$1),FALSE))</f>
        <v>144.34111575562702</v>
      </c>
      <c r="V317" s="70">
        <f>IF(VLOOKUP($A317,raw_ub[],COLUMN(W$1)-COLUMN($A$1),FALSE)=0, VLOOKUP($D317, regions_ub[], COLUMN(W$1)-COLUMN($A$1), FALSE), VLOOKUP($A317,raw_ub[],COLUMN(W$1)-COLUMN($A$1),FALSE))</f>
        <v>8.8039263038346931</v>
      </c>
      <c r="W317" s="70">
        <f>IF(VLOOKUP($A317,raw_ub[],COLUMN(X$1)-COLUMN($A$1),FALSE)=0, VLOOKUP($D317, regions_ub[], COLUMN(X$1)-COLUMN($A$1), FALSE), VLOOKUP($A317,raw_ub[],COLUMN(X$1)-COLUMN($A$1),FALSE))</f>
        <v>13.875426303834693</v>
      </c>
      <c r="X317" s="70">
        <f>IF(VLOOKUP($A317,raw_ub[],COLUMN(Y$1)-COLUMN($A$1),FALSE)=0, VLOOKUP($D317, regions_ub[], COLUMN(Y$1)-COLUMN($A$1), FALSE), VLOOKUP($A317,raw_ub[],COLUMN(Y$1)-COLUMN($A$1),FALSE))</f>
        <v>8.793519891770865</v>
      </c>
      <c r="Y317" s="70">
        <f>IF(VLOOKUP($A317,raw_ub[],COLUMN(Z$1)-COLUMN($A$1),FALSE)=0, VLOOKUP($D317, regions_ub[], COLUMN(Z$1)-COLUMN($A$1), FALSE), VLOOKUP($A317,raw_ub[],COLUMN(Z$1)-COLUMN($A$1),FALSE))</f>
        <v>13.865019891770865</v>
      </c>
      <c r="Z317" s="70">
        <f>IF(VLOOKUP($A317,raw_ub[],COLUMN(AA$1)-COLUMN($A$1),FALSE)=0, VLOOKUP($D317, regions_ub[], COLUMN(AA$1)-COLUMN($A$1), FALSE), VLOOKUP($A317,raw_ub[],COLUMN(AA$1)-COLUMN($A$1),FALSE))</f>
        <v>13.859549285671443</v>
      </c>
      <c r="AA317" s="70">
        <f>IF(VLOOKUP($A317,raw_ub[],COLUMN(AB$1)-COLUMN($A$1),FALSE)=0, VLOOKUP($D317, regions_ub[], COLUMN(AB$1)-COLUMN($A$1), FALSE), VLOOKUP($A317,raw_ub[],COLUMN(AB$1)-COLUMN($A$1),FALSE))</f>
        <v>8.8063277835417306</v>
      </c>
      <c r="AB317" s="70">
        <f>IF(VLOOKUP($A317,raw_ub[],COLUMN(AC$1)-COLUMN($A$1),FALSE)=0, VLOOKUP($D317, regions_ub[], COLUMN(AC$1)-COLUMN($A$1), FALSE), VLOOKUP($A317,raw_ub[],COLUMN(AC$1)-COLUMN($A$1),FALSE))</f>
        <v>13.877827783541731</v>
      </c>
      <c r="AC317" s="72">
        <f>IF(VLOOKUP($A317,raw_ub[],COLUMN(AD$1)-COLUMN($A$1),FALSE)=0, VLOOKUP($D317, regions_ub[], COLUMN(AD$1)-COLUMN($A$1), FALSE), VLOOKUP($A317,raw_ub[],COLUMN(AD$1)-COLUMN($A$1),FALSE))</f>
        <v>3.6459948000000048E-2</v>
      </c>
      <c r="AD317" s="72">
        <f>IF(VLOOKUP($A317,raw_ub[],COLUMN(AE$1)-COLUMN($A$1),FALSE)=0, VLOOKUP($D317, regions_ub[], COLUMN(AE$1)-COLUMN($A$1), FALSE), VLOOKUP($A317,raw_ub[],COLUMN(AE$1)-COLUMN($A$1),FALSE))</f>
        <v>2.6020065768944962E-3</v>
      </c>
      <c r="AE317" s="72">
        <f>IF(VLOOKUP($A317,raw_ub[],COLUMN(AF$1)-COLUMN($A$1),FALSE)=0, VLOOKUP($D317, regions_ub[], COLUMN(AF$1)-COLUMN($A$1), FALSE), VLOOKUP($A317,raw_ub[],COLUMN(AF$1)-COLUMN($A$1),FALSE))</f>
        <v>8.8375704031701003E-4</v>
      </c>
      <c r="AF317" s="72">
        <f>IF(VLOOKUP($A317,raw_ub[],COLUMN(AG$1)-COLUMN($A$1),FALSE)=0, VLOOKUP($D317, regions_ub[], COLUMN(AG$1)-COLUMN($A$1), FALSE), VLOOKUP($A317,raw_ub[],COLUMN(AG$1)-COLUMN($A$1),FALSE))</f>
        <v>6.6808869723276648E-4</v>
      </c>
      <c r="AG317" s="72">
        <f>IF(VLOOKUP($A317,raw_ub[],COLUMN(AH$1)-COLUMN($A$1),FALSE)=0, VLOOKUP($D317, regions_ub[], COLUMN(AH$1)-COLUMN($A$1), FALSE), VLOOKUP($A317,raw_ub[],COLUMN(AH$1)-COLUMN($A$1),FALSE))</f>
        <v>1.2893950160499862E-3</v>
      </c>
      <c r="AH317" s="72">
        <f>IF(VLOOKUP($A317,raw_ub[],COLUMN(AI$1)-COLUMN($A$1),FALSE)=0, VLOOKUP($D317, regions_ub[], COLUMN(AI$1)-COLUMN($A$1), FALSE), VLOOKUP($A317,raw_ub[],COLUMN(AI$1)-COLUMN($A$1),FALSE))</f>
        <v>1.833124538989459E-3</v>
      </c>
      <c r="AI317" s="72">
        <f>IF(VLOOKUP($A317,raw_ub[],COLUMN(AJ$1)-COLUMN($A$1),FALSE)=0, VLOOKUP($D317, regions_ub[], COLUMN(AJ$1)-COLUMN($A$1), FALSE), VLOOKUP($A317,raw_ub[],COLUMN(AJ$1)-COLUMN($A$1),FALSE))</f>
        <v>2.4245764112803174E-3</v>
      </c>
      <c r="AJ317" s="72">
        <f>IF(VLOOKUP($A317,raw_ub[],COLUMN(AK$1)-COLUMN($A$1),FALSE)=0, VLOOKUP($D317, regions_ub[], COLUMN(AK$1)-COLUMN($A$1), FALSE), VLOOKUP($A317,raw_ub[],COLUMN(AK$1)-COLUMN($A$1),FALSE))</f>
        <v>3.2478075052726567E-3</v>
      </c>
      <c r="AK317" s="72">
        <f>IF(VLOOKUP($A317,raw_ub[],COLUMN(AL$1)-COLUMN($A$1),FALSE)=0, VLOOKUP($D317, regions_ub[], COLUMN(AL$1)-COLUMN($A$1), FALSE), VLOOKUP($A317,raw_ub[],COLUMN(AL$1)-COLUMN($A$1),FALSE))</f>
        <v>4.2153265458819223E-3</v>
      </c>
      <c r="AL317" s="72">
        <f>IF(VLOOKUP($A317,raw_ub[],COLUMN(AM$1)-COLUMN($A$1),FALSE)=0, VLOOKUP($D317, regions_ub[], COLUMN(AM$1)-COLUMN($A$1), FALSE), VLOOKUP($A317,raw_ub[],COLUMN(AM$1)-COLUMN($A$1),FALSE))</f>
        <v>6.0940457915160976E-3</v>
      </c>
      <c r="AM317" s="72">
        <f>IF(VLOOKUP($A317,raw_ub[],COLUMN(AN$1)-COLUMN($A$1),FALSE)=0, VLOOKUP($D317, regions_ub[], COLUMN(AN$1)-COLUMN($A$1), FALSE), VLOOKUP($A317,raw_ub[],COLUMN(AN$1)-COLUMN($A$1),FALSE))</f>
        <v>8.2437444320121334E-3</v>
      </c>
      <c r="AN317" s="72">
        <f>IF(VLOOKUP($A317,raw_ub[],COLUMN(AO$1)-COLUMN($A$1),FALSE)=0, VLOOKUP($D317, regions_ub[], COLUMN(AO$1)-COLUMN($A$1), FALSE), VLOOKUP($A317,raw_ub[],COLUMN(AO$1)-COLUMN($A$1),FALSE))</f>
        <v>1.2181586819863623E-2</v>
      </c>
      <c r="AO317" s="72">
        <f>IF(VLOOKUP($A317,raw_ub[],COLUMN(AP$1)-COLUMN($A$1),FALSE)=0, VLOOKUP($D317, regions_ub[], COLUMN(AP$1)-COLUMN($A$1), FALSE), VLOOKUP($A317,raw_ub[],COLUMN(AP$1)-COLUMN($A$1),FALSE))</f>
        <v>1.7660339558705246E-2</v>
      </c>
      <c r="AP317" s="72">
        <f>IF(VLOOKUP($A317,raw_ub[],COLUMN(AQ$1)-COLUMN($A$1),FALSE)=0, VLOOKUP($D317, regions_ub[], COLUMN(AQ$1)-COLUMN($A$1), FALSE), VLOOKUP($A317,raw_ub[],COLUMN(AQ$1)-COLUMN($A$1),FALSE))</f>
        <v>2.5298541650025284E-2</v>
      </c>
      <c r="AQ317" s="72">
        <f>IF(VLOOKUP($A317,raw_ub[],COLUMN(AR$1)-COLUMN($A$1),FALSE)=0, VLOOKUP($D317, regions_ub[], COLUMN(AR$1)-COLUMN($A$1), FALSE), VLOOKUP($A317,raw_ub[],COLUMN(AR$1)-COLUMN($A$1),FALSE))</f>
        <v>3.5611633705219345E-2</v>
      </c>
      <c r="AR317" s="72">
        <f>IF(VLOOKUP($A317,raw_ub[],COLUMN(AS$1)-COLUMN($A$1),FALSE)=0, VLOOKUP($D317, regions_ub[], COLUMN(AS$1)-COLUMN($A$1), FALSE), VLOOKUP($A317,raw_ub[],COLUMN(AS$1)-COLUMN($A$1),FALSE))</f>
        <v>5.2638882094616299E-2</v>
      </c>
      <c r="AS317" s="72">
        <f>IF(VLOOKUP($A317,raw_ub[],COLUMN(AT$1)-COLUMN($A$1),FALSE)=0, VLOOKUP($D317, regions_ub[], COLUMN(AT$1)-COLUMN($A$1), FALSE), VLOOKUP($A317,raw_ub[],COLUMN(AT$1)-COLUMN($A$1),FALSE))</f>
        <v>7.2204057153309048E-2</v>
      </c>
      <c r="AT317" s="82">
        <f>IF(VLOOKUP($A317,raw_ub[],COLUMN(AT$1),FALSE)=0, VLOOKUP($D317, regions_ub[], COLUMN(AT$1), FALSE), VLOOKUP($A317,raw_ub[],COLUMN(AT$1),FALSE))</f>
        <v>0.10044624467875078</v>
      </c>
      <c r="AU317" s="82">
        <f>IF(VLOOKUP($A317,raw_ub[],COLUMN(AU$1),FALSE)=0, VLOOKUP($D317, regions_ub[], COLUMN(AU$1), FALSE), VLOOKUP($A317,raw_ub[],COLUMN(AU$1),FALSE))</f>
        <v>0.12796630358206371</v>
      </c>
      <c r="AV317" s="82">
        <f>IF(VLOOKUP($A317,raw_ub[],COLUMN(AV$1),FALSE)=0, VLOOKUP($D317, regions_ub[], COLUMN(AV$1), FALSE), VLOOKUP($A317,raw_ub[],COLUMN(AV$1),FALSE))</f>
        <v>0.1506764640334636</v>
      </c>
      <c r="AW317" s="82">
        <f>IF(VLOOKUP($A317,raw_ub[],COLUMN(AW$1),FALSE)=0, VLOOKUP($D317, regions_ub[], COLUMN(AW$1), FALSE), VLOOKUP($A317,raw_ub[],COLUMN(AW$1),FALSE))</f>
        <v>0.16940372407082813</v>
      </c>
      <c r="AX317" s="82">
        <f>IF(VLOOKUP($A317,raw_ub[],COLUMN(AX$1),FALSE)=0, VLOOKUP($D317, regions_ub[], COLUMN(AX$1), FALSE), VLOOKUP($A317,raw_ub[],COLUMN(AX$1),FALSE))</f>
        <v>69.030149999999992</v>
      </c>
      <c r="AY317" t="str">
        <f t="shared" si="11"/>
        <v>Yes</v>
      </c>
    </row>
    <row r="318" spans="1:51" x14ac:dyDescent="0.25">
      <c r="A318" s="53" t="s">
        <v>303</v>
      </c>
      <c r="B318" s="54" t="s">
        <v>304</v>
      </c>
      <c r="C318" s="54">
        <v>748</v>
      </c>
      <c r="D318" s="54" t="s">
        <v>207</v>
      </c>
      <c r="E318" s="54" t="s">
        <v>245</v>
      </c>
      <c r="F318" s="54" t="s">
        <v>211</v>
      </c>
      <c r="G318" s="54" t="s">
        <v>212</v>
      </c>
      <c r="H318" s="73"/>
      <c r="I318" s="73"/>
      <c r="J318" s="67">
        <f>IF(VLOOKUP($A318,raw_ub[],COLUMN(J$1),FALSE)=0, VLOOKUP($D318, regions_ub[], COLUMN(J$1), FALSE), VLOOKUP($A318,raw_ub[],COLUMN(J$1),FALSE))</f>
        <v>0.92085000000000006</v>
      </c>
      <c r="K318" s="77">
        <f>VLOOKUP($A318, raw_ub[], 11, FALSE)</f>
        <v>0</v>
      </c>
      <c r="L318" s="77">
        <f>VLOOKUP($A318, raw_ub[], 12, FALSE)</f>
        <v>0.87149999999999994</v>
      </c>
      <c r="M318" s="77">
        <f>IF(VLOOKUP($A318,raw_ub[],COLUMN(M$1),FALSE)=0, VLOOKUP($D318, regions_ub[], COLUMN(M$1), FALSE), VLOOKUP($A318,raw_ub[],COLUMN(M$1),FALSE))</f>
        <v>0.21489999999999998</v>
      </c>
      <c r="N318" s="68">
        <f>IF(VLOOKUP($A318,raw_ub[],COLUMN(N$1),FALSE)=0, VLOOKUP($D318, regions_ub[], COLUMN(N$1), FALSE), VLOOKUP($A318,raw_ub[],COLUMN(N$1),FALSE))</f>
        <v>0.3679</v>
      </c>
      <c r="O318" s="67">
        <f>IF(VLOOKUP($A318,raw_ub[],COLUMN(O$1),FALSE)=0, VLOOKUP($D318, regions_ub[], COLUMN(O$1), FALSE), VLOOKUP($A318,raw_ub[],COLUMN(O$1),FALSE))</f>
        <v>0.74399999999999999</v>
      </c>
      <c r="P318" s="68">
        <f>IF(VLOOKUP($A318,raw_ub[],COLUMN(P$1),FALSE)=0, VLOOKUP($D318, regions_ub[], COLUMN(P$1), FALSE), VLOOKUP($A318,raw_ub[],COLUMN(P$1),FALSE))</f>
        <v>0.13300000000000001</v>
      </c>
      <c r="Q318" s="70">
        <f>IF(VLOOKUP($A318,raw_ub[],COLUMN(Q$1),FALSE)=0, VLOOKUP($D318, regions_ub[], COLUMN(Q$1), FALSE), VLOOKUP($A318,raw_ub[],COLUMN(Q$1),FALSE))</f>
        <v>16.9193757188498</v>
      </c>
      <c r="R318" s="70">
        <f>IF(VLOOKUP($A318,raw_ub[],COLUMN(R$1),FALSE)=0, VLOOKUP($D318, regions_ub[], COLUMN(R$1), FALSE), VLOOKUP($A318,raw_ub[],COLUMN(R$1),FALSE))</f>
        <v>125.9051757188498</v>
      </c>
      <c r="S318" s="70">
        <f>IF(VLOOKUP($A318,raw_ub[],COLUMN(S$1),FALSE)=0, VLOOKUP($D318, regions_ub[], COLUMN(S$1), FALSE), VLOOKUP($A318,raw_ub[],COLUMN(S$1),FALSE))</f>
        <v>177.50057231732487</v>
      </c>
      <c r="T318" s="70">
        <f>IF(VLOOKUP($A318,raw_ub[],COLUMN(U$1)-COLUMN($A$1),FALSE)=0, VLOOKUP($D318, regions_ub[], COLUMN(U$1)-COLUMN($A$1), FALSE), VLOOKUP($A318,raw_ub[],COLUMN(U$1)-COLUMN($A$1),FALSE))</f>
        <v>189.14618420104492</v>
      </c>
      <c r="U318" s="70">
        <f>IF(VLOOKUP($A318,raw_ub[],COLUMN(V$1)-COLUMN($A$1),FALSE)=0, VLOOKUP($D318, regions_ub[], COLUMN(V$1)-COLUMN($A$1), FALSE), VLOOKUP($A318,raw_ub[],COLUMN(V$1)-COLUMN($A$1),FALSE))</f>
        <v>183.79876538091671</v>
      </c>
      <c r="V318" s="70">
        <f>IF(VLOOKUP($A318,raw_ub[],COLUMN(W$1)-COLUMN($A$1),FALSE)=0, VLOOKUP($D318, regions_ub[], COLUMN(W$1)-COLUMN($A$1), FALSE), VLOOKUP($A318,raw_ub[],COLUMN(W$1)-COLUMN($A$1),FALSE))</f>
        <v>12.01607141267101</v>
      </c>
      <c r="W318" s="70">
        <f>IF(VLOOKUP($A318,raw_ub[],COLUMN(X$1)-COLUMN($A$1),FALSE)=0, VLOOKUP($D318, regions_ub[], COLUMN(X$1)-COLUMN($A$1), FALSE), VLOOKUP($A318,raw_ub[],COLUMN(X$1)-COLUMN($A$1),FALSE))</f>
        <v>17.087571412671011</v>
      </c>
      <c r="X318" s="70">
        <f>IF(VLOOKUP($A318,raw_ub[],COLUMN(Y$1)-COLUMN($A$1),FALSE)=0, VLOOKUP($D318, regions_ub[], COLUMN(Y$1)-COLUMN($A$1), FALSE), VLOOKUP($A318,raw_ub[],COLUMN(Y$1)-COLUMN($A$1),FALSE))</f>
        <v>11.979436779404695</v>
      </c>
      <c r="Y318" s="70">
        <f>IF(VLOOKUP($A318,raw_ub[],COLUMN(Z$1)-COLUMN($A$1),FALSE)=0, VLOOKUP($D318, regions_ub[], COLUMN(Z$1)-COLUMN($A$1), FALSE), VLOOKUP($A318,raw_ub[],COLUMN(Z$1)-COLUMN($A$1),FALSE))</f>
        <v>17.050936779404694</v>
      </c>
      <c r="Z318" s="70">
        <f>IF(VLOOKUP($A318,raw_ub[],COLUMN(AA$1)-COLUMN($A$1),FALSE)=0, VLOOKUP($D318, regions_ub[], COLUMN(AA$1)-COLUMN($A$1), FALSE), VLOOKUP($A318,raw_ub[],COLUMN(AA$1)-COLUMN($A$1),FALSE))</f>
        <v>17.031213053423933</v>
      </c>
      <c r="AA318" s="70">
        <f>IF(VLOOKUP($A318,raw_ub[],COLUMN(AB$1)-COLUMN($A$1),FALSE)=0, VLOOKUP($D318, regions_ub[], COLUMN(AB$1)-COLUMN($A$1), FALSE), VLOOKUP($A318,raw_ub[],COLUMN(AB$1)-COLUMN($A$1),FALSE))</f>
        <v>12.02452555880939</v>
      </c>
      <c r="AB318" s="70">
        <f>IF(VLOOKUP($A318,raw_ub[],COLUMN(AC$1)-COLUMN($A$1),FALSE)=0, VLOOKUP($D318, regions_ub[], COLUMN(AC$1)-COLUMN($A$1), FALSE), VLOOKUP($A318,raw_ub[],COLUMN(AC$1)-COLUMN($A$1),FALSE))</f>
        <v>17.096025558809391</v>
      </c>
      <c r="AC318" s="72">
        <f>IF(VLOOKUP($A318,raw_ub[],COLUMN(AD$1)-COLUMN($A$1),FALSE)=0, VLOOKUP($D318, regions_ub[], COLUMN(AD$1)-COLUMN($A$1), FALSE), VLOOKUP($A318,raw_ub[],COLUMN(AD$1)-COLUMN($A$1),FALSE))</f>
        <v>4.3433019000000031E-2</v>
      </c>
      <c r="AD318" s="72">
        <f>IF(VLOOKUP($A318,raw_ub[],COLUMN(AE$1)-COLUMN($A$1),FALSE)=0, VLOOKUP($D318, regions_ub[], COLUMN(AE$1)-COLUMN($A$1), FALSE), VLOOKUP($A318,raw_ub[],COLUMN(AE$1)-COLUMN($A$1),FALSE))</f>
        <v>3.5762380501730292E-3</v>
      </c>
      <c r="AE318" s="72">
        <f>IF(VLOOKUP($A318,raw_ub[],COLUMN(AF$1)-COLUMN($A$1),FALSE)=0, VLOOKUP($D318, regions_ub[], COLUMN(AF$1)-COLUMN($A$1), FALSE), VLOOKUP($A318,raw_ub[],COLUMN(AF$1)-COLUMN($A$1),FALSE))</f>
        <v>1.0293225814980279E-3</v>
      </c>
      <c r="AF318" s="72">
        <f>IF(VLOOKUP($A318,raw_ub[],COLUMN(AG$1)-COLUMN($A$1),FALSE)=0, VLOOKUP($D318, regions_ub[], COLUMN(AG$1)-COLUMN($A$1), FALSE), VLOOKUP($A318,raw_ub[],COLUMN(AG$1)-COLUMN($A$1),FALSE))</f>
        <v>9.1148021166019175E-4</v>
      </c>
      <c r="AG318" s="72">
        <f>IF(VLOOKUP($A318,raw_ub[],COLUMN(AH$1)-COLUMN($A$1),FALSE)=0, VLOOKUP($D318, regions_ub[], COLUMN(AH$1)-COLUMN($A$1), FALSE), VLOOKUP($A318,raw_ub[],COLUMN(AH$1)-COLUMN($A$1),FALSE))</f>
        <v>1.518447884728179E-3</v>
      </c>
      <c r="AH318" s="72">
        <f>IF(VLOOKUP($A318,raw_ub[],COLUMN(AI$1)-COLUMN($A$1),FALSE)=0, VLOOKUP($D318, regions_ub[], COLUMN(AI$1)-COLUMN($A$1), FALSE), VLOOKUP($A318,raw_ub[],COLUMN(AI$1)-COLUMN($A$1),FALSE))</f>
        <v>2.8503178525989509E-3</v>
      </c>
      <c r="AI318" s="72">
        <f>IF(VLOOKUP($A318,raw_ub[],COLUMN(AJ$1)-COLUMN($A$1),FALSE)=0, VLOOKUP($D318, regions_ub[], COLUMN(AJ$1)-COLUMN($A$1), FALSE), VLOOKUP($A318,raw_ub[],COLUMN(AJ$1)-COLUMN($A$1),FALSE))</f>
        <v>5.3693649293698959E-3</v>
      </c>
      <c r="AJ318" s="72">
        <f>IF(VLOOKUP($A318,raw_ub[],COLUMN(AK$1)-COLUMN($A$1),FALSE)=0, VLOOKUP($D318, regions_ub[], COLUMN(AK$1)-COLUMN($A$1), FALSE), VLOOKUP($A318,raw_ub[],COLUMN(AK$1)-COLUMN($A$1),FALSE))</f>
        <v>8.2856259412120974E-3</v>
      </c>
      <c r="AK318" s="72">
        <f>IF(VLOOKUP($A318,raw_ub[],COLUMN(AL$1)-COLUMN($A$1),FALSE)=0, VLOOKUP($D318, regions_ub[], COLUMN(AL$1)-COLUMN($A$1), FALSE), VLOOKUP($A318,raw_ub[],COLUMN(AL$1)-COLUMN($A$1),FALSE))</f>
        <v>1.2436137130275863E-2</v>
      </c>
      <c r="AL318" s="72">
        <f>IF(VLOOKUP($A318,raw_ub[],COLUMN(AM$1)-COLUMN($A$1),FALSE)=0, VLOOKUP($D318, regions_ub[], COLUMN(AM$1)-COLUMN($A$1), FALSE), VLOOKUP($A318,raw_ub[],COLUMN(AM$1)-COLUMN($A$1),FALSE))</f>
        <v>1.4463324215198001E-2</v>
      </c>
      <c r="AM318" s="72">
        <f>IF(VLOOKUP($A318,raw_ub[],COLUMN(AN$1)-COLUMN($A$1),FALSE)=0, VLOOKUP($D318, regions_ub[], COLUMN(AN$1)-COLUMN($A$1), FALSE), VLOOKUP($A318,raw_ub[],COLUMN(AN$1)-COLUMN($A$1),FALSE))</f>
        <v>1.7297621643383106E-2</v>
      </c>
      <c r="AN318" s="72">
        <f>IF(VLOOKUP($A318,raw_ub[],COLUMN(AO$1)-COLUMN($A$1),FALSE)=0, VLOOKUP($D318, regions_ub[], COLUMN(AO$1)-COLUMN($A$1), FALSE), VLOOKUP($A318,raw_ub[],COLUMN(AO$1)-COLUMN($A$1),FALSE))</f>
        <v>2.0151659552270246E-2</v>
      </c>
      <c r="AO318" s="72">
        <f>IF(VLOOKUP($A318,raw_ub[],COLUMN(AP$1)-COLUMN($A$1),FALSE)=0, VLOOKUP($D318, regions_ub[], COLUMN(AP$1)-COLUMN($A$1), FALSE), VLOOKUP($A318,raw_ub[],COLUMN(AP$1)-COLUMN($A$1),FALSE))</f>
        <v>2.3506111254844586E-2</v>
      </c>
      <c r="AP318" s="72">
        <f>IF(VLOOKUP($A318,raw_ub[],COLUMN(AQ$1)-COLUMN($A$1),FALSE)=0, VLOOKUP($D318, regions_ub[], COLUMN(AQ$1)-COLUMN($A$1), FALSE), VLOOKUP($A318,raw_ub[],COLUMN(AQ$1)-COLUMN($A$1),FALSE))</f>
        <v>2.8476642952101266E-2</v>
      </c>
      <c r="AQ318" s="72">
        <f>IF(VLOOKUP($A318,raw_ub[],COLUMN(AR$1)-COLUMN($A$1),FALSE)=0, VLOOKUP($D318, regions_ub[], COLUMN(AR$1)-COLUMN($A$1), FALSE), VLOOKUP($A318,raw_ub[],COLUMN(AR$1)-COLUMN($A$1),FALSE))</f>
        <v>3.6672144151176318E-2</v>
      </c>
      <c r="AR318" s="72">
        <f>IF(VLOOKUP($A318,raw_ub[],COLUMN(AS$1)-COLUMN($A$1),FALSE)=0, VLOOKUP($D318, regions_ub[], COLUMN(AS$1)-COLUMN($A$1), FALSE), VLOOKUP($A318,raw_ub[],COLUMN(AS$1)-COLUMN($A$1),FALSE))</f>
        <v>5.01182610318745E-2</v>
      </c>
      <c r="AS318" s="72">
        <f>IF(VLOOKUP($A318,raw_ub[],COLUMN(AT$1)-COLUMN($A$1),FALSE)=0, VLOOKUP($D318, regions_ub[], COLUMN(AT$1)-COLUMN($A$1), FALSE), VLOOKUP($A318,raw_ub[],COLUMN(AT$1)-COLUMN($A$1),FALSE))</f>
        <v>6.9901736627838731E-2</v>
      </c>
      <c r="AT318" s="82">
        <f>IF(VLOOKUP($A318,raw_ub[],COLUMN(AT$1),FALSE)=0, VLOOKUP($D318, regions_ub[], COLUMN(AT$1), FALSE), VLOOKUP($A318,raw_ub[],COLUMN(AT$1),FALSE))</f>
        <v>0.10236749938676604</v>
      </c>
      <c r="AU318" s="82">
        <f>IF(VLOOKUP($A318,raw_ub[],COLUMN(AU$1),FALSE)=0, VLOOKUP($D318, regions_ub[], COLUMN(AU$1), FALSE), VLOOKUP($A318,raw_ub[],COLUMN(AU$1),FALSE))</f>
        <v>0.14420090098177638</v>
      </c>
      <c r="AV318" s="82">
        <f>IF(VLOOKUP($A318,raw_ub[],COLUMN(AV$1),FALSE)=0, VLOOKUP($D318, regions_ub[], COLUMN(AV$1), FALSE), VLOOKUP($A318,raw_ub[],COLUMN(AV$1),FALSE))</f>
        <v>0.17796457763234289</v>
      </c>
      <c r="AW318" s="82">
        <f>IF(VLOOKUP($A318,raw_ub[],COLUMN(AW$1),FALSE)=0, VLOOKUP($D318, regions_ub[], COLUMN(AW$1), FALSE), VLOOKUP($A318,raw_ub[],COLUMN(AW$1),FALSE))</f>
        <v>0.19213435031867798</v>
      </c>
      <c r="AX318" s="82">
        <f>IF(VLOOKUP($A318,raw_ub[],COLUMN(AX$1),FALSE)=0, VLOOKUP($D318, regions_ub[], COLUMN(AX$1), FALSE), VLOOKUP($A318,raw_ub[],COLUMN(AX$1),FALSE))</f>
        <v>62.279700000000005</v>
      </c>
      <c r="AY318" t="str">
        <f t="shared" si="11"/>
        <v>Yes</v>
      </c>
    </row>
    <row r="319" spans="1:51" x14ac:dyDescent="0.25">
      <c r="A319" s="55" t="s">
        <v>305</v>
      </c>
      <c r="B319" s="56" t="s">
        <v>306</v>
      </c>
      <c r="C319" s="56">
        <v>231</v>
      </c>
      <c r="D319" s="56" t="s">
        <v>207</v>
      </c>
      <c r="E319" s="56" t="s">
        <v>255</v>
      </c>
      <c r="F319" s="56" t="s">
        <v>211</v>
      </c>
      <c r="G319" s="56" t="s">
        <v>198</v>
      </c>
      <c r="H319" s="74"/>
      <c r="I319" s="74"/>
      <c r="J319" s="67">
        <f>IF(VLOOKUP($A319,raw_ub[],COLUMN(J$1),FALSE)=0, VLOOKUP($D319, regions_ub[], COLUMN(J$1), FALSE), VLOOKUP($A319,raw_ub[],COLUMN(J$1),FALSE))</f>
        <v>0.49874999999999997</v>
      </c>
      <c r="K319" s="77">
        <f>VLOOKUP($A319, raw_ub[], 11, FALSE)</f>
        <v>0</v>
      </c>
      <c r="L319" s="77">
        <f>VLOOKUP($A319, raw_ub[], 12, FALSE)</f>
        <v>0.74549999999999994</v>
      </c>
      <c r="M319" s="77">
        <f>IF(VLOOKUP($A319,raw_ub[],COLUMN(M$1),FALSE)=0, VLOOKUP($D319, regions_ub[], COLUMN(M$1), FALSE), VLOOKUP($A319,raw_ub[],COLUMN(M$1),FALSE))</f>
        <v>5.4800000000000001E-2</v>
      </c>
      <c r="N319" s="68">
        <f>IF(VLOOKUP($A319,raw_ub[],COLUMN(N$1),FALSE)=0, VLOOKUP($D319, regions_ub[], COLUMN(N$1), FALSE), VLOOKUP($A319,raw_ub[],COLUMN(N$1),FALSE))</f>
        <v>0.39960000000000001</v>
      </c>
      <c r="O319" s="67">
        <f>IF(VLOOKUP($A319,raw_ub[],COLUMN(O$1),FALSE)=0, VLOOKUP($D319, regions_ub[], COLUMN(O$1), FALSE), VLOOKUP($A319,raw_ub[],COLUMN(O$1),FALSE))</f>
        <v>0.74399999999999999</v>
      </c>
      <c r="P319" s="68">
        <f>IF(VLOOKUP($A319,raw_ub[],COLUMN(P$1),FALSE)=0, VLOOKUP($D319, regions_ub[], COLUMN(P$1), FALSE), VLOOKUP($A319,raw_ub[],COLUMN(P$1),FALSE))</f>
        <v>0.13300000000000001</v>
      </c>
      <c r="Q319" s="70">
        <f>IF(VLOOKUP($A319,raw_ub[],COLUMN(Q$1),FALSE)=0, VLOOKUP($D319, regions_ub[], COLUMN(Q$1), FALSE), VLOOKUP($A319,raw_ub[],COLUMN(Q$1),FALSE))</f>
        <v>5.90642366710013</v>
      </c>
      <c r="R319" s="70">
        <f>IF(VLOOKUP($A319,raw_ub[],COLUMN(R$1),FALSE)=0, VLOOKUP($D319, regions_ub[], COLUMN(R$1), FALSE), VLOOKUP($A319,raw_ub[],COLUMN(R$1),FALSE))</f>
        <v>114.89222366710014</v>
      </c>
      <c r="S319" s="70">
        <f>IF(VLOOKUP($A319,raw_ub[],COLUMN(S$1),FALSE)=0, VLOOKUP($D319, regions_ub[], COLUMN(S$1), FALSE), VLOOKUP($A319,raw_ub[],COLUMN(S$1),FALSE))</f>
        <v>145.51694442253566</v>
      </c>
      <c r="T319" s="70">
        <f>IF(VLOOKUP($A319,raw_ub[],COLUMN(U$1)-COLUMN($A$1),FALSE)=0, VLOOKUP($D319, regions_ub[], COLUMN(U$1)-COLUMN($A$1), FALSE), VLOOKUP($A319,raw_ub[],COLUMN(U$1)-COLUMN($A$1),FALSE))</f>
        <v>146.24805247913756</v>
      </c>
      <c r="U319" s="70">
        <f>IF(VLOOKUP($A319,raw_ub[],COLUMN(V$1)-COLUMN($A$1),FALSE)=0, VLOOKUP($D319, regions_ub[], COLUMN(V$1)-COLUMN($A$1), FALSE), VLOOKUP($A319,raw_ub[],COLUMN(V$1)-COLUMN($A$1),FALSE))</f>
        <v>145.91234311320156</v>
      </c>
      <c r="V319" s="70">
        <f>IF(VLOOKUP($A319,raw_ub[],COLUMN(W$1)-COLUMN($A$1),FALSE)=0, VLOOKUP($D319, regions_ub[], COLUMN(W$1)-COLUMN($A$1), FALSE), VLOOKUP($A319,raw_ub[],COLUMN(W$1)-COLUMN($A$1),FALSE))</f>
        <v>2.1263551539244818</v>
      </c>
      <c r="W319" s="70">
        <f>IF(VLOOKUP($A319,raw_ub[],COLUMN(X$1)-COLUMN($A$1),FALSE)=0, VLOOKUP($D319, regions_ub[], COLUMN(X$1)-COLUMN($A$1), FALSE), VLOOKUP($A319,raw_ub[],COLUMN(X$1)-COLUMN($A$1),FALSE))</f>
        <v>7.1978551539244826</v>
      </c>
      <c r="X319" s="70">
        <f>IF(VLOOKUP($A319,raw_ub[],COLUMN(Y$1)-COLUMN($A$1),FALSE)=0, VLOOKUP($D319, regions_ub[], COLUMN(Y$1)-COLUMN($A$1), FALSE), VLOOKUP($A319,raw_ub[],COLUMN(Y$1)-COLUMN($A$1),FALSE))</f>
        <v>2.1110074642341967</v>
      </c>
      <c r="Y319" s="70">
        <f>IF(VLOOKUP($A319,raw_ub[],COLUMN(Z$1)-COLUMN($A$1),FALSE)=0, VLOOKUP($D319, regions_ub[], COLUMN(Z$1)-COLUMN($A$1), FALSE), VLOOKUP($A319,raw_ub[],COLUMN(Z$1)-COLUMN($A$1),FALSE))</f>
        <v>7.1825074642341971</v>
      </c>
      <c r="Z319" s="70">
        <f>IF(VLOOKUP($A319,raw_ub[],COLUMN(AA$1)-COLUMN($A$1),FALSE)=0, VLOOKUP($D319, regions_ub[], COLUMN(AA$1)-COLUMN($A$1), FALSE), VLOOKUP($A319,raw_ub[],COLUMN(AA$1)-COLUMN($A$1),FALSE))</f>
        <v>7.1743107768701844</v>
      </c>
      <c r="AA319" s="70">
        <f>IF(VLOOKUP($A319,raw_ub[],COLUMN(AB$1)-COLUMN($A$1),FALSE)=0, VLOOKUP($D319, regions_ub[], COLUMN(AB$1)-COLUMN($A$1), FALSE), VLOOKUP($A319,raw_ub[],COLUMN(AB$1)-COLUMN($A$1),FALSE))</f>
        <v>2.1298969284683937</v>
      </c>
      <c r="AB319" s="70">
        <f>IF(VLOOKUP($A319,raw_ub[],COLUMN(AC$1)-COLUMN($A$1),FALSE)=0, VLOOKUP($D319, regions_ub[], COLUMN(AC$1)-COLUMN($A$1), FALSE), VLOOKUP($A319,raw_ub[],COLUMN(AC$1)-COLUMN($A$1),FALSE))</f>
        <v>7.2013969284683945</v>
      </c>
      <c r="AC319" s="72">
        <f>IF(VLOOKUP($A319,raw_ub[],COLUMN(AD$1)-COLUMN($A$1),FALSE)=0, VLOOKUP($D319, regions_ub[], COLUMN(AD$1)-COLUMN($A$1), FALSE), VLOOKUP($A319,raw_ub[],COLUMN(AD$1)-COLUMN($A$1),FALSE))</f>
        <v>3.8863377000000053E-2</v>
      </c>
      <c r="AD319" s="72">
        <f>IF(VLOOKUP($A319,raw_ub[],COLUMN(AE$1)-COLUMN($A$1),FALSE)=0, VLOOKUP($D319, regions_ub[], COLUMN(AE$1)-COLUMN($A$1), FALSE), VLOOKUP($A319,raw_ub[],COLUMN(AE$1)-COLUMN($A$1),FALSE))</f>
        <v>4.8735473405951083E-3</v>
      </c>
      <c r="AE319" s="72">
        <f>IF(VLOOKUP($A319,raw_ub[],COLUMN(AF$1)-COLUMN($A$1),FALSE)=0, VLOOKUP($D319, regions_ub[], COLUMN(AF$1)-COLUMN($A$1), FALSE), VLOOKUP($A319,raw_ub[],COLUMN(AF$1)-COLUMN($A$1),FALSE))</f>
        <v>2.0932284666478661E-3</v>
      </c>
      <c r="AF319" s="72">
        <f>IF(VLOOKUP($A319,raw_ub[],COLUMN(AG$1)-COLUMN($A$1),FALSE)=0, VLOOKUP($D319, regions_ub[], COLUMN(AG$1)-COLUMN($A$1), FALSE), VLOOKUP($A319,raw_ub[],COLUMN(AG$1)-COLUMN($A$1),FALSE))</f>
        <v>1.6227416762766205E-3</v>
      </c>
      <c r="AG319" s="72">
        <f>IF(VLOOKUP($A319,raw_ub[],COLUMN(AH$1)-COLUMN($A$1),FALSE)=0, VLOOKUP($D319, regions_ub[], COLUMN(AH$1)-COLUMN($A$1), FALSE), VLOOKUP($A319,raw_ub[],COLUMN(AH$1)-COLUMN($A$1),FALSE))</f>
        <v>2.0003318406964488E-3</v>
      </c>
      <c r="AH319" s="72">
        <f>IF(VLOOKUP($A319,raw_ub[],COLUMN(AI$1)-COLUMN($A$1),FALSE)=0, VLOOKUP($D319, regions_ub[], COLUMN(AI$1)-COLUMN($A$1), FALSE), VLOOKUP($A319,raw_ub[],COLUMN(AI$1)-COLUMN($A$1),FALSE))</f>
        <v>2.4651045026377071E-3</v>
      </c>
      <c r="AI319" s="72">
        <f>IF(VLOOKUP($A319,raw_ub[],COLUMN(AJ$1)-COLUMN($A$1),FALSE)=0, VLOOKUP($D319, regions_ub[], COLUMN(AJ$1)-COLUMN($A$1), FALSE), VLOOKUP($A319,raw_ub[],COLUMN(AJ$1)-COLUMN($A$1),FALSE))</f>
        <v>2.8452405455671424E-3</v>
      </c>
      <c r="AJ319" s="72">
        <f>IF(VLOOKUP($A319,raw_ub[],COLUMN(AK$1)-COLUMN($A$1),FALSE)=0, VLOOKUP($D319, regions_ub[], COLUMN(AK$1)-COLUMN($A$1), FALSE), VLOOKUP($A319,raw_ub[],COLUMN(AK$1)-COLUMN($A$1),FALSE))</f>
        <v>3.6007982730363918E-3</v>
      </c>
      <c r="AK319" s="72">
        <f>IF(VLOOKUP($A319,raw_ub[],COLUMN(AL$1)-COLUMN($A$1),FALSE)=0, VLOOKUP($D319, regions_ub[], COLUMN(AL$1)-COLUMN($A$1), FALSE), VLOOKUP($A319,raw_ub[],COLUMN(AL$1)-COLUMN($A$1),FALSE))</f>
        <v>4.9835809164021907E-3</v>
      </c>
      <c r="AL319" s="72">
        <f>IF(VLOOKUP($A319,raw_ub[],COLUMN(AM$1)-COLUMN($A$1),FALSE)=0, VLOOKUP($D319, regions_ub[], COLUMN(AM$1)-COLUMN($A$1), FALSE), VLOOKUP($A319,raw_ub[],COLUMN(AM$1)-COLUMN($A$1),FALSE))</f>
        <v>6.0668035110673377E-3</v>
      </c>
      <c r="AM319" s="72">
        <f>IF(VLOOKUP($A319,raw_ub[],COLUMN(AN$1)-COLUMN($A$1),FALSE)=0, VLOOKUP($D319, regions_ub[], COLUMN(AN$1)-COLUMN($A$1), FALSE), VLOOKUP($A319,raw_ub[],COLUMN(AN$1)-COLUMN($A$1),FALSE))</f>
        <v>7.069754286869125E-3</v>
      </c>
      <c r="AN319" s="72">
        <f>IF(VLOOKUP($A319,raw_ub[],COLUMN(AO$1)-COLUMN($A$1),FALSE)=0, VLOOKUP($D319, regions_ub[], COLUMN(AO$1)-COLUMN($A$1), FALSE), VLOOKUP($A319,raw_ub[],COLUMN(AO$1)-COLUMN($A$1),FALSE))</f>
        <v>9.0632100821740023E-3</v>
      </c>
      <c r="AO319" s="72">
        <f>IF(VLOOKUP($A319,raw_ub[],COLUMN(AP$1)-COLUMN($A$1),FALSE)=0, VLOOKUP($D319, regions_ub[], COLUMN(AP$1)-COLUMN($A$1), FALSE), VLOOKUP($A319,raw_ub[],COLUMN(AP$1)-COLUMN($A$1),FALSE))</f>
        <v>1.1652523788601626E-2</v>
      </c>
      <c r="AP319" s="72">
        <f>IF(VLOOKUP($A319,raw_ub[],COLUMN(AQ$1)-COLUMN($A$1),FALSE)=0, VLOOKUP($D319, regions_ub[], COLUMN(AQ$1)-COLUMN($A$1), FALSE), VLOOKUP($A319,raw_ub[],COLUMN(AQ$1)-COLUMN($A$1),FALSE))</f>
        <v>1.7599924616462807E-2</v>
      </c>
      <c r="AQ319" s="72">
        <f>IF(VLOOKUP($A319,raw_ub[],COLUMN(AR$1)-COLUMN($A$1),FALSE)=0, VLOOKUP($D319, regions_ub[], COLUMN(AR$1)-COLUMN($A$1), FALSE), VLOOKUP($A319,raw_ub[],COLUMN(AR$1)-COLUMN($A$1),FALSE))</f>
        <v>2.7242122044630664E-2</v>
      </c>
      <c r="AR319" s="72">
        <f>IF(VLOOKUP($A319,raw_ub[],COLUMN(AS$1)-COLUMN($A$1),FALSE)=0, VLOOKUP($D319, regions_ub[], COLUMN(AS$1)-COLUMN($A$1), FALSE), VLOOKUP($A319,raw_ub[],COLUMN(AS$1)-COLUMN($A$1),FALSE))</f>
        <v>4.2521951522242571E-2</v>
      </c>
      <c r="AS319" s="72">
        <f>IF(VLOOKUP($A319,raw_ub[],COLUMN(AT$1)-COLUMN($A$1),FALSE)=0, VLOOKUP($D319, regions_ub[], COLUMN(AT$1)-COLUMN($A$1), FALSE), VLOOKUP($A319,raw_ub[],COLUMN(AT$1)-COLUMN($A$1),FALSE))</f>
        <v>6.5186753808413281E-2</v>
      </c>
      <c r="AT319" s="82">
        <f>IF(VLOOKUP($A319,raw_ub[],COLUMN(AT$1),FALSE)=0, VLOOKUP($D319, regions_ub[], COLUMN(AT$1), FALSE), VLOOKUP($A319,raw_ub[],COLUMN(AT$1),FALSE))</f>
        <v>9.5948251415376204E-2</v>
      </c>
      <c r="AU319" s="82">
        <f>IF(VLOOKUP($A319,raw_ub[],COLUMN(AU$1),FALSE)=0, VLOOKUP($D319, regions_ub[], COLUMN(AU$1), FALSE), VLOOKUP($A319,raw_ub[],COLUMN(AU$1),FALSE))</f>
        <v>0.13042135034879945</v>
      </c>
      <c r="AV319" s="82">
        <f>IF(VLOOKUP($A319,raw_ub[],COLUMN(AV$1),FALSE)=0, VLOOKUP($D319, regions_ub[], COLUMN(AV$1), FALSE), VLOOKUP($A319,raw_ub[],COLUMN(AV$1),FALSE))</f>
        <v>0.16077842641823614</v>
      </c>
      <c r="AW319" s="82">
        <f>IF(VLOOKUP($A319,raw_ub[],COLUMN(AW$1),FALSE)=0, VLOOKUP($D319, regions_ub[], COLUMN(AW$1), FALSE), VLOOKUP($A319,raw_ub[],COLUMN(AW$1),FALSE))</f>
        <v>0.18186721102615686</v>
      </c>
      <c r="AX319" s="82">
        <f>IF(VLOOKUP($A319,raw_ub[],COLUMN(AX$1),FALSE)=0, VLOOKUP($D319, regions_ub[], COLUMN(AX$1), FALSE), VLOOKUP($A319,raw_ub[],COLUMN(AX$1),FALSE))</f>
        <v>69.265349999999998</v>
      </c>
      <c r="AY319" t="str">
        <f t="shared" si="11"/>
        <v>Yes</v>
      </c>
    </row>
    <row r="320" spans="1:51" x14ac:dyDescent="0.25">
      <c r="A320" s="53" t="s">
        <v>307</v>
      </c>
      <c r="B320" s="54" t="s">
        <v>308</v>
      </c>
      <c r="C320" s="54">
        <v>242</v>
      </c>
      <c r="D320" s="54" t="s">
        <v>260</v>
      </c>
      <c r="E320" s="54" t="s">
        <v>309</v>
      </c>
      <c r="F320" s="54" t="s">
        <v>262</v>
      </c>
      <c r="G320" s="54" t="s">
        <v>204</v>
      </c>
      <c r="H320" s="73"/>
      <c r="I320" s="73"/>
      <c r="J320" s="67">
        <f>IF(VLOOKUP($A320,raw_ub[],COLUMN(J$1),FALSE)=0, VLOOKUP($D320, regions_ub[], COLUMN(J$1), FALSE), VLOOKUP($A320,raw_ub[],COLUMN(J$1),FALSE))</f>
        <v>0.999</v>
      </c>
      <c r="K320" s="77">
        <f>VLOOKUP($A320, raw_ub[], 11, FALSE)</f>
        <v>0.999</v>
      </c>
      <c r="L320" s="77">
        <f>VLOOKUP($A320, raw_ub[], 12, FALSE)</f>
        <v>0.999</v>
      </c>
      <c r="M320" s="77">
        <f>IF(VLOOKUP($A320,raw_ub[],COLUMN(M$1),FALSE)=0, VLOOKUP($D320, regions_ub[], COLUMN(M$1), FALSE), VLOOKUP($A320,raw_ub[],COLUMN(M$1),FALSE))</f>
        <v>3.3000000000000002E-2</v>
      </c>
      <c r="N320" s="68">
        <f>IF(VLOOKUP($A320,raw_ub[],COLUMN(N$1),FALSE)=0, VLOOKUP($D320, regions_ub[], COLUMN(N$1), FALSE), VLOOKUP($A320,raw_ub[],COLUMN(N$1),FALSE))</f>
        <v>0.47889999999999999</v>
      </c>
      <c r="O320" s="67">
        <f>IF(VLOOKUP($A320,raw_ub[],COLUMN(O$1),FALSE)=0, VLOOKUP($D320, regions_ub[], COLUMN(O$1), FALSE), VLOOKUP($A320,raw_ub[],COLUMN(O$1),FALSE))</f>
        <v>0.9</v>
      </c>
      <c r="P320" s="68">
        <f>IF(VLOOKUP($A320,raw_ub[],COLUMN(P$1),FALSE)=0, VLOOKUP($D320, regions_ub[], COLUMN(P$1), FALSE), VLOOKUP($A320,raw_ub[],COLUMN(P$1),FALSE))</f>
        <v>0.3</v>
      </c>
      <c r="Q320" s="70">
        <f>IF(VLOOKUP($A320,raw_ub[],COLUMN(Q$1),FALSE)=0, VLOOKUP($D320, regions_ub[], COLUMN(Q$1), FALSE), VLOOKUP($A320,raw_ub[],COLUMN(Q$1),FALSE))</f>
        <v>15.2496526663911</v>
      </c>
      <c r="R320" s="70">
        <f>IF(VLOOKUP($A320,raw_ub[],COLUMN(R$1),FALSE)=0, VLOOKUP($D320, regions_ub[], COLUMN(R$1), FALSE), VLOOKUP($A320,raw_ub[],COLUMN(R$1),FALSE))</f>
        <v>124.23545266639111</v>
      </c>
      <c r="S320" s="70">
        <f>IF(VLOOKUP($A320,raw_ub[],COLUMN(S$1),FALSE)=0, VLOOKUP($D320, regions_ub[], COLUMN(S$1), FALSE), VLOOKUP($A320,raw_ub[],COLUMN(S$1),FALSE))</f>
        <v>172.8532387939683</v>
      </c>
      <c r="T320" s="70">
        <f>IF(VLOOKUP($A320,raw_ub[],COLUMN(U$1)-COLUMN($A$1),FALSE)=0, VLOOKUP($D320, regions_ub[], COLUMN(U$1)-COLUMN($A$1), FALSE), VLOOKUP($A320,raw_ub[],COLUMN(U$1)-COLUMN($A$1),FALSE))</f>
        <v>182.9491084984887</v>
      </c>
      <c r="U320" s="70">
        <f>IF(VLOOKUP($A320,raw_ub[],COLUMN(V$1)-COLUMN($A$1),FALSE)=0, VLOOKUP($D320, regions_ub[], COLUMN(V$1)-COLUMN($A$1), FALSE), VLOOKUP($A320,raw_ub[],COLUMN(V$1)-COLUMN($A$1),FALSE))</f>
        <v>178.31329852967241</v>
      </c>
      <c r="V320" s="70">
        <f>IF(VLOOKUP($A320,raw_ub[],COLUMN(W$1)-COLUMN($A$1),FALSE)=0, VLOOKUP($D320, regions_ub[], COLUMN(W$1)-COLUMN($A$1), FALSE), VLOOKUP($A320,raw_ub[],COLUMN(W$1)-COLUMN($A$1),FALSE))</f>
        <v>18.966321508477463</v>
      </c>
      <c r="W320" s="70">
        <f>IF(VLOOKUP($A320,raw_ub[],COLUMN(X$1)-COLUMN($A$1),FALSE)=0, VLOOKUP($D320, regions_ub[], COLUMN(X$1)-COLUMN($A$1), FALSE), VLOOKUP($A320,raw_ub[],COLUMN(X$1)-COLUMN($A$1),FALSE))</f>
        <v>19.627821508477464</v>
      </c>
      <c r="X320" s="70">
        <f>IF(VLOOKUP($A320,raw_ub[],COLUMN(Y$1)-COLUMN($A$1),FALSE)=0, VLOOKUP($D320, regions_ub[], COLUMN(Y$1)-COLUMN($A$1), FALSE), VLOOKUP($A320,raw_ub[],COLUMN(Y$1)-COLUMN($A$1),FALSE))</f>
        <v>18.937130901228944</v>
      </c>
      <c r="Y320" s="70">
        <f>IF(VLOOKUP($A320,raw_ub[],COLUMN(Z$1)-COLUMN($A$1),FALSE)=0, VLOOKUP($D320, regions_ub[], COLUMN(Z$1)-COLUMN($A$1), FALSE), VLOOKUP($A320,raw_ub[],COLUMN(Z$1)-COLUMN($A$1),FALSE))</f>
        <v>19.598630901228944</v>
      </c>
      <c r="Z320" s="70">
        <f>IF(VLOOKUP($A320,raw_ub[],COLUMN(AA$1)-COLUMN($A$1),FALSE)=0, VLOOKUP($D320, regions_ub[], COLUMN(AA$1)-COLUMN($A$1), FALSE), VLOOKUP($A320,raw_ub[],COLUMN(AA$1)-COLUMN($A$1),FALSE))</f>
        <v>19.582996967550628</v>
      </c>
      <c r="AA320" s="70">
        <f>IF(VLOOKUP($A320,raw_ub[],COLUMN(AB$1)-COLUMN($A$1),FALSE)=0, VLOOKUP($D320, regions_ub[], COLUMN(AB$1)-COLUMN($A$1), FALSE), VLOOKUP($A320,raw_ub[],COLUMN(AB$1)-COLUMN($A$1),FALSE))</f>
        <v>18.973057802457888</v>
      </c>
      <c r="AB320" s="70">
        <f>IF(VLOOKUP($A320,raw_ub[],COLUMN(AC$1)-COLUMN($A$1),FALSE)=0, VLOOKUP($D320, regions_ub[], COLUMN(AC$1)-COLUMN($A$1), FALSE), VLOOKUP($A320,raw_ub[],COLUMN(AC$1)-COLUMN($A$1),FALSE))</f>
        <v>19.634557802457888</v>
      </c>
      <c r="AC320" s="72">
        <f>IF(VLOOKUP($A320,raw_ub[],COLUMN(AD$1)-COLUMN($A$1),FALSE)=0, VLOOKUP($D320, regions_ub[], COLUMN(AD$1)-COLUMN($A$1), FALSE), VLOOKUP($A320,raw_ub[],COLUMN(AD$1)-COLUMN($A$1),FALSE))</f>
        <v>2.1343864499999962E-2</v>
      </c>
      <c r="AD320" s="72">
        <f>IF(VLOOKUP($A320,raw_ub[],COLUMN(AE$1)-COLUMN($A$1),FALSE)=0, VLOOKUP($D320, regions_ub[], COLUMN(AE$1)-COLUMN($A$1), FALSE), VLOOKUP($A320,raw_ub[],COLUMN(AE$1)-COLUMN($A$1),FALSE))</f>
        <v>1.1514097705977286E-3</v>
      </c>
      <c r="AE320" s="72">
        <f>IF(VLOOKUP($A320,raw_ub[],COLUMN(AF$1)-COLUMN($A$1),FALSE)=0, VLOOKUP($D320, regions_ub[], COLUMN(AF$1)-COLUMN($A$1), FALSE), VLOOKUP($A320,raw_ub[],COLUMN(AF$1)-COLUMN($A$1),FALSE))</f>
        <v>7.6466347032452613E-4</v>
      </c>
      <c r="AF320" s="72">
        <f>IF(VLOOKUP($A320,raw_ub[],COLUMN(AG$1)-COLUMN($A$1),FALSE)=0, VLOOKUP($D320, regions_ub[], COLUMN(AG$1)-COLUMN($A$1), FALSE), VLOOKUP($A320,raw_ub[],COLUMN(AG$1)-COLUMN($A$1),FALSE))</f>
        <v>7.1269681655038056E-4</v>
      </c>
      <c r="AG320" s="72">
        <f>IF(VLOOKUP($A320,raw_ub[],COLUMN(AH$1)-COLUMN($A$1),FALSE)=0, VLOOKUP($D320, regions_ub[], COLUMN(AH$1)-COLUMN($A$1), FALSE), VLOOKUP($A320,raw_ub[],COLUMN(AH$1)-COLUMN($A$1),FALSE))</f>
        <v>1.5944725838374597E-3</v>
      </c>
      <c r="AH320" s="72">
        <f>IF(VLOOKUP($A320,raw_ub[],COLUMN(AI$1)-COLUMN($A$1),FALSE)=0, VLOOKUP($D320, regions_ub[], COLUMN(AI$1)-COLUMN($A$1), FALSE), VLOOKUP($A320,raw_ub[],COLUMN(AI$1)-COLUMN($A$1),FALSE))</f>
        <v>2.264153410903076E-3</v>
      </c>
      <c r="AI320" s="72">
        <f>IF(VLOOKUP($A320,raw_ub[],COLUMN(AJ$1)-COLUMN($A$1),FALSE)=0, VLOOKUP($D320, regions_ub[], COLUMN(AJ$1)-COLUMN($A$1), FALSE), VLOOKUP($A320,raw_ub[],COLUMN(AJ$1)-COLUMN($A$1),FALSE))</f>
        <v>2.5111045723504497E-3</v>
      </c>
      <c r="AJ320" s="72">
        <f>IF(VLOOKUP($A320,raw_ub[],COLUMN(AK$1)-COLUMN($A$1),FALSE)=0, VLOOKUP($D320, regions_ub[], COLUMN(AK$1)-COLUMN($A$1), FALSE), VLOOKUP($A320,raw_ub[],COLUMN(AK$1)-COLUMN($A$1),FALSE))</f>
        <v>2.9441933324999294E-3</v>
      </c>
      <c r="AK320" s="72">
        <f>IF(VLOOKUP($A320,raw_ub[],COLUMN(AL$1)-COLUMN($A$1),FALSE)=0, VLOOKUP($D320, regions_ub[], COLUMN(AL$1)-COLUMN($A$1), FALSE), VLOOKUP($A320,raw_ub[],COLUMN(AL$1)-COLUMN($A$1),FALSE))</f>
        <v>3.7710238322378534E-3</v>
      </c>
      <c r="AL320" s="72">
        <f>IF(VLOOKUP($A320,raw_ub[],COLUMN(AM$1)-COLUMN($A$1),FALSE)=0, VLOOKUP($D320, regions_ub[], COLUMN(AM$1)-COLUMN($A$1), FALSE), VLOOKUP($A320,raw_ub[],COLUMN(AM$1)-COLUMN($A$1),FALSE))</f>
        <v>5.0807828777867849E-3</v>
      </c>
      <c r="AM320" s="72">
        <f>IF(VLOOKUP($A320,raw_ub[],COLUMN(AN$1)-COLUMN($A$1),FALSE)=0, VLOOKUP($D320, regions_ub[], COLUMN(AN$1)-COLUMN($A$1), FALSE), VLOOKUP($A320,raw_ub[],COLUMN(AN$1)-COLUMN($A$1),FALSE))</f>
        <v>7.2099280045811237E-3</v>
      </c>
      <c r="AN320" s="72">
        <f>IF(VLOOKUP($A320,raw_ub[],COLUMN(AO$1)-COLUMN($A$1),FALSE)=0, VLOOKUP($D320, regions_ub[], COLUMN(AO$1)-COLUMN($A$1), FALSE), VLOOKUP($A320,raw_ub[],COLUMN(AO$1)-COLUMN($A$1),FALSE))</f>
        <v>1.0410122629183274E-2</v>
      </c>
      <c r="AO320" s="72">
        <f>IF(VLOOKUP($A320,raw_ub[],COLUMN(AP$1)-COLUMN($A$1),FALSE)=0, VLOOKUP($D320, regions_ub[], COLUMN(AP$1)-COLUMN($A$1), FALSE), VLOOKUP($A320,raw_ub[],COLUMN(AP$1)-COLUMN($A$1),FALSE))</f>
        <v>1.5120178360183995E-2</v>
      </c>
      <c r="AP320" s="72">
        <f>IF(VLOOKUP($A320,raw_ub[],COLUMN(AQ$1)-COLUMN($A$1),FALSE)=0, VLOOKUP($D320, regions_ub[], COLUMN(AQ$1)-COLUMN($A$1), FALSE), VLOOKUP($A320,raw_ub[],COLUMN(AQ$1)-COLUMN($A$1),FALSE))</f>
        <v>2.3500065495571713E-2</v>
      </c>
      <c r="AQ320" s="72">
        <f>IF(VLOOKUP($A320,raw_ub[],COLUMN(AR$1)-COLUMN($A$1),FALSE)=0, VLOOKUP($D320, regions_ub[], COLUMN(AR$1)-COLUMN($A$1), FALSE), VLOOKUP($A320,raw_ub[],COLUMN(AR$1)-COLUMN($A$1),FALSE))</f>
        <v>3.6477982690851278E-2</v>
      </c>
      <c r="AR320" s="72">
        <f>IF(VLOOKUP($A320,raw_ub[],COLUMN(AS$1)-COLUMN($A$1),FALSE)=0, VLOOKUP($D320, regions_ub[], COLUMN(AS$1)-COLUMN($A$1), FALSE), VLOOKUP($A320,raw_ub[],COLUMN(AS$1)-COLUMN($A$1),FALSE))</f>
        <v>5.4861155548274983E-2</v>
      </c>
      <c r="AS320" s="72">
        <f>IF(VLOOKUP($A320,raw_ub[],COLUMN(AT$1)-COLUMN($A$1),FALSE)=0, VLOOKUP($D320, regions_ub[], COLUMN(AT$1)-COLUMN($A$1), FALSE), VLOOKUP($A320,raw_ub[],COLUMN(AT$1)-COLUMN($A$1),FALSE))</f>
        <v>8.0044787789601404E-2</v>
      </c>
      <c r="AT320" s="82">
        <f>IF(VLOOKUP($A320,raw_ub[],COLUMN(AT$1),FALSE)=0, VLOOKUP($D320, regions_ub[], COLUMN(AT$1), FALSE), VLOOKUP($A320,raw_ub[],COLUMN(AT$1),FALSE))</f>
        <v>0.11284727802654002</v>
      </c>
      <c r="AU320" s="82">
        <f>IF(VLOOKUP($A320,raw_ub[],COLUMN(AU$1),FALSE)=0, VLOOKUP($D320, regions_ub[], COLUMN(AU$1), FALSE), VLOOKUP($A320,raw_ub[],COLUMN(AU$1),FALSE))</f>
        <v>0.14811491462671822</v>
      </c>
      <c r="AV320" s="82">
        <f>IF(VLOOKUP($A320,raw_ub[],COLUMN(AV$1),FALSE)=0, VLOOKUP($D320, regions_ub[], COLUMN(AV$1), FALSE), VLOOKUP($A320,raw_ub[],COLUMN(AV$1),FALSE))</f>
        <v>0.17576249145514306</v>
      </c>
      <c r="AW320" s="82">
        <f>IF(VLOOKUP($A320,raw_ub[],COLUMN(AW$1),FALSE)=0, VLOOKUP($D320, regions_ub[], COLUMN(AW$1), FALSE), VLOOKUP($A320,raw_ub[],COLUMN(AW$1),FALSE))</f>
        <v>0.19274997976468136</v>
      </c>
      <c r="AX320" s="82">
        <f>IF(VLOOKUP($A320,raw_ub[],COLUMN(AX$1),FALSE)=0, VLOOKUP($D320, regions_ub[], COLUMN(AX$1), FALSE), VLOOKUP($A320,raw_ub[],COLUMN(AX$1),FALSE))</f>
        <v>70.636650000000003</v>
      </c>
      <c r="AY320" t="str">
        <f t="shared" si="11"/>
        <v>No</v>
      </c>
    </row>
    <row r="321" spans="1:51" x14ac:dyDescent="0.25">
      <c r="A321" s="55" t="s">
        <v>310</v>
      </c>
      <c r="B321" s="56" t="s">
        <v>311</v>
      </c>
      <c r="C321" s="56">
        <v>266</v>
      </c>
      <c r="D321" s="56" t="s">
        <v>207</v>
      </c>
      <c r="E321" s="56" t="s">
        <v>210</v>
      </c>
      <c r="F321" s="56" t="s">
        <v>211</v>
      </c>
      <c r="G321" s="56" t="s">
        <v>204</v>
      </c>
      <c r="H321" s="74"/>
      <c r="I321" s="74"/>
      <c r="J321" s="67">
        <f>IF(VLOOKUP($A321,raw_ub[],COLUMN(J$1),FALSE)=0, VLOOKUP($D321, regions_ub[], COLUMN(J$1), FALSE), VLOOKUP($A321,raw_ub[],COLUMN(J$1),FALSE))</f>
        <v>0.94710000000000005</v>
      </c>
      <c r="K321" s="77">
        <f>VLOOKUP($A321, raw_ub[], 11, FALSE)</f>
        <v>0</v>
      </c>
      <c r="L321" s="77">
        <f>VLOOKUP($A321, raw_ub[], 12, FALSE)</f>
        <v>0.66150000000000009</v>
      </c>
      <c r="M321" s="77">
        <f>IF(VLOOKUP($A321,raw_ub[],COLUMN(M$1),FALSE)=0, VLOOKUP($D321, regions_ub[], COLUMN(M$1), FALSE), VLOOKUP($A321,raw_ub[],COLUMN(M$1),FALSE))</f>
        <v>7.9299999999999995E-2</v>
      </c>
      <c r="N321" s="68">
        <f>IF(VLOOKUP($A321,raw_ub[],COLUMN(N$1),FALSE)=0, VLOOKUP($D321, regions_ub[], COLUMN(N$1), FALSE), VLOOKUP($A321,raw_ub[],COLUMN(N$1),FALSE))</f>
        <v>0.40200000000000002</v>
      </c>
      <c r="O321" s="67">
        <f>IF(VLOOKUP($A321,raw_ub[],COLUMN(O$1),FALSE)=0, VLOOKUP($D321, regions_ub[], COLUMN(O$1), FALSE), VLOOKUP($A321,raw_ub[],COLUMN(O$1),FALSE))</f>
        <v>0.74399999999999999</v>
      </c>
      <c r="P321" s="68">
        <f>IF(VLOOKUP($A321,raw_ub[],COLUMN(P$1),FALSE)=0, VLOOKUP($D321, regions_ub[], COLUMN(P$1), FALSE), VLOOKUP($A321,raw_ub[],COLUMN(P$1),FALSE))</f>
        <v>0.13300000000000001</v>
      </c>
      <c r="Q321" s="70">
        <f>IF(VLOOKUP($A321,raw_ub[],COLUMN(Q$1),FALSE)=0, VLOOKUP($D321, regions_ub[], COLUMN(Q$1), FALSE), VLOOKUP($A321,raw_ub[],COLUMN(Q$1),FALSE))</f>
        <v>36.485351747609499</v>
      </c>
      <c r="R321" s="70">
        <f>IF(VLOOKUP($A321,raw_ub[],COLUMN(R$1),FALSE)=0, VLOOKUP($D321, regions_ub[], COLUMN(R$1), FALSE), VLOOKUP($A321,raw_ub[],COLUMN(R$1),FALSE))</f>
        <v>145.4711517476095</v>
      </c>
      <c r="S321" s="70">
        <f>IF(VLOOKUP($A321,raw_ub[],COLUMN(S$1),FALSE)=0, VLOOKUP($D321, regions_ub[], COLUMN(S$1), FALSE), VLOOKUP($A321,raw_ub[],COLUMN(S$1),FALSE))</f>
        <v>261.73905357060028</v>
      </c>
      <c r="T321" s="70">
        <f>IF(VLOOKUP($A321,raw_ub[],COLUMN(U$1)-COLUMN($A$1),FALSE)=0, VLOOKUP($D321, regions_ub[], COLUMN(U$1)-COLUMN($A$1), FALSE), VLOOKUP($A321,raw_ub[],COLUMN(U$1)-COLUMN($A$1),FALSE))</f>
        <v>307.04444404541346</v>
      </c>
      <c r="U321" s="70">
        <f>IF(VLOOKUP($A321,raw_ub[],COLUMN(V$1)-COLUMN($A$1),FALSE)=0, VLOOKUP($D321, regions_ub[], COLUMN(V$1)-COLUMN($A$1), FALSE), VLOOKUP($A321,raw_ub[],COLUMN(V$1)-COLUMN($A$1),FALSE))</f>
        <v>286.24116637333589</v>
      </c>
      <c r="V321" s="70">
        <f>IF(VLOOKUP($A321,raw_ub[],COLUMN(W$1)-COLUMN($A$1),FALSE)=0, VLOOKUP($D321, regions_ub[], COLUMN(W$1)-COLUMN($A$1), FALSE), VLOOKUP($A321,raw_ub[],COLUMN(W$1)-COLUMN($A$1),FALSE))</f>
        <v>9.2091223504285953</v>
      </c>
      <c r="W321" s="70">
        <f>IF(VLOOKUP($A321,raw_ub[],COLUMN(X$1)-COLUMN($A$1),FALSE)=0, VLOOKUP($D321, regions_ub[], COLUMN(X$1)-COLUMN($A$1), FALSE), VLOOKUP($A321,raw_ub[],COLUMN(X$1)-COLUMN($A$1),FALSE))</f>
        <v>14.280622350428596</v>
      </c>
      <c r="X321" s="70">
        <f>IF(VLOOKUP($A321,raw_ub[],COLUMN(Y$1)-COLUMN($A$1),FALSE)=0, VLOOKUP($D321, regions_ub[], COLUMN(Y$1)-COLUMN($A$1), FALSE), VLOOKUP($A321,raw_ub[],COLUMN(Y$1)-COLUMN($A$1),FALSE))</f>
        <v>9.1695340554088798</v>
      </c>
      <c r="Y321" s="70">
        <f>IF(VLOOKUP($A321,raw_ub[],COLUMN(Z$1)-COLUMN($A$1),FALSE)=0, VLOOKUP($D321, regions_ub[], COLUMN(Z$1)-COLUMN($A$1), FALSE), VLOOKUP($A321,raw_ub[],COLUMN(Z$1)-COLUMN($A$1),FALSE))</f>
        <v>14.24103405540888</v>
      </c>
      <c r="Z321" s="70">
        <f>IF(VLOOKUP($A321,raw_ub[],COLUMN(AA$1)-COLUMN($A$1),FALSE)=0, VLOOKUP($D321, regions_ub[], COLUMN(AA$1)-COLUMN($A$1), FALSE), VLOOKUP($A321,raw_ub[],COLUMN(AA$1)-COLUMN($A$1),FALSE))</f>
        <v>14.219921820216092</v>
      </c>
      <c r="AA321" s="70">
        <f>IF(VLOOKUP($A321,raw_ub[],COLUMN(AB$1)-COLUMN($A$1),FALSE)=0, VLOOKUP($D321, regions_ub[], COLUMN(AB$1)-COLUMN($A$1), FALSE), VLOOKUP($A321,raw_ub[],COLUMN(AB$1)-COLUMN($A$1),FALSE))</f>
        <v>9.2182581108177608</v>
      </c>
      <c r="AB321" s="70">
        <f>IF(VLOOKUP($A321,raw_ub[],COLUMN(AC$1)-COLUMN($A$1),FALSE)=0, VLOOKUP($D321, regions_ub[], COLUMN(AC$1)-COLUMN($A$1), FALSE), VLOOKUP($A321,raw_ub[],COLUMN(AC$1)-COLUMN($A$1),FALSE))</f>
        <v>14.289758110817761</v>
      </c>
      <c r="AC321" s="72">
        <f>IF(VLOOKUP($A321,raw_ub[],COLUMN(AD$1)-COLUMN($A$1),FALSE)=0, VLOOKUP($D321, regions_ub[], COLUMN(AD$1)-COLUMN($A$1), FALSE), VLOOKUP($A321,raw_ub[],COLUMN(AD$1)-COLUMN($A$1),FALSE))</f>
        <v>3.7053502499999988E-2</v>
      </c>
      <c r="AD321" s="72">
        <f>IF(VLOOKUP($A321,raw_ub[],COLUMN(AE$1)-COLUMN($A$1),FALSE)=0, VLOOKUP($D321, regions_ub[], COLUMN(AE$1)-COLUMN($A$1), FALSE), VLOOKUP($A321,raw_ub[],COLUMN(AE$1)-COLUMN($A$1),FALSE))</f>
        <v>3.4463379937793742E-3</v>
      </c>
      <c r="AE321" s="72">
        <f>IF(VLOOKUP($A321,raw_ub[],COLUMN(AF$1)-COLUMN($A$1),FALSE)=0, VLOOKUP($D321, regions_ub[], COLUMN(AF$1)-COLUMN($A$1), FALSE), VLOOKUP($A321,raw_ub[],COLUMN(AF$1)-COLUMN($A$1),FALSE))</f>
        <v>1.495894181931569E-3</v>
      </c>
      <c r="AF321" s="72">
        <f>IF(VLOOKUP($A321,raw_ub[],COLUMN(AG$1)-COLUMN($A$1),FALSE)=0, VLOOKUP($D321, regions_ub[], COLUMN(AG$1)-COLUMN($A$1), FALSE), VLOOKUP($A321,raw_ub[],COLUMN(AG$1)-COLUMN($A$1),FALSE))</f>
        <v>1.0677132360660689E-3</v>
      </c>
      <c r="AG321" s="72">
        <f>IF(VLOOKUP($A321,raw_ub[],COLUMN(AH$1)-COLUMN($A$1),FALSE)=0, VLOOKUP($D321, regions_ub[], COLUMN(AH$1)-COLUMN($A$1), FALSE), VLOOKUP($A321,raw_ub[],COLUMN(AH$1)-COLUMN($A$1),FALSE))</f>
        <v>1.7672972366569145E-3</v>
      </c>
      <c r="AH321" s="72">
        <f>IF(VLOOKUP($A321,raw_ub[],COLUMN(AI$1)-COLUMN($A$1),FALSE)=0, VLOOKUP($D321, regions_ub[], COLUMN(AI$1)-COLUMN($A$1), FALSE), VLOOKUP($A321,raw_ub[],COLUMN(AI$1)-COLUMN($A$1),FALSE))</f>
        <v>2.5747785909020363E-3</v>
      </c>
      <c r="AI321" s="72">
        <f>IF(VLOOKUP($A321,raw_ub[],COLUMN(AJ$1)-COLUMN($A$1),FALSE)=0, VLOOKUP($D321, regions_ub[], COLUMN(AJ$1)-COLUMN($A$1), FALSE), VLOOKUP($A321,raw_ub[],COLUMN(AJ$1)-COLUMN($A$1),FALSE))</f>
        <v>2.9432444823779256E-3</v>
      </c>
      <c r="AJ321" s="72">
        <f>IF(VLOOKUP($A321,raw_ub[],COLUMN(AK$1)-COLUMN($A$1),FALSE)=0, VLOOKUP($D321, regions_ub[], COLUMN(AK$1)-COLUMN($A$1), FALSE), VLOOKUP($A321,raw_ub[],COLUMN(AK$1)-COLUMN($A$1),FALSE))</f>
        <v>3.4246067865379413E-3</v>
      </c>
      <c r="AK321" s="72">
        <f>IF(VLOOKUP($A321,raw_ub[],COLUMN(AL$1)-COLUMN($A$1),FALSE)=0, VLOOKUP($D321, regions_ub[], COLUMN(AL$1)-COLUMN($A$1), FALSE), VLOOKUP($A321,raw_ub[],COLUMN(AL$1)-COLUMN($A$1),FALSE))</f>
        <v>4.1658041736249473E-3</v>
      </c>
      <c r="AL321" s="72">
        <f>IF(VLOOKUP($A321,raw_ub[],COLUMN(AM$1)-COLUMN($A$1),FALSE)=0, VLOOKUP($D321, regions_ub[], COLUMN(AM$1)-COLUMN($A$1), FALSE), VLOOKUP($A321,raw_ub[],COLUMN(AM$1)-COLUMN($A$1),FALSE))</f>
        <v>5.2944684252241971E-3</v>
      </c>
      <c r="AM321" s="72">
        <f>IF(VLOOKUP($A321,raw_ub[],COLUMN(AN$1)-COLUMN($A$1),FALSE)=0, VLOOKUP($D321, regions_ub[], COLUMN(AN$1)-COLUMN($A$1), FALSE), VLOOKUP($A321,raw_ub[],COLUMN(AN$1)-COLUMN($A$1),FALSE))</f>
        <v>6.7402147866258656E-3</v>
      </c>
      <c r="AN321" s="72">
        <f>IF(VLOOKUP($A321,raw_ub[],COLUMN(AO$1)-COLUMN($A$1),FALSE)=0, VLOOKUP($D321, regions_ub[], COLUMN(AO$1)-COLUMN($A$1), FALSE), VLOOKUP($A321,raw_ub[],COLUMN(AO$1)-COLUMN($A$1),FALSE))</f>
        <v>9.6528266423356133E-3</v>
      </c>
      <c r="AO321" s="72">
        <f>IF(VLOOKUP($A321,raw_ub[],COLUMN(AP$1)-COLUMN($A$1),FALSE)=0, VLOOKUP($D321, regions_ub[], COLUMN(AP$1)-COLUMN($A$1), FALSE), VLOOKUP($A321,raw_ub[],COLUMN(AP$1)-COLUMN($A$1),FALSE))</f>
        <v>1.2995081423133124E-2</v>
      </c>
      <c r="AP321" s="72">
        <f>IF(VLOOKUP($A321,raw_ub[],COLUMN(AQ$1)-COLUMN($A$1),FALSE)=0, VLOOKUP($D321, regions_ub[], COLUMN(AQ$1)-COLUMN($A$1), FALSE), VLOOKUP($A321,raw_ub[],COLUMN(AQ$1)-COLUMN($A$1),FALSE))</f>
        <v>1.9728221067850035E-2</v>
      </c>
      <c r="AQ321" s="72">
        <f>IF(VLOOKUP($A321,raw_ub[],COLUMN(AR$1)-COLUMN($A$1),FALSE)=0, VLOOKUP($D321, regions_ub[], COLUMN(AR$1)-COLUMN($A$1), FALSE), VLOOKUP($A321,raw_ub[],COLUMN(AR$1)-COLUMN($A$1),FALSE))</f>
        <v>3.0693129810232825E-2</v>
      </c>
      <c r="AR321" s="72">
        <f>IF(VLOOKUP($A321,raw_ub[],COLUMN(AS$1)-COLUMN($A$1),FALSE)=0, VLOOKUP($D321, regions_ub[], COLUMN(AS$1)-COLUMN($A$1), FALSE), VLOOKUP($A321,raw_ub[],COLUMN(AS$1)-COLUMN($A$1),FALSE))</f>
        <v>4.7746477698816833E-2</v>
      </c>
      <c r="AS321" s="72">
        <f>IF(VLOOKUP($A321,raw_ub[],COLUMN(AT$1)-COLUMN($A$1),FALSE)=0, VLOOKUP($D321, regions_ub[], COLUMN(AT$1)-COLUMN($A$1), FALSE), VLOOKUP($A321,raw_ub[],COLUMN(AT$1)-COLUMN($A$1),FALSE))</f>
        <v>7.3214564947794186E-2</v>
      </c>
      <c r="AT321" s="82">
        <f>IF(VLOOKUP($A321,raw_ub[],COLUMN(AT$1),FALSE)=0, VLOOKUP($D321, regions_ub[], COLUMN(AT$1), FALSE), VLOOKUP($A321,raw_ub[],COLUMN(AT$1),FALSE))</f>
        <v>0.10935768694579009</v>
      </c>
      <c r="AU321" s="82">
        <f>IF(VLOOKUP($A321,raw_ub[],COLUMN(AU$1),FALSE)=0, VLOOKUP($D321, regions_ub[], COLUMN(AU$1), FALSE), VLOOKUP($A321,raw_ub[],COLUMN(AU$1),FALSE))</f>
        <v>0.15135489710843703</v>
      </c>
      <c r="AV321" s="82">
        <f>IF(VLOOKUP($A321,raw_ub[],COLUMN(AV$1),FALSE)=0, VLOOKUP($D321, regions_ub[], COLUMN(AV$1), FALSE), VLOOKUP($A321,raw_ub[],COLUMN(AV$1),FALSE))</f>
        <v>0.18728235699113696</v>
      </c>
      <c r="AW321" s="82">
        <f>IF(VLOOKUP($A321,raw_ub[],COLUMN(AW$1),FALSE)=0, VLOOKUP($D321, regions_ub[], COLUMN(AW$1), FALSE), VLOOKUP($A321,raw_ub[],COLUMN(AW$1),FALSE))</f>
        <v>0.19901805121162308</v>
      </c>
      <c r="AX321" s="82">
        <f>IF(VLOOKUP($A321,raw_ub[],COLUMN(AX$1),FALSE)=0, VLOOKUP($D321, regions_ub[], COLUMN(AX$1), FALSE), VLOOKUP($A321,raw_ub[],COLUMN(AX$1),FALSE))</f>
        <v>69.363</v>
      </c>
      <c r="AY321" t="str">
        <f t="shared" si="11"/>
        <v>Yes</v>
      </c>
    </row>
    <row r="322" spans="1:51" x14ac:dyDescent="0.25">
      <c r="A322" s="53" t="s">
        <v>312</v>
      </c>
      <c r="B322" s="54" t="s">
        <v>313</v>
      </c>
      <c r="C322" s="54">
        <v>270</v>
      </c>
      <c r="D322" s="54" t="s">
        <v>207</v>
      </c>
      <c r="E322" s="54" t="s">
        <v>235</v>
      </c>
      <c r="F322" s="54" t="s">
        <v>211</v>
      </c>
      <c r="G322" s="54" t="s">
        <v>198</v>
      </c>
      <c r="H322" s="73"/>
      <c r="I322" s="73"/>
      <c r="J322" s="67">
        <f>IF(VLOOKUP($A322,raw_ub[],COLUMN(J$1),FALSE)=0, VLOOKUP($D322, regions_ub[], COLUMN(J$1), FALSE), VLOOKUP($A322,raw_ub[],COLUMN(J$1),FALSE))</f>
        <v>0.87885000000000013</v>
      </c>
      <c r="K322" s="77">
        <f>VLOOKUP($A322, raw_ub[], 11, FALSE)</f>
        <v>0</v>
      </c>
      <c r="L322" s="77">
        <f>VLOOKUP($A322, raw_ub[], 12, FALSE)</f>
        <v>0.92400000000000004</v>
      </c>
      <c r="M322" s="77">
        <f>IF(VLOOKUP($A322,raw_ub[],COLUMN(M$1),FALSE)=0, VLOOKUP($D322, regions_ub[], COLUMN(M$1), FALSE), VLOOKUP($A322,raw_ub[],COLUMN(M$1),FALSE))</f>
        <v>5.9900000000000002E-2</v>
      </c>
      <c r="N322" s="68">
        <f>IF(VLOOKUP($A322,raw_ub[],COLUMN(N$1),FALSE)=0, VLOOKUP($D322, regions_ub[], COLUMN(N$1), FALSE), VLOOKUP($A322,raw_ub[],COLUMN(N$1),FALSE))</f>
        <v>0.41070000000000001</v>
      </c>
      <c r="O322" s="67">
        <f>IF(VLOOKUP($A322,raw_ub[],COLUMN(O$1),FALSE)=0, VLOOKUP($D322, regions_ub[], COLUMN(O$1), FALSE), VLOOKUP($A322,raw_ub[],COLUMN(O$1),FALSE))</f>
        <v>0.74399999999999999</v>
      </c>
      <c r="P322" s="68">
        <f>IF(VLOOKUP($A322,raw_ub[],COLUMN(P$1),FALSE)=0, VLOOKUP($D322, regions_ub[], COLUMN(P$1), FALSE), VLOOKUP($A322,raw_ub[],COLUMN(P$1),FALSE))</f>
        <v>0.13300000000000001</v>
      </c>
      <c r="Q322" s="70">
        <f>IF(VLOOKUP($A322,raw_ub[],COLUMN(Q$1),FALSE)=0, VLOOKUP($D322, regions_ub[], COLUMN(Q$1), FALSE), VLOOKUP($A322,raw_ub[],COLUMN(Q$1),FALSE))</f>
        <v>7.7796446356855995</v>
      </c>
      <c r="R322" s="70">
        <f>IF(VLOOKUP($A322,raw_ub[],COLUMN(R$1),FALSE)=0, VLOOKUP($D322, regions_ub[], COLUMN(R$1), FALSE), VLOOKUP($A322,raw_ub[],COLUMN(R$1),FALSE))</f>
        <v>116.76544463568561</v>
      </c>
      <c r="S322" s="70">
        <f>IF(VLOOKUP($A322,raw_ub[],COLUMN(S$1),FALSE)=0, VLOOKUP($D322, regions_ub[], COLUMN(S$1), FALSE), VLOOKUP($A322,raw_ub[],COLUMN(S$1),FALSE))</f>
        <v>149.99459280564309</v>
      </c>
      <c r="T322" s="70">
        <f>IF(VLOOKUP($A322,raw_ub[],COLUMN(U$1)-COLUMN($A$1),FALSE)=0, VLOOKUP($D322, regions_ub[], COLUMN(U$1)-COLUMN($A$1), FALSE), VLOOKUP($A322,raw_ub[],COLUMN(U$1)-COLUMN($A$1),FALSE))</f>
        <v>152.08121430377707</v>
      </c>
      <c r="U322" s="70">
        <f>IF(VLOOKUP($A322,raw_ub[],COLUMN(V$1)-COLUMN($A$1),FALSE)=0, VLOOKUP($D322, regions_ub[], COLUMN(V$1)-COLUMN($A$1), FALSE), VLOOKUP($A322,raw_ub[],COLUMN(V$1)-COLUMN($A$1),FALSE))</f>
        <v>151.1230818173936</v>
      </c>
      <c r="V322" s="70">
        <f>IF(VLOOKUP($A322,raw_ub[],COLUMN(W$1)-COLUMN($A$1),FALSE)=0, VLOOKUP($D322, regions_ub[], COLUMN(W$1)-COLUMN($A$1), FALSE), VLOOKUP($A322,raw_ub[],COLUMN(W$1)-COLUMN($A$1),FALSE))</f>
        <v>8.9736583110990349</v>
      </c>
      <c r="W322" s="70">
        <f>IF(VLOOKUP($A322,raw_ub[],COLUMN(X$1)-COLUMN($A$1),FALSE)=0, VLOOKUP($D322, regions_ub[], COLUMN(X$1)-COLUMN($A$1), FALSE), VLOOKUP($A322,raw_ub[],COLUMN(X$1)-COLUMN($A$1),FALSE))</f>
        <v>14.045158311099035</v>
      </c>
      <c r="X322" s="70">
        <f>IF(VLOOKUP($A322,raw_ub[],COLUMN(Y$1)-COLUMN($A$1),FALSE)=0, VLOOKUP($D322, regions_ub[], COLUMN(Y$1)-COLUMN($A$1), FALSE), VLOOKUP($A322,raw_ub[],COLUMN(Y$1)-COLUMN($A$1),FALSE))</f>
        <v>8.9610840337098132</v>
      </c>
      <c r="Y322" s="70">
        <f>IF(VLOOKUP($A322,raw_ub[],COLUMN(Z$1)-COLUMN($A$1),FALSE)=0, VLOOKUP($D322, regions_ub[], COLUMN(Z$1)-COLUMN($A$1), FALSE), VLOOKUP($A322,raw_ub[],COLUMN(Z$1)-COLUMN($A$1),FALSE))</f>
        <v>14.032584033709814</v>
      </c>
      <c r="Z322" s="70">
        <f>IF(VLOOKUP($A322,raw_ub[],COLUMN(AA$1)-COLUMN($A$1),FALSE)=0, VLOOKUP($D322, regions_ub[], COLUMN(AA$1)-COLUMN($A$1), FALSE), VLOOKUP($A322,raw_ub[],COLUMN(AA$1)-COLUMN($A$1),FALSE))</f>
        <v>14.02593549277624</v>
      </c>
      <c r="AA322" s="70">
        <f>IF(VLOOKUP($A322,raw_ub[],COLUMN(AB$1)-COLUMN($A$1),FALSE)=0, VLOOKUP($D322, regions_ub[], COLUMN(AB$1)-COLUMN($A$1), FALSE), VLOOKUP($A322,raw_ub[],COLUMN(AB$1)-COLUMN($A$1),FALSE))</f>
        <v>8.9765600674196246</v>
      </c>
      <c r="AB322" s="70">
        <f>IF(VLOOKUP($A322,raw_ub[],COLUMN(AC$1)-COLUMN($A$1),FALSE)=0, VLOOKUP($D322, regions_ub[], COLUMN(AC$1)-COLUMN($A$1), FALSE), VLOOKUP($A322,raw_ub[],COLUMN(AC$1)-COLUMN($A$1),FALSE))</f>
        <v>14.048060067419625</v>
      </c>
      <c r="AC322" s="72">
        <f>IF(VLOOKUP($A322,raw_ub[],COLUMN(AD$1)-COLUMN($A$1),FALSE)=0, VLOOKUP($D322, regions_ub[], COLUMN(AD$1)-COLUMN($A$1), FALSE), VLOOKUP($A322,raw_ub[],COLUMN(AD$1)-COLUMN($A$1),FALSE))</f>
        <v>4.708903499999998E-2</v>
      </c>
      <c r="AD322" s="72">
        <f>IF(VLOOKUP($A322,raw_ub[],COLUMN(AE$1)-COLUMN($A$1),FALSE)=0, VLOOKUP($D322, regions_ub[], COLUMN(AE$1)-COLUMN($A$1), FALSE), VLOOKUP($A322,raw_ub[],COLUMN(AE$1)-COLUMN($A$1),FALSE))</f>
        <v>6.304427650514339E-3</v>
      </c>
      <c r="AE322" s="72">
        <f>IF(VLOOKUP($A322,raw_ub[],COLUMN(AF$1)-COLUMN($A$1),FALSE)=0, VLOOKUP($D322, regions_ub[], COLUMN(AF$1)-COLUMN($A$1), FALSE), VLOOKUP($A322,raw_ub[],COLUMN(AF$1)-COLUMN($A$1),FALSE))</f>
        <v>2.9591481676767423E-3</v>
      </c>
      <c r="AF322" s="72">
        <f>IF(VLOOKUP($A322,raw_ub[],COLUMN(AG$1)-COLUMN($A$1),FALSE)=0, VLOOKUP($D322, regions_ub[], COLUMN(AG$1)-COLUMN($A$1), FALSE), VLOOKUP($A322,raw_ub[],COLUMN(AG$1)-COLUMN($A$1),FALSE))</f>
        <v>1.7775354792705473E-3</v>
      </c>
      <c r="AG322" s="72">
        <f>IF(VLOOKUP($A322,raw_ub[],COLUMN(AH$1)-COLUMN($A$1),FALSE)=0, VLOOKUP($D322, regions_ub[], COLUMN(AH$1)-COLUMN($A$1), FALSE), VLOOKUP($A322,raw_ub[],COLUMN(AH$1)-COLUMN($A$1),FALSE))</f>
        <v>2.7134372275555126E-3</v>
      </c>
      <c r="AH322" s="72">
        <f>IF(VLOOKUP($A322,raw_ub[],COLUMN(AI$1)-COLUMN($A$1),FALSE)=0, VLOOKUP($D322, regions_ub[], COLUMN(AI$1)-COLUMN($A$1), FALSE), VLOOKUP($A322,raw_ub[],COLUMN(AI$1)-COLUMN($A$1),FALSE))</f>
        <v>3.8224951283348406E-3</v>
      </c>
      <c r="AI322" s="72">
        <f>IF(VLOOKUP($A322,raw_ub[],COLUMN(AJ$1)-COLUMN($A$1),FALSE)=0, VLOOKUP($D322, regions_ub[], COLUMN(AJ$1)-COLUMN($A$1), FALSE), VLOOKUP($A322,raw_ub[],COLUMN(AJ$1)-COLUMN($A$1),FALSE))</f>
        <v>4.0601913204760627E-3</v>
      </c>
      <c r="AJ322" s="72">
        <f>IF(VLOOKUP($A322,raw_ub[],COLUMN(AK$1)-COLUMN($A$1),FALSE)=0, VLOOKUP($D322, regions_ub[], COLUMN(AK$1)-COLUMN($A$1), FALSE), VLOOKUP($A322,raw_ub[],COLUMN(AK$1)-COLUMN($A$1),FALSE))</f>
        <v>4.4567013953163738E-3</v>
      </c>
      <c r="AK322" s="72">
        <f>IF(VLOOKUP($A322,raw_ub[],COLUMN(AL$1)-COLUMN($A$1),FALSE)=0, VLOOKUP($D322, regions_ub[], COLUMN(AL$1)-COLUMN($A$1), FALSE), VLOOKUP($A322,raw_ub[],COLUMN(AL$1)-COLUMN($A$1),FALSE))</f>
        <v>5.0968330697575941E-3</v>
      </c>
      <c r="AL322" s="72">
        <f>IF(VLOOKUP($A322,raw_ub[],COLUMN(AM$1)-COLUMN($A$1),FALSE)=0, VLOOKUP($D322, regions_ub[], COLUMN(AM$1)-COLUMN($A$1), FALSE), VLOOKUP($A322,raw_ub[],COLUMN(AM$1)-COLUMN($A$1),FALSE))</f>
        <v>6.2528624161096906E-3</v>
      </c>
      <c r="AM322" s="72">
        <f>IF(VLOOKUP($A322,raw_ub[],COLUMN(AN$1)-COLUMN($A$1),FALSE)=0, VLOOKUP($D322, regions_ub[], COLUMN(AN$1)-COLUMN($A$1), FALSE), VLOOKUP($A322,raw_ub[],COLUMN(AN$1)-COLUMN($A$1),FALSE))</f>
        <v>7.803035782172443E-3</v>
      </c>
      <c r="AN322" s="72">
        <f>IF(VLOOKUP($A322,raw_ub[],COLUMN(AO$1)-COLUMN($A$1),FALSE)=0, VLOOKUP($D322, regions_ub[], COLUMN(AO$1)-COLUMN($A$1), FALSE), VLOOKUP($A322,raw_ub[],COLUMN(AO$1)-COLUMN($A$1),FALSE))</f>
        <v>1.090671446259542E-2</v>
      </c>
      <c r="AO322" s="72">
        <f>IF(VLOOKUP($A322,raw_ub[],COLUMN(AP$1)-COLUMN($A$1),FALSE)=0, VLOOKUP($D322, regions_ub[], COLUMN(AP$1)-COLUMN($A$1), FALSE), VLOOKUP($A322,raw_ub[],COLUMN(AP$1)-COLUMN($A$1),FALSE))</f>
        <v>1.5554271475994037E-2</v>
      </c>
      <c r="AP322" s="72">
        <f>IF(VLOOKUP($A322,raw_ub[],COLUMN(AQ$1)-COLUMN($A$1),FALSE)=0, VLOOKUP($D322, regions_ub[], COLUMN(AQ$1)-COLUMN($A$1), FALSE), VLOOKUP($A322,raw_ub[],COLUMN(AQ$1)-COLUMN($A$1),FALSE))</f>
        <v>2.4098563065723982E-2</v>
      </c>
      <c r="AQ322" s="72">
        <f>IF(VLOOKUP($A322,raw_ub[],COLUMN(AR$1)-COLUMN($A$1),FALSE)=0, VLOOKUP($D322, regions_ub[], COLUMN(AR$1)-COLUMN($A$1), FALSE), VLOOKUP($A322,raw_ub[],COLUMN(AR$1)-COLUMN($A$1),FALSE))</f>
        <v>3.6842378120373262E-2</v>
      </c>
      <c r="AR322" s="72">
        <f>IF(VLOOKUP($A322,raw_ub[],COLUMN(AS$1)-COLUMN($A$1),FALSE)=0, VLOOKUP($D322, regions_ub[], COLUMN(AS$1)-COLUMN($A$1), FALSE), VLOOKUP($A322,raw_ub[],COLUMN(AS$1)-COLUMN($A$1),FALSE))</f>
        <v>5.8659838678276552E-2</v>
      </c>
      <c r="AS322" s="72">
        <f>IF(VLOOKUP($A322,raw_ub[],COLUMN(AT$1)-COLUMN($A$1),FALSE)=0, VLOOKUP($D322, regions_ub[], COLUMN(AT$1)-COLUMN($A$1), FALSE), VLOOKUP($A322,raw_ub[],COLUMN(AT$1)-COLUMN($A$1),FALSE))</f>
        <v>8.9787021823395943E-2</v>
      </c>
      <c r="AT322" s="82">
        <f>IF(VLOOKUP($A322,raw_ub[],COLUMN(AT$1),FALSE)=0, VLOOKUP($D322, regions_ub[], COLUMN(AT$1), FALSE), VLOOKUP($A322,raw_ub[],COLUMN(AT$1),FALSE))</f>
        <v>0.12770311621105288</v>
      </c>
      <c r="AU322" s="82">
        <f>IF(VLOOKUP($A322,raw_ub[],COLUMN(AU$1),FALSE)=0, VLOOKUP($D322, regions_ub[], COLUMN(AU$1), FALSE), VLOOKUP($A322,raw_ub[],COLUMN(AU$1),FALSE))</f>
        <v>0.16232448519774068</v>
      </c>
      <c r="AV322" s="82">
        <f>IF(VLOOKUP($A322,raw_ub[],COLUMN(AV$1),FALSE)=0, VLOOKUP($D322, regions_ub[], COLUMN(AV$1), FALSE), VLOOKUP($A322,raw_ub[],COLUMN(AV$1),FALSE))</f>
        <v>0.18604888851713505</v>
      </c>
      <c r="AW322" s="82">
        <f>IF(VLOOKUP($A322,raw_ub[],COLUMN(AW$1),FALSE)=0, VLOOKUP($D322, regions_ub[], COLUMN(AW$1), FALSE), VLOOKUP($A322,raw_ub[],COLUMN(AW$1),FALSE))</f>
        <v>0.1972016587319631</v>
      </c>
      <c r="AX322" s="82">
        <f>IF(VLOOKUP($A322,raw_ub[],COLUMN(AX$1),FALSE)=0, VLOOKUP($D322, regions_ub[], COLUMN(AX$1), FALSE), VLOOKUP($A322,raw_ub[],COLUMN(AX$1),FALSE))</f>
        <v>64.612800000000007</v>
      </c>
      <c r="AY322" t="str">
        <f t="shared" si="11"/>
        <v>Yes</v>
      </c>
    </row>
    <row r="323" spans="1:51" x14ac:dyDescent="0.25">
      <c r="A323" s="55" t="s">
        <v>314</v>
      </c>
      <c r="B323" s="56" t="s">
        <v>315</v>
      </c>
      <c r="C323" s="56">
        <v>268</v>
      </c>
      <c r="D323" s="56" t="s">
        <v>201</v>
      </c>
      <c r="E323" s="56" t="s">
        <v>220</v>
      </c>
      <c r="F323" s="56" t="s">
        <v>203</v>
      </c>
      <c r="G323" s="56" t="s">
        <v>204</v>
      </c>
      <c r="H323" s="74"/>
      <c r="I323" s="74"/>
      <c r="J323" s="67">
        <f>IF(VLOOKUP($A323,raw_ub[],COLUMN(J$1),FALSE)=0, VLOOKUP($D323, regions_ub[], COLUMN(J$1), FALSE), VLOOKUP($A323,raw_ub[],COLUMN(J$1),FALSE))</f>
        <v>0.999</v>
      </c>
      <c r="K323" s="77">
        <f>VLOOKUP($A323, raw_ub[], 11, FALSE)</f>
        <v>0.999</v>
      </c>
      <c r="L323" s="77">
        <f>VLOOKUP($A323, raw_ub[], 12, FALSE)</f>
        <v>0.92400000000000004</v>
      </c>
      <c r="M323" s="77">
        <f>IF(VLOOKUP($A323,raw_ub[],COLUMN(M$1),FALSE)=0, VLOOKUP($D323, regions_ub[], COLUMN(M$1), FALSE), VLOOKUP($A323,raw_ub[],COLUMN(M$1),FALSE))</f>
        <v>2.0799999999999999E-2</v>
      </c>
      <c r="N323" s="68">
        <f>IF(VLOOKUP($A323,raw_ub[],COLUMN(N$1),FALSE)=0, VLOOKUP($D323, regions_ub[], COLUMN(N$1), FALSE), VLOOKUP($A323,raw_ub[],COLUMN(N$1),FALSE))</f>
        <v>0.43079999999999996</v>
      </c>
      <c r="O323" s="67">
        <f>IF(VLOOKUP($A323,raw_ub[],COLUMN(O$1),FALSE)=0, VLOOKUP($D323, regions_ub[], COLUMN(O$1), FALSE), VLOOKUP($A323,raw_ub[],COLUMN(O$1),FALSE))</f>
        <v>0.9</v>
      </c>
      <c r="P323" s="68">
        <f>IF(VLOOKUP($A323,raw_ub[],COLUMN(P$1),FALSE)=0, VLOOKUP($D323, regions_ub[], COLUMN(P$1), FALSE), VLOOKUP($A323,raw_ub[],COLUMN(P$1),FALSE))</f>
        <v>0.3</v>
      </c>
      <c r="Q323" s="70">
        <f>IF(VLOOKUP($A323,raw_ub[],COLUMN(Q$1),FALSE)=0, VLOOKUP($D323, regions_ub[], COLUMN(Q$1), FALSE), VLOOKUP($A323,raw_ub[],COLUMN(Q$1),FALSE))</f>
        <v>14.9539718561781</v>
      </c>
      <c r="R323" s="70">
        <f>IF(VLOOKUP($A323,raw_ub[],COLUMN(R$1),FALSE)=0, VLOOKUP($D323, regions_ub[], COLUMN(R$1), FALSE), VLOOKUP($A323,raw_ub[],COLUMN(R$1),FALSE))</f>
        <v>123.93977185617811</v>
      </c>
      <c r="S323" s="70">
        <f>IF(VLOOKUP($A323,raw_ub[],COLUMN(S$1),FALSE)=0, VLOOKUP($D323, regions_ub[], COLUMN(S$1), FALSE), VLOOKUP($A323,raw_ub[],COLUMN(S$1),FALSE))</f>
        <v>172.79781568233716</v>
      </c>
      <c r="T323" s="70">
        <f>IF(VLOOKUP($A323,raw_ub[],COLUMN(U$1)-COLUMN($A$1),FALSE)=0, VLOOKUP($D323, regions_ub[], COLUMN(U$1)-COLUMN($A$1), FALSE), VLOOKUP($A323,raw_ub[],COLUMN(U$1)-COLUMN($A$1),FALSE))</f>
        <v>183.01873112168715</v>
      </c>
      <c r="U323" s="70">
        <f>IF(VLOOKUP($A323,raw_ub[],COLUMN(V$1)-COLUMN($A$1),FALSE)=0, VLOOKUP($D323, regions_ub[], COLUMN(V$1)-COLUMN($A$1), FALSE), VLOOKUP($A323,raw_ub[],COLUMN(V$1)-COLUMN($A$1),FALSE))</f>
        <v>178.32550279456723</v>
      </c>
      <c r="V323" s="70">
        <f>IF(VLOOKUP($A323,raw_ub[],COLUMN(W$1)-COLUMN($A$1),FALSE)=0, VLOOKUP($D323, regions_ub[], COLUMN(W$1)-COLUMN($A$1), FALSE), VLOOKUP($A323,raw_ub[],COLUMN(W$1)-COLUMN($A$1),FALSE))</f>
        <v>9.8916057955695127</v>
      </c>
      <c r="W323" s="70">
        <f>IF(VLOOKUP($A323,raw_ub[],COLUMN(X$1)-COLUMN($A$1),FALSE)=0, VLOOKUP($D323, regions_ub[], COLUMN(X$1)-COLUMN($A$1), FALSE), VLOOKUP($A323,raw_ub[],COLUMN(X$1)-COLUMN($A$1),FALSE))</f>
        <v>14.165105795569513</v>
      </c>
      <c r="X323" s="70">
        <f>IF(VLOOKUP($A323,raw_ub[],COLUMN(Y$1)-COLUMN($A$1),FALSE)=0, VLOOKUP($D323, regions_ub[], COLUMN(Y$1)-COLUMN($A$1), FALSE), VLOOKUP($A323,raw_ub[],COLUMN(Y$1)-COLUMN($A$1),FALSE))</f>
        <v>9.8648518872107651</v>
      </c>
      <c r="Y323" s="70">
        <f>IF(VLOOKUP($A323,raw_ub[],COLUMN(Z$1)-COLUMN($A$1),FALSE)=0, VLOOKUP($D323, regions_ub[], COLUMN(Z$1)-COLUMN($A$1), FALSE), VLOOKUP($A323,raw_ub[],COLUMN(Z$1)-COLUMN($A$1),FALSE))</f>
        <v>14.138351887210765</v>
      </c>
      <c r="Z323" s="70">
        <f>IF(VLOOKUP($A323,raw_ub[],COLUMN(AA$1)-COLUMN($A$1),FALSE)=0, VLOOKUP($D323, regions_ub[], COLUMN(AA$1)-COLUMN($A$1), FALSE), VLOOKUP($A323,raw_ub[],COLUMN(AA$1)-COLUMN($A$1),FALSE))</f>
        <v>14.122543438373031</v>
      </c>
      <c r="AA323" s="70">
        <f>IF(VLOOKUP($A323,raw_ub[],COLUMN(AB$1)-COLUMN($A$1),FALSE)=0, VLOOKUP($D323, regions_ub[], COLUMN(AB$1)-COLUMN($A$1), FALSE), VLOOKUP($A323,raw_ub[],COLUMN(AB$1)-COLUMN($A$1),FALSE))</f>
        <v>9.897779774421533</v>
      </c>
      <c r="AB323" s="70">
        <f>IF(VLOOKUP($A323,raw_ub[],COLUMN(AC$1)-COLUMN($A$1),FALSE)=0, VLOOKUP($D323, regions_ub[], COLUMN(AC$1)-COLUMN($A$1), FALSE), VLOOKUP($A323,raw_ub[],COLUMN(AC$1)-COLUMN($A$1),FALSE))</f>
        <v>14.171279774421533</v>
      </c>
      <c r="AC323" s="72">
        <f>IF(VLOOKUP($A323,raw_ub[],COLUMN(AD$1)-COLUMN($A$1),FALSE)=0, VLOOKUP($D323, regions_ub[], COLUMN(AD$1)-COLUMN($A$1), FALSE), VLOOKUP($A323,raw_ub[],COLUMN(AD$1)-COLUMN($A$1),FALSE))</f>
        <v>9.8411670000000083E-3</v>
      </c>
      <c r="AD323" s="72">
        <f>IF(VLOOKUP($A323,raw_ub[],COLUMN(AE$1)-COLUMN($A$1),FALSE)=0, VLOOKUP($D323, regions_ub[], COLUMN(AE$1)-COLUMN($A$1), FALSE), VLOOKUP($A323,raw_ub[],COLUMN(AE$1)-COLUMN($A$1),FALSE))</f>
        <v>2.0787431028815857E-4</v>
      </c>
      <c r="AE323" s="72">
        <f>IF(VLOOKUP($A323,raw_ub[],COLUMN(AF$1)-COLUMN($A$1),FALSE)=0, VLOOKUP($D323, regions_ub[], COLUMN(AF$1)-COLUMN($A$1), FALSE), VLOOKUP($A323,raw_ub[],COLUMN(AF$1)-COLUMN($A$1),FALSE))</f>
        <v>2.1772180472502006E-4</v>
      </c>
      <c r="AF323" s="72">
        <f>IF(VLOOKUP($A323,raw_ub[],COLUMN(AG$1)-COLUMN($A$1),FALSE)=0, VLOOKUP($D323, regions_ub[], COLUMN(AG$1)-COLUMN($A$1), FALSE), VLOOKUP($A323,raw_ub[],COLUMN(AG$1)-COLUMN($A$1),FALSE))</f>
        <v>2.5203820881914237E-4</v>
      </c>
      <c r="AG323" s="72">
        <f>IF(VLOOKUP($A323,raw_ub[],COLUMN(AH$1)-COLUMN($A$1),FALSE)=0, VLOOKUP($D323, regions_ub[], COLUMN(AH$1)-COLUMN($A$1), FALSE), VLOOKUP($A323,raw_ub[],COLUMN(AH$1)-COLUMN($A$1),FALSE))</f>
        <v>4.8040825978166757E-4</v>
      </c>
      <c r="AH323" s="72">
        <f>IF(VLOOKUP($A323,raw_ub[],COLUMN(AI$1)-COLUMN($A$1),FALSE)=0, VLOOKUP($D323, regions_ub[], COLUMN(AI$1)-COLUMN($A$1), FALSE), VLOOKUP($A323,raw_ub[],COLUMN(AI$1)-COLUMN($A$1),FALSE))</f>
        <v>7.98467078306036E-4</v>
      </c>
      <c r="AI323" s="72">
        <f>IF(VLOOKUP($A323,raw_ub[],COLUMN(AJ$1)-COLUMN($A$1),FALSE)=0, VLOOKUP($D323, regions_ub[], COLUMN(AJ$1)-COLUMN($A$1), FALSE), VLOOKUP($A323,raw_ub[],COLUMN(AJ$1)-COLUMN($A$1),FALSE))</f>
        <v>9.8520021953007434E-4</v>
      </c>
      <c r="AJ323" s="72">
        <f>IF(VLOOKUP($A323,raw_ub[],COLUMN(AK$1)-COLUMN($A$1),FALSE)=0, VLOOKUP($D323, regions_ub[], COLUMN(AK$1)-COLUMN($A$1), FALSE), VLOOKUP($A323,raw_ub[],COLUMN(AK$1)-COLUMN($A$1),FALSE))</f>
        <v>1.4703392606160934E-3</v>
      </c>
      <c r="AK323" s="72">
        <f>IF(VLOOKUP($A323,raw_ub[],COLUMN(AL$1)-COLUMN($A$1),FALSE)=0, VLOOKUP($D323, regions_ub[], COLUMN(AL$1)-COLUMN($A$1), FALSE), VLOOKUP($A323,raw_ub[],COLUMN(AL$1)-COLUMN($A$1),FALSE))</f>
        <v>2.0883934824790598E-3</v>
      </c>
      <c r="AL323" s="72">
        <f>IF(VLOOKUP($A323,raw_ub[],COLUMN(AM$1)-COLUMN($A$1),FALSE)=0, VLOOKUP($D323, regions_ub[], COLUMN(AM$1)-COLUMN($A$1), FALSE), VLOOKUP($A323,raw_ub[],COLUMN(AM$1)-COLUMN($A$1),FALSE))</f>
        <v>3.231299726391659E-3</v>
      </c>
      <c r="AM323" s="72">
        <f>IF(VLOOKUP($A323,raw_ub[],COLUMN(AN$1)-COLUMN($A$1),FALSE)=0, VLOOKUP($D323, regions_ub[], COLUMN(AN$1)-COLUMN($A$1), FALSE), VLOOKUP($A323,raw_ub[],COLUMN(AN$1)-COLUMN($A$1),FALSE))</f>
        <v>5.2859396940917163E-3</v>
      </c>
      <c r="AN323" s="72">
        <f>IF(VLOOKUP($A323,raw_ub[],COLUMN(AO$1)-COLUMN($A$1),FALSE)=0, VLOOKUP($D323, regions_ub[], COLUMN(AO$1)-COLUMN($A$1), FALSE), VLOOKUP($A323,raw_ub[],COLUMN(AO$1)-COLUMN($A$1),FALSE))</f>
        <v>7.783478422144937E-3</v>
      </c>
      <c r="AO323" s="72">
        <f>IF(VLOOKUP($A323,raw_ub[],COLUMN(AP$1)-COLUMN($A$1),FALSE)=0, VLOOKUP($D323, regions_ub[], COLUMN(AP$1)-COLUMN($A$1), FALSE), VLOOKUP($A323,raw_ub[],COLUMN(AP$1)-COLUMN($A$1),FALSE))</f>
        <v>1.1458882992652013E-2</v>
      </c>
      <c r="AP323" s="72">
        <f>IF(VLOOKUP($A323,raw_ub[],COLUMN(AQ$1)-COLUMN($A$1),FALSE)=0, VLOOKUP($D323, regions_ub[], COLUMN(AQ$1)-COLUMN($A$1), FALSE), VLOOKUP($A323,raw_ub[],COLUMN(AQ$1)-COLUMN($A$1),FALSE))</f>
        <v>1.6522785735139895E-2</v>
      </c>
      <c r="AQ323" s="72">
        <f>IF(VLOOKUP($A323,raw_ub[],COLUMN(AR$1)-COLUMN($A$1),FALSE)=0, VLOOKUP($D323, regions_ub[], COLUMN(AR$1)-COLUMN($A$1), FALSE), VLOOKUP($A323,raw_ub[],COLUMN(AR$1)-COLUMN($A$1),FALSE))</f>
        <v>2.3511544932271054E-2</v>
      </c>
      <c r="AR323" s="72">
        <f>IF(VLOOKUP($A323,raw_ub[],COLUMN(AS$1)-COLUMN($A$1),FALSE)=0, VLOOKUP($D323, regions_ub[], COLUMN(AS$1)-COLUMN($A$1), FALSE), VLOOKUP($A323,raw_ub[],COLUMN(AS$1)-COLUMN($A$1),FALSE))</f>
        <v>3.7763048569893432E-2</v>
      </c>
      <c r="AS323" s="72">
        <f>IF(VLOOKUP($A323,raw_ub[],COLUMN(AT$1)-COLUMN($A$1),FALSE)=0, VLOOKUP($D323, regions_ub[], COLUMN(AT$1)-COLUMN($A$1), FALSE), VLOOKUP($A323,raw_ub[],COLUMN(AT$1)-COLUMN($A$1),FALSE))</f>
        <v>6.0366774991244217E-2</v>
      </c>
      <c r="AT323" s="82">
        <f>IF(VLOOKUP($A323,raw_ub[],COLUMN(AT$1),FALSE)=0, VLOOKUP($D323, regions_ub[], COLUMN(AT$1), FALSE), VLOOKUP($A323,raw_ub[],COLUMN(AT$1),FALSE))</f>
        <v>9.0125234556428027E-2</v>
      </c>
      <c r="AU323" s="82">
        <f>IF(VLOOKUP($A323,raw_ub[],COLUMN(AU$1),FALSE)=0, VLOOKUP($D323, regions_ub[], COLUMN(AU$1), FALSE), VLOOKUP($A323,raw_ub[],COLUMN(AU$1),FALSE))</f>
        <v>0.12432472659422408</v>
      </c>
      <c r="AV323" s="82">
        <f>IF(VLOOKUP($A323,raw_ub[],COLUMN(AV$1),FALSE)=0, VLOOKUP($D323, regions_ub[], COLUMN(AV$1), FALSE), VLOOKUP($A323,raw_ub[],COLUMN(AV$1),FALSE))</f>
        <v>0.15880486785268871</v>
      </c>
      <c r="AW323" s="82">
        <f>IF(VLOOKUP($A323,raw_ub[],COLUMN(AW$1),FALSE)=0, VLOOKUP($D323, regions_ub[], COLUMN(AW$1), FALSE), VLOOKUP($A323,raw_ub[],COLUMN(AW$1),FALSE))</f>
        <v>0.18328161388065764</v>
      </c>
      <c r="AX323" s="82">
        <f>IF(VLOOKUP($A323,raw_ub[],COLUMN(AX$1),FALSE)=0, VLOOKUP($D323, regions_ub[], COLUMN(AX$1), FALSE), VLOOKUP($A323,raw_ub[],COLUMN(AX$1),FALSE))</f>
        <v>77.195999999999998</v>
      </c>
      <c r="AY323" t="str">
        <f t="shared" si="11"/>
        <v>No</v>
      </c>
    </row>
    <row r="324" spans="1:51" x14ac:dyDescent="0.25">
      <c r="A324" s="53" t="s">
        <v>316</v>
      </c>
      <c r="B324" s="54" t="s">
        <v>317</v>
      </c>
      <c r="C324" s="54">
        <v>288</v>
      </c>
      <c r="D324" s="54" t="s">
        <v>207</v>
      </c>
      <c r="E324" s="54" t="s">
        <v>235</v>
      </c>
      <c r="F324" s="54" t="s">
        <v>211</v>
      </c>
      <c r="G324" s="54" t="s">
        <v>212</v>
      </c>
      <c r="H324" s="73"/>
      <c r="I324" s="73"/>
      <c r="J324" s="67">
        <f>IF(VLOOKUP($A324,raw_ub[],COLUMN(J$1),FALSE)=0, VLOOKUP($D324, regions_ub[], COLUMN(J$1), FALSE), VLOOKUP($A324,raw_ub[],COLUMN(J$1),FALSE))</f>
        <v>0.81795000000000007</v>
      </c>
      <c r="K324" s="77">
        <f>VLOOKUP($A324, raw_ub[], 11, FALSE)</f>
        <v>0</v>
      </c>
      <c r="L324" s="77">
        <f>VLOOKUP($A324, raw_ub[], 12, FALSE)</f>
        <v>0.98699999999999999</v>
      </c>
      <c r="M324" s="77">
        <f>IF(VLOOKUP($A324,raw_ub[],COLUMN(M$1),FALSE)=0, VLOOKUP($D324, regions_ub[], COLUMN(M$1), FALSE), VLOOKUP($A324,raw_ub[],COLUMN(M$1),FALSE))</f>
        <v>0.10009999999999999</v>
      </c>
      <c r="N324" s="68">
        <f>IF(VLOOKUP($A324,raw_ub[],COLUMN(N$1),FALSE)=0, VLOOKUP($D324, regions_ub[], COLUMN(N$1), FALSE), VLOOKUP($A324,raw_ub[],COLUMN(N$1),FALSE))</f>
        <v>0.41070000000000001</v>
      </c>
      <c r="O324" s="67">
        <f>IF(VLOOKUP($A324,raw_ub[],COLUMN(O$1),FALSE)=0, VLOOKUP($D324, regions_ub[], COLUMN(O$1), FALSE), VLOOKUP($A324,raw_ub[],COLUMN(O$1),FALSE))</f>
        <v>0.74399999999999999</v>
      </c>
      <c r="P324" s="68">
        <f>IF(VLOOKUP($A324,raw_ub[],COLUMN(P$1),FALSE)=0, VLOOKUP($D324, regions_ub[], COLUMN(P$1), FALSE), VLOOKUP($A324,raw_ub[],COLUMN(P$1),FALSE))</f>
        <v>0.13300000000000001</v>
      </c>
      <c r="Q324" s="70">
        <f>IF(VLOOKUP($A324,raw_ub[],COLUMN(Q$1),FALSE)=0, VLOOKUP($D324, regions_ub[], COLUMN(Q$1), FALSE), VLOOKUP($A324,raw_ub[],COLUMN(Q$1),FALSE))</f>
        <v>8.1042000000000005</v>
      </c>
      <c r="R324" s="70">
        <f>IF(VLOOKUP($A324,raw_ub[],COLUMN(R$1),FALSE)=0, VLOOKUP($D324, regions_ub[], COLUMN(R$1), FALSE), VLOOKUP($A324,raw_ub[],COLUMN(R$1),FALSE))</f>
        <v>117.09000000000002</v>
      </c>
      <c r="S324" s="70">
        <f>IF(VLOOKUP($A324,raw_ub[],COLUMN(S$1),FALSE)=0, VLOOKUP($D324, regions_ub[], COLUMN(S$1), FALSE), VLOOKUP($A324,raw_ub[],COLUMN(S$1),FALSE))</f>
        <v>150.82864758950075</v>
      </c>
      <c r="T324" s="70">
        <f>IF(VLOOKUP($A324,raw_ub[],COLUMN(U$1)-COLUMN($A$1),FALSE)=0, VLOOKUP($D324, regions_ub[], COLUMN(U$1)-COLUMN($A$1), FALSE), VLOOKUP($A324,raw_ub[],COLUMN(U$1)-COLUMN($A$1),FALSE))</f>
        <v>153.18044572791763</v>
      </c>
      <c r="U324" s="70">
        <f>IF(VLOOKUP($A324,raw_ub[],COLUMN(V$1)-COLUMN($A$1),FALSE)=0, VLOOKUP($D324, regions_ub[], COLUMN(V$1)-COLUMN($A$1), FALSE), VLOOKUP($A324,raw_ub[],COLUMN(V$1)-COLUMN($A$1),FALSE))</f>
        <v>152.10054973343634</v>
      </c>
      <c r="V324" s="70">
        <f>IF(VLOOKUP($A324,raw_ub[],COLUMN(W$1)-COLUMN($A$1),FALSE)=0, VLOOKUP($D324, regions_ub[], COLUMN(W$1)-COLUMN($A$1), FALSE), VLOOKUP($A324,raw_ub[],COLUMN(W$1)-COLUMN($A$1),FALSE))</f>
        <v>8.2351320086199227</v>
      </c>
      <c r="W324" s="70">
        <f>IF(VLOOKUP($A324,raw_ub[],COLUMN(X$1)-COLUMN($A$1),FALSE)=0, VLOOKUP($D324, regions_ub[], COLUMN(X$1)-COLUMN($A$1), FALSE), VLOOKUP($A324,raw_ub[],COLUMN(X$1)-COLUMN($A$1),FALSE))</f>
        <v>13.306632008619923</v>
      </c>
      <c r="X324" s="70">
        <f>IF(VLOOKUP($A324,raw_ub[],COLUMN(Y$1)-COLUMN($A$1),FALSE)=0, VLOOKUP($D324, regions_ub[], COLUMN(Y$1)-COLUMN($A$1), FALSE), VLOOKUP($A324,raw_ub[],COLUMN(Y$1)-COLUMN($A$1),FALSE))</f>
        <v>8.2117463495834055</v>
      </c>
      <c r="Y324" s="70">
        <f>IF(VLOOKUP($A324,raw_ub[],COLUMN(Z$1)-COLUMN($A$1),FALSE)=0, VLOOKUP($D324, regions_ub[], COLUMN(Z$1)-COLUMN($A$1), FALSE), VLOOKUP($A324,raw_ub[],COLUMN(Z$1)-COLUMN($A$1),FALSE))</f>
        <v>13.283246349583406</v>
      </c>
      <c r="Z324" s="70">
        <f>IF(VLOOKUP($A324,raw_ub[],COLUMN(AA$1)-COLUMN($A$1),FALSE)=0, VLOOKUP($D324, regions_ub[], COLUMN(AA$1)-COLUMN($A$1), FALSE), VLOOKUP($A324,raw_ub[],COLUMN(AA$1)-COLUMN($A$1),FALSE))</f>
        <v>13.270801251969322</v>
      </c>
      <c r="AA324" s="70">
        <f>IF(VLOOKUP($A324,raw_ub[],COLUMN(AB$1)-COLUMN($A$1),FALSE)=0, VLOOKUP($D324, regions_ub[], COLUMN(AB$1)-COLUMN($A$1), FALSE), VLOOKUP($A324,raw_ub[],COLUMN(AB$1)-COLUMN($A$1),FALSE))</f>
        <v>8.240528699166811</v>
      </c>
      <c r="AB324" s="70">
        <f>IF(VLOOKUP($A324,raw_ub[],COLUMN(AC$1)-COLUMN($A$1),FALSE)=0, VLOOKUP($D324, regions_ub[], COLUMN(AC$1)-COLUMN($A$1), FALSE), VLOOKUP($A324,raw_ub[],COLUMN(AC$1)-COLUMN($A$1),FALSE))</f>
        <v>13.312028699166811</v>
      </c>
      <c r="AC324" s="72">
        <f>IF(VLOOKUP($A324,raw_ub[],COLUMN(AD$1)-COLUMN($A$1),FALSE)=0, VLOOKUP($D324, regions_ub[], COLUMN(AD$1)-COLUMN($A$1), FALSE), VLOOKUP($A324,raw_ub[],COLUMN(AD$1)-COLUMN($A$1),FALSE))</f>
        <v>3.7424729999999948E-2</v>
      </c>
      <c r="AD324" s="72">
        <f>IF(VLOOKUP($A324,raw_ub[],COLUMN(AE$1)-COLUMN($A$1),FALSE)=0, VLOOKUP($D324, regions_ub[], COLUMN(AE$1)-COLUMN($A$1), FALSE), VLOOKUP($A324,raw_ub[],COLUMN(AE$1)-COLUMN($A$1),FALSE))</f>
        <v>4.357349515853785E-3</v>
      </c>
      <c r="AE324" s="72">
        <f>IF(VLOOKUP($A324,raw_ub[],COLUMN(AF$1)-COLUMN($A$1),FALSE)=0, VLOOKUP($D324, regions_ub[], COLUMN(AF$1)-COLUMN($A$1), FALSE), VLOOKUP($A324,raw_ub[],COLUMN(AF$1)-COLUMN($A$1),FALSE))</f>
        <v>2.5503667096950858E-3</v>
      </c>
      <c r="AF324" s="72">
        <f>IF(VLOOKUP($A324,raw_ub[],COLUMN(AG$1)-COLUMN($A$1),FALSE)=0, VLOOKUP($D324, regions_ub[], COLUMN(AG$1)-COLUMN($A$1), FALSE), VLOOKUP($A324,raw_ub[],COLUMN(AG$1)-COLUMN($A$1),FALSE))</f>
        <v>1.5519133099052599E-3</v>
      </c>
      <c r="AG324" s="72">
        <f>IF(VLOOKUP($A324,raw_ub[],COLUMN(AH$1)-COLUMN($A$1),FALSE)=0, VLOOKUP($D324, regions_ub[], COLUMN(AH$1)-COLUMN($A$1), FALSE), VLOOKUP($A324,raw_ub[],COLUMN(AH$1)-COLUMN($A$1),FALSE))</f>
        <v>2.3836134553547046E-3</v>
      </c>
      <c r="AH324" s="72">
        <f>IF(VLOOKUP($A324,raw_ub[],COLUMN(AI$1)-COLUMN($A$1),FALSE)=0, VLOOKUP($D324, regions_ub[], COLUMN(AI$1)-COLUMN($A$1), FALSE), VLOOKUP($A324,raw_ub[],COLUMN(AI$1)-COLUMN($A$1),FALSE))</f>
        <v>3.35640348010861E-3</v>
      </c>
      <c r="AI324" s="72">
        <f>IF(VLOOKUP($A324,raw_ub[],COLUMN(AJ$1)-COLUMN($A$1),FALSE)=0, VLOOKUP($D324, regions_ub[], COLUMN(AJ$1)-COLUMN($A$1), FALSE), VLOOKUP($A324,raw_ub[],COLUMN(AJ$1)-COLUMN($A$1),FALSE))</f>
        <v>3.5888415113675661E-3</v>
      </c>
      <c r="AJ324" s="72">
        <f>IF(VLOOKUP($A324,raw_ub[],COLUMN(AK$1)-COLUMN($A$1),FALSE)=0, VLOOKUP($D324, regions_ub[], COLUMN(AK$1)-COLUMN($A$1), FALSE), VLOOKUP($A324,raw_ub[],COLUMN(AK$1)-COLUMN($A$1),FALSE))</f>
        <v>3.9890540456286178E-3</v>
      </c>
      <c r="AK324" s="72">
        <f>IF(VLOOKUP($A324,raw_ub[],COLUMN(AL$1)-COLUMN($A$1),FALSE)=0, VLOOKUP($D324, regions_ub[], COLUMN(AL$1)-COLUMN($A$1), FALSE), VLOOKUP($A324,raw_ub[],COLUMN(AL$1)-COLUMN($A$1),FALSE))</f>
        <v>4.6032836278182459E-3</v>
      </c>
      <c r="AL324" s="72">
        <f>IF(VLOOKUP($A324,raw_ub[],COLUMN(AM$1)-COLUMN($A$1),FALSE)=0, VLOOKUP($D324, regions_ub[], COLUMN(AM$1)-COLUMN($A$1), FALSE), VLOOKUP($A324,raw_ub[],COLUMN(AM$1)-COLUMN($A$1),FALSE))</f>
        <v>5.7351335657581885E-3</v>
      </c>
      <c r="AM324" s="72">
        <f>IF(VLOOKUP($A324,raw_ub[],COLUMN(AN$1)-COLUMN($A$1),FALSE)=0, VLOOKUP($D324, regions_ub[], COLUMN(AN$1)-COLUMN($A$1), FALSE), VLOOKUP($A324,raw_ub[],COLUMN(AN$1)-COLUMN($A$1),FALSE))</f>
        <v>7.2593404653250888E-3</v>
      </c>
      <c r="AN324" s="72">
        <f>IF(VLOOKUP($A324,raw_ub[],COLUMN(AO$1)-COLUMN($A$1),FALSE)=0, VLOOKUP($D324, regions_ub[], COLUMN(AO$1)-COLUMN($A$1), FALSE), VLOOKUP($A324,raw_ub[],COLUMN(AO$1)-COLUMN($A$1),FALSE))</f>
        <v>1.0271765640290545E-2</v>
      </c>
      <c r="AO324" s="72">
        <f>IF(VLOOKUP($A324,raw_ub[],COLUMN(AP$1)-COLUMN($A$1),FALSE)=0, VLOOKUP($D324, regions_ub[], COLUMN(AP$1)-COLUMN($A$1), FALSE), VLOOKUP($A324,raw_ub[],COLUMN(AP$1)-COLUMN($A$1),FALSE))</f>
        <v>1.4674194809737149E-2</v>
      </c>
      <c r="AP324" s="72">
        <f>IF(VLOOKUP($A324,raw_ub[],COLUMN(AQ$1)-COLUMN($A$1),FALSE)=0, VLOOKUP($D324, regions_ub[], COLUMN(AQ$1)-COLUMN($A$1), FALSE), VLOOKUP($A324,raw_ub[],COLUMN(AQ$1)-COLUMN($A$1),FALSE))</f>
        <v>2.2741168308894257E-2</v>
      </c>
      <c r="AQ324" s="72">
        <f>IF(VLOOKUP($A324,raw_ub[],COLUMN(AR$1)-COLUMN($A$1),FALSE)=0, VLOOKUP($D324, regions_ub[], COLUMN(AR$1)-COLUMN($A$1), FALSE), VLOOKUP($A324,raw_ub[],COLUMN(AR$1)-COLUMN($A$1),FALSE))</f>
        <v>3.5066318406387388E-2</v>
      </c>
      <c r="AR324" s="72">
        <f>IF(VLOOKUP($A324,raw_ub[],COLUMN(AS$1)-COLUMN($A$1),FALSE)=0, VLOOKUP($D324, regions_ub[], COLUMN(AS$1)-COLUMN($A$1), FALSE), VLOOKUP($A324,raw_ub[],COLUMN(AS$1)-COLUMN($A$1),FALSE))</f>
        <v>5.6325470896592233E-2</v>
      </c>
      <c r="AS324" s="72">
        <f>IF(VLOOKUP($A324,raw_ub[],COLUMN(AT$1)-COLUMN($A$1),FALSE)=0, VLOOKUP($D324, regions_ub[], COLUMN(AT$1)-COLUMN($A$1), FALSE), VLOOKUP($A324,raw_ub[],COLUMN(AT$1)-COLUMN($A$1),FALSE))</f>
        <v>8.7089312881041894E-2</v>
      </c>
      <c r="AT324" s="82">
        <f>IF(VLOOKUP($A324,raw_ub[],COLUMN(AT$1),FALSE)=0, VLOOKUP($D324, regions_ub[], COLUMN(AT$1), FALSE), VLOOKUP($A324,raw_ub[],COLUMN(AT$1),FALSE))</f>
        <v>0.12232427496198646</v>
      </c>
      <c r="AU324" s="82">
        <f>IF(VLOOKUP($A324,raw_ub[],COLUMN(AU$1),FALSE)=0, VLOOKUP($D324, regions_ub[], COLUMN(AU$1), FALSE), VLOOKUP($A324,raw_ub[],COLUMN(AU$1),FALSE))</f>
        <v>0.15446318932776751</v>
      </c>
      <c r="AV324" s="82">
        <f>IF(VLOOKUP($A324,raw_ub[],COLUMN(AV$1),FALSE)=0, VLOOKUP($D324, regions_ub[], COLUMN(AV$1), FALSE), VLOOKUP($A324,raw_ub[],COLUMN(AV$1),FALSE))</f>
        <v>0.17817517741158681</v>
      </c>
      <c r="AW324" s="82">
        <f>IF(VLOOKUP($A324,raw_ub[],COLUMN(AW$1),FALSE)=0, VLOOKUP($D324, regions_ub[], COLUMN(AW$1), FALSE), VLOOKUP($A324,raw_ub[],COLUMN(AW$1),FALSE))</f>
        <v>0.19433075135202785</v>
      </c>
      <c r="AX324" s="82">
        <f>IF(VLOOKUP($A324,raw_ub[],COLUMN(AX$1),FALSE)=0, VLOOKUP($D324, regions_ub[], COLUMN(AX$1), FALSE), VLOOKUP($A324,raw_ub[],COLUMN(AX$1),FALSE))</f>
        <v>66.834600000000009</v>
      </c>
      <c r="AY324" t="str">
        <f t="shared" si="11"/>
        <v>Yes</v>
      </c>
    </row>
    <row r="325" spans="1:51" x14ac:dyDescent="0.25">
      <c r="A325" s="55" t="s">
        <v>318</v>
      </c>
      <c r="B325" s="56" t="s">
        <v>319</v>
      </c>
      <c r="C325" s="56">
        <v>308</v>
      </c>
      <c r="D325" s="56" t="s">
        <v>215</v>
      </c>
      <c r="E325" s="56" t="s">
        <v>232</v>
      </c>
      <c r="F325" s="56" t="s">
        <v>217</v>
      </c>
      <c r="G325" s="56" t="s">
        <v>204</v>
      </c>
      <c r="H325" s="74"/>
      <c r="I325" s="74"/>
      <c r="J325" s="67">
        <f>IF(VLOOKUP($A325,raw_ub[],COLUMN(J$1),FALSE)=0, VLOOKUP($D325, regions_ub[], COLUMN(J$1), FALSE), VLOOKUP($A325,raw_ub[],COLUMN(J$1),FALSE))</f>
        <v>0.97771923296421437</v>
      </c>
      <c r="K325" s="77">
        <f>VLOOKUP($A325, raw_ub[], 11, FALSE)</f>
        <v>0.96600000000000008</v>
      </c>
      <c r="L325" s="77">
        <f>VLOOKUP($A325, raw_ub[], 12, FALSE)</f>
        <v>0.75600000000000001</v>
      </c>
      <c r="M325" s="77">
        <f>IF(VLOOKUP($A325,raw_ub[],COLUMN(M$1),FALSE)=0, VLOOKUP($D325, regions_ub[], COLUMN(M$1), FALSE), VLOOKUP($A325,raw_ub[],COLUMN(M$1),FALSE))</f>
        <v>4.2000000000000003E-2</v>
      </c>
      <c r="N325" s="68">
        <f>IF(VLOOKUP($A325,raw_ub[],COLUMN(N$1),FALSE)=0, VLOOKUP($D325, regions_ub[], COLUMN(N$1), FALSE), VLOOKUP($A325,raw_ub[],COLUMN(N$1),FALSE))</f>
        <v>0.43</v>
      </c>
      <c r="O325" s="67">
        <f>IF(VLOOKUP($A325,raw_ub[],COLUMN(O$1),FALSE)=0, VLOOKUP($D325, regions_ub[], COLUMN(O$1), FALSE), VLOOKUP($A325,raw_ub[],COLUMN(O$1),FALSE))</f>
        <v>0.9</v>
      </c>
      <c r="P325" s="68">
        <f>IF(VLOOKUP($A325,raw_ub[],COLUMN(P$1),FALSE)=0, VLOOKUP($D325, regions_ub[], COLUMN(P$1), FALSE), VLOOKUP($A325,raw_ub[],COLUMN(P$1),FALSE))</f>
        <v>0.3</v>
      </c>
      <c r="Q325" s="70">
        <f>IF(VLOOKUP($A325,raw_ub[],COLUMN(Q$1),FALSE)=0, VLOOKUP($D325, regions_ub[], COLUMN(Q$1), FALSE), VLOOKUP($A325,raw_ub[],COLUMN(Q$1),FALSE))</f>
        <v>31.748915637956699</v>
      </c>
      <c r="R325" s="70">
        <f>IF(VLOOKUP($A325,raw_ub[],COLUMN(R$1),FALSE)=0, VLOOKUP($D325, regions_ub[], COLUMN(R$1), FALSE), VLOOKUP($A325,raw_ub[],COLUMN(R$1),FALSE))</f>
        <v>140.7347156379567</v>
      </c>
      <c r="S325" s="70">
        <f>IF(VLOOKUP($A325,raw_ub[],COLUMN(S$1),FALSE)=0, VLOOKUP($D325, regions_ub[], COLUMN(S$1), FALSE), VLOOKUP($A325,raw_ub[],COLUMN(S$1),FALSE))</f>
        <v>242.30703765133526</v>
      </c>
      <c r="T325" s="70">
        <f>IF(VLOOKUP($A325,raw_ub[],COLUMN(U$1)-COLUMN($A$1),FALSE)=0, VLOOKUP($D325, regions_ub[], COLUMN(U$1)-COLUMN($A$1), FALSE), VLOOKUP($A325,raw_ub[],COLUMN(U$1)-COLUMN($A$1),FALSE))</f>
        <v>279.96389246262243</v>
      </c>
      <c r="U325" s="70">
        <f>IF(VLOOKUP($A325,raw_ub[],COLUMN(V$1)-COLUMN($A$1),FALSE)=0, VLOOKUP($D325, regions_ub[], COLUMN(V$1)-COLUMN($A$1), FALSE), VLOOKUP($A325,raw_ub[],COLUMN(V$1)-COLUMN($A$1),FALSE))</f>
        <v>262.67266069778793</v>
      </c>
      <c r="V325" s="70">
        <f>IF(VLOOKUP($A325,raw_ub[],COLUMN(W$1)-COLUMN($A$1),FALSE)=0, VLOOKUP($D325, regions_ub[], COLUMN(W$1)-COLUMN($A$1), FALSE), VLOOKUP($A325,raw_ub[],COLUMN(W$1)-COLUMN($A$1),FALSE))</f>
        <v>39.714373957518021</v>
      </c>
      <c r="W325" s="70">
        <f>IF(VLOOKUP($A325,raw_ub[],COLUMN(X$1)-COLUMN($A$1),FALSE)=0, VLOOKUP($D325, regions_ub[], COLUMN(X$1)-COLUMN($A$1), FALSE), VLOOKUP($A325,raw_ub[],COLUMN(X$1)-COLUMN($A$1),FALSE))</f>
        <v>39.735373957518021</v>
      </c>
      <c r="X325" s="70">
        <f>IF(VLOOKUP($A325,raw_ub[],COLUMN(Y$1)-COLUMN($A$1),FALSE)=0, VLOOKUP($D325, regions_ub[], COLUMN(Y$1)-COLUMN($A$1), FALSE), VLOOKUP($A325,raw_ub[],COLUMN(Y$1)-COLUMN($A$1),FALSE))</f>
        <v>39.661153769665113</v>
      </c>
      <c r="Y325" s="70">
        <f>IF(VLOOKUP($A325,raw_ub[],COLUMN(Z$1)-COLUMN($A$1),FALSE)=0, VLOOKUP($D325, regions_ub[], COLUMN(Z$1)-COLUMN($A$1), FALSE), VLOOKUP($A325,raw_ub[],COLUMN(Z$1)-COLUMN($A$1),FALSE))</f>
        <v>39.682153769665113</v>
      </c>
      <c r="Z325" s="70">
        <f>IF(VLOOKUP($A325,raw_ub[],COLUMN(AA$1)-COLUMN($A$1),FALSE)=0, VLOOKUP($D325, regions_ub[], COLUMN(AA$1)-COLUMN($A$1), FALSE), VLOOKUP($A325,raw_ub[],COLUMN(AA$1)-COLUMN($A$1),FALSE))</f>
        <v>39.653812547651327</v>
      </c>
      <c r="AA325" s="70">
        <f>IF(VLOOKUP($A325,raw_ub[],COLUMN(AB$1)-COLUMN($A$1),FALSE)=0, VLOOKUP($D325, regions_ub[], COLUMN(AB$1)-COLUMN($A$1), FALSE), VLOOKUP($A325,raw_ub[],COLUMN(AB$1)-COLUMN($A$1),FALSE))</f>
        <v>39.726655539330224</v>
      </c>
      <c r="AB325" s="70">
        <f>IF(VLOOKUP($A325,raw_ub[],COLUMN(AC$1)-COLUMN($A$1),FALSE)=0, VLOOKUP($D325, regions_ub[], COLUMN(AC$1)-COLUMN($A$1), FALSE), VLOOKUP($A325,raw_ub[],COLUMN(AC$1)-COLUMN($A$1),FALSE))</f>
        <v>39.747655539330225</v>
      </c>
      <c r="AC325" s="72">
        <f>IF(VLOOKUP($A325,raw_ub[],COLUMN(AD$1)-COLUMN($A$1),FALSE)=0, VLOOKUP($D325, regions_ub[], COLUMN(AD$1)-COLUMN($A$1), FALSE), VLOOKUP($A325,raw_ub[],COLUMN(AD$1)-COLUMN($A$1),FALSE))</f>
        <v>1.5747637499999939E-2</v>
      </c>
      <c r="AD325" s="72">
        <f>IF(VLOOKUP($A325,raw_ub[],COLUMN(AE$1)-COLUMN($A$1),FALSE)=0, VLOOKUP($D325, regions_ub[], COLUMN(AE$1)-COLUMN($A$1), FALSE), VLOOKUP($A325,raw_ub[],COLUMN(AE$1)-COLUMN($A$1),FALSE))</f>
        <v>3.8572221535537792E-4</v>
      </c>
      <c r="AE325" s="72">
        <f>IF(VLOOKUP($A325,raw_ub[],COLUMN(AF$1)-COLUMN($A$1),FALSE)=0, VLOOKUP($D325, regions_ub[], COLUMN(AF$1)-COLUMN($A$1), FALSE), VLOOKUP($A325,raw_ub[],COLUMN(AF$1)-COLUMN($A$1),FALSE))</f>
        <v>4.076612421226703E-4</v>
      </c>
      <c r="AF325" s="72">
        <f>IF(VLOOKUP($A325,raw_ub[],COLUMN(AG$1)-COLUMN($A$1),FALSE)=0, VLOOKUP($D325, regions_ub[], COLUMN(AG$1)-COLUMN($A$1), FALSE), VLOOKUP($A325,raw_ub[],COLUMN(AG$1)-COLUMN($A$1),FALSE))</f>
        <v>3.8673205415129877E-4</v>
      </c>
      <c r="AG325" s="72">
        <f>IF(VLOOKUP($A325,raw_ub[],COLUMN(AH$1)-COLUMN($A$1),FALSE)=0, VLOOKUP($D325, regions_ub[], COLUMN(AH$1)-COLUMN($A$1), FALSE), VLOOKUP($A325,raw_ub[],COLUMN(AH$1)-COLUMN($A$1),FALSE))</f>
        <v>9.0805317700703536E-4</v>
      </c>
      <c r="AH325" s="72">
        <f>IF(VLOOKUP($A325,raw_ub[],COLUMN(AI$1)-COLUMN($A$1),FALSE)=0, VLOOKUP($D325, regions_ub[], COLUMN(AI$1)-COLUMN($A$1), FALSE), VLOOKUP($A325,raw_ub[],COLUMN(AI$1)-COLUMN($A$1),FALSE))</f>
        <v>1.2342783943134936E-3</v>
      </c>
      <c r="AI325" s="72">
        <f>IF(VLOOKUP($A325,raw_ub[],COLUMN(AJ$1)-COLUMN($A$1),FALSE)=0, VLOOKUP($D325, regions_ub[], COLUMN(AJ$1)-COLUMN($A$1), FALSE), VLOOKUP($A325,raw_ub[],COLUMN(AJ$1)-COLUMN($A$1),FALSE))</f>
        <v>1.3242816709321511E-3</v>
      </c>
      <c r="AJ325" s="72">
        <f>IF(VLOOKUP($A325,raw_ub[],COLUMN(AK$1)-COLUMN($A$1),FALSE)=0, VLOOKUP($D325, regions_ub[], COLUMN(AK$1)-COLUMN($A$1), FALSE), VLOOKUP($A325,raw_ub[],COLUMN(AK$1)-COLUMN($A$1),FALSE))</f>
        <v>1.5845613393588216E-3</v>
      </c>
      <c r="AK325" s="72">
        <f>IF(VLOOKUP($A325,raw_ub[],COLUMN(AL$1)-COLUMN($A$1),FALSE)=0, VLOOKUP($D325, regions_ub[], COLUMN(AL$1)-COLUMN($A$1), FALSE), VLOOKUP($A325,raw_ub[],COLUMN(AL$1)-COLUMN($A$1),FALSE))</f>
        <v>2.1356674449276064E-3</v>
      </c>
      <c r="AL325" s="72">
        <f>IF(VLOOKUP($A325,raw_ub[],COLUMN(AM$1)-COLUMN($A$1),FALSE)=0, VLOOKUP($D325, regions_ub[], COLUMN(AM$1)-COLUMN($A$1), FALSE), VLOOKUP($A325,raw_ub[],COLUMN(AM$1)-COLUMN($A$1),FALSE))</f>
        <v>3.096784905901118E-3</v>
      </c>
      <c r="AM325" s="72">
        <f>IF(VLOOKUP($A325,raw_ub[],COLUMN(AN$1)-COLUMN($A$1),FALSE)=0, VLOOKUP($D325, regions_ub[], COLUMN(AN$1)-COLUMN($A$1), FALSE), VLOOKUP($A325,raw_ub[],COLUMN(AN$1)-COLUMN($A$1),FALSE))</f>
        <v>4.7592093307938406E-3</v>
      </c>
      <c r="AN325" s="72">
        <f>IF(VLOOKUP($A325,raw_ub[],COLUMN(AO$1)-COLUMN($A$1),FALSE)=0, VLOOKUP($D325, regions_ub[], COLUMN(AO$1)-COLUMN($A$1), FALSE), VLOOKUP($A325,raw_ub[],COLUMN(AO$1)-COLUMN($A$1),FALSE))</f>
        <v>7.3155595528970061E-3</v>
      </c>
      <c r="AO325" s="72">
        <f>IF(VLOOKUP($A325,raw_ub[],COLUMN(AP$1)-COLUMN($A$1),FALSE)=0, VLOOKUP($D325, regions_ub[], COLUMN(AP$1)-COLUMN($A$1), FALSE), VLOOKUP($A325,raw_ub[],COLUMN(AP$1)-COLUMN($A$1),FALSE))</f>
        <v>1.1204530064487118E-2</v>
      </c>
      <c r="AP325" s="72">
        <f>IF(VLOOKUP($A325,raw_ub[],COLUMN(AQ$1)-COLUMN($A$1),FALSE)=0, VLOOKUP($D325, regions_ub[], COLUMN(AQ$1)-COLUMN($A$1), FALSE), VLOOKUP($A325,raw_ub[],COLUMN(AQ$1)-COLUMN($A$1),FALSE))</f>
        <v>1.7373515471689582E-2</v>
      </c>
      <c r="AQ325" s="72">
        <f>IF(VLOOKUP($A325,raw_ub[],COLUMN(AR$1)-COLUMN($A$1),FALSE)=0, VLOOKUP($D325, regions_ub[], COLUMN(AR$1)-COLUMN($A$1), FALSE), VLOOKUP($A325,raw_ub[],COLUMN(AR$1)-COLUMN($A$1),FALSE))</f>
        <v>2.6656383893143346E-2</v>
      </c>
      <c r="AR325" s="72">
        <f>IF(VLOOKUP($A325,raw_ub[],COLUMN(AS$1)-COLUMN($A$1),FALSE)=0, VLOOKUP($D325, regions_ub[], COLUMN(AS$1)-COLUMN($A$1), FALSE), VLOOKUP($A325,raw_ub[],COLUMN(AS$1)-COLUMN($A$1),FALSE))</f>
        <v>4.0478838095112171E-2</v>
      </c>
      <c r="AS325" s="72">
        <f>IF(VLOOKUP($A325,raw_ub[],COLUMN(AT$1)-COLUMN($A$1),FALSE)=0, VLOOKUP($D325, regions_ub[], COLUMN(AT$1)-COLUMN($A$1), FALSE), VLOOKUP($A325,raw_ub[],COLUMN(AT$1)-COLUMN($A$1),FALSE))</f>
        <v>6.1951871626471283E-2</v>
      </c>
      <c r="AT325" s="82">
        <f>IF(VLOOKUP($A325,raw_ub[],COLUMN(AT$1),FALSE)=0, VLOOKUP($D325, regions_ub[], COLUMN(AT$1), FALSE), VLOOKUP($A325,raw_ub[],COLUMN(AT$1),FALSE))</f>
        <v>9.1646826999831496E-2</v>
      </c>
      <c r="AU325" s="82">
        <f>IF(VLOOKUP($A325,raw_ub[],COLUMN(AU$1),FALSE)=0, VLOOKUP($D325, regions_ub[], COLUMN(AU$1), FALSE), VLOOKUP($A325,raw_ub[],COLUMN(AU$1),FALSE))</f>
        <v>0.12670779569935195</v>
      </c>
      <c r="AV325" s="82">
        <f>IF(VLOOKUP($A325,raw_ub[],COLUMN(AV$1),FALSE)=0, VLOOKUP($D325, regions_ub[], COLUMN(AV$1), FALSE), VLOOKUP($A325,raw_ub[],COLUMN(AV$1),FALSE))</f>
        <v>0.15898620186137613</v>
      </c>
      <c r="AW325" s="82">
        <f>IF(VLOOKUP($A325,raw_ub[],COLUMN(AW$1),FALSE)=0, VLOOKUP($D325, regions_ub[], COLUMN(AW$1), FALSE), VLOOKUP($A325,raw_ub[],COLUMN(AW$1),FALSE))</f>
        <v>0.18328439760721746</v>
      </c>
      <c r="AX325" s="82">
        <f>IF(VLOOKUP($A325,raw_ub[],COLUMN(AX$1),FALSE)=0, VLOOKUP($D325, regions_ub[], COLUMN(AX$1), FALSE), VLOOKUP($A325,raw_ub[],COLUMN(AX$1),FALSE))</f>
        <v>76.012650000000008</v>
      </c>
      <c r="AY325" t="str">
        <f t="shared" si="11"/>
        <v>No</v>
      </c>
    </row>
    <row r="326" spans="1:51" x14ac:dyDescent="0.25">
      <c r="A326" s="53" t="s">
        <v>320</v>
      </c>
      <c r="B326" s="54" t="s">
        <v>321</v>
      </c>
      <c r="C326" s="54">
        <v>320</v>
      </c>
      <c r="D326" s="54" t="s">
        <v>215</v>
      </c>
      <c r="E326" s="54" t="s">
        <v>274</v>
      </c>
      <c r="F326" s="54" t="s">
        <v>217</v>
      </c>
      <c r="G326" s="54" t="s">
        <v>204</v>
      </c>
      <c r="H326" s="73"/>
      <c r="I326" s="73"/>
      <c r="J326" s="67">
        <f>IF(VLOOKUP($A326,raw_ub[],COLUMN(J$1),FALSE)=0, VLOOKUP($D326, regions_ub[], COLUMN(J$1), FALSE), VLOOKUP($A326,raw_ub[],COLUMN(J$1),FALSE))</f>
        <v>0.68250000000000011</v>
      </c>
      <c r="K326" s="77">
        <f>VLOOKUP($A326, raw_ub[], 11, FALSE)</f>
        <v>0.504</v>
      </c>
      <c r="L326" s="77">
        <f>VLOOKUP($A326, raw_ub[], 12, FALSE)</f>
        <v>0.93450000000000011</v>
      </c>
      <c r="M326" s="77">
        <f>IF(VLOOKUP($A326,raw_ub[],COLUMN(M$1),FALSE)=0, VLOOKUP($D326, regions_ub[], COLUMN(M$1), FALSE), VLOOKUP($A326,raw_ub[],COLUMN(M$1),FALSE))</f>
        <v>3.3E-3</v>
      </c>
      <c r="N326" s="68">
        <f>IF(VLOOKUP($A326,raw_ub[],COLUMN(N$1),FALSE)=0, VLOOKUP($D326, regions_ub[], COLUMN(N$1), FALSE), VLOOKUP($A326,raw_ub[],COLUMN(N$1),FALSE))</f>
        <v>0.42950000000000005</v>
      </c>
      <c r="O326" s="67">
        <f>IF(VLOOKUP($A326,raw_ub[],COLUMN(O$1),FALSE)=0, VLOOKUP($D326, regions_ub[], COLUMN(O$1), FALSE), VLOOKUP($A326,raw_ub[],COLUMN(O$1),FALSE))</f>
        <v>0.9</v>
      </c>
      <c r="P326" s="68">
        <f>IF(VLOOKUP($A326,raw_ub[],COLUMN(P$1),FALSE)=0, VLOOKUP($D326, regions_ub[], COLUMN(P$1), FALSE), VLOOKUP($A326,raw_ub[],COLUMN(P$1),FALSE))</f>
        <v>0.3</v>
      </c>
      <c r="Q326" s="70">
        <f>IF(VLOOKUP($A326,raw_ub[],COLUMN(Q$1),FALSE)=0, VLOOKUP($D326, regions_ub[], COLUMN(Q$1), FALSE), VLOOKUP($A326,raw_ub[],COLUMN(Q$1),FALSE))</f>
        <v>13.21429301405106</v>
      </c>
      <c r="R326" s="70">
        <f>IF(VLOOKUP($A326,raw_ub[],COLUMN(R$1),FALSE)=0, VLOOKUP($D326, regions_ub[], COLUMN(R$1), FALSE), VLOOKUP($A326,raw_ub[],COLUMN(R$1),FALSE))</f>
        <v>122.20009301405108</v>
      </c>
      <c r="S326" s="70">
        <f>IF(VLOOKUP($A326,raw_ub[],COLUMN(S$1),FALSE)=0, VLOOKUP($D326, regions_ub[], COLUMN(S$1), FALSE), VLOOKUP($A326,raw_ub[],COLUMN(S$1),FALSE))</f>
        <v>168.80479370717583</v>
      </c>
      <c r="T326" s="70">
        <f>IF(VLOOKUP($A326,raw_ub[],COLUMN(U$1)-COLUMN($A$1),FALSE)=0, VLOOKUP($D326, regions_ub[], COLUMN(U$1)-COLUMN($A$1), FALSE), VLOOKUP($A326,raw_ub[],COLUMN(U$1)-COLUMN($A$1),FALSE))</f>
        <v>177.85292280270966</v>
      </c>
      <c r="U326" s="70">
        <f>IF(VLOOKUP($A326,raw_ub[],COLUMN(V$1)-COLUMN($A$1),FALSE)=0, VLOOKUP($D326, regions_ub[], COLUMN(V$1)-COLUMN($A$1), FALSE), VLOOKUP($A326,raw_ub[],COLUMN(V$1)-COLUMN($A$1),FALSE))</f>
        <v>173.69821317512489</v>
      </c>
      <c r="V326" s="70">
        <f>IF(VLOOKUP($A326,raw_ub[],COLUMN(W$1)-COLUMN($A$1),FALSE)=0, VLOOKUP($D326, regions_ub[], COLUMN(W$1)-COLUMN($A$1), FALSE), VLOOKUP($A326,raw_ub[],COLUMN(W$1)-COLUMN($A$1),FALSE))</f>
        <v>6.3333565991027987</v>
      </c>
      <c r="W326" s="70">
        <f>IF(VLOOKUP($A326,raw_ub[],COLUMN(X$1)-COLUMN($A$1),FALSE)=0, VLOOKUP($D326, regions_ub[], COLUMN(X$1)-COLUMN($A$1), FALSE), VLOOKUP($A326,raw_ub[],COLUMN(X$1)-COLUMN($A$1),FALSE))</f>
        <v>6.3543565991027986</v>
      </c>
      <c r="X326" s="70">
        <f>IF(VLOOKUP($A326,raw_ub[],COLUMN(Y$1)-COLUMN($A$1),FALSE)=0, VLOOKUP($D326, regions_ub[], COLUMN(Y$1)-COLUMN($A$1), FALSE), VLOOKUP($A326,raw_ub[],COLUMN(Y$1)-COLUMN($A$1),FALSE))</f>
        <v>6.3031837788153373</v>
      </c>
      <c r="Y326" s="70">
        <f>IF(VLOOKUP($A326,raw_ub[],COLUMN(Z$1)-COLUMN($A$1),FALSE)=0, VLOOKUP($D326, regions_ub[], COLUMN(Z$1)-COLUMN($A$1), FALSE), VLOOKUP($A326,raw_ub[],COLUMN(Z$1)-COLUMN($A$1),FALSE))</f>
        <v>6.3241837788153372</v>
      </c>
      <c r="Z326" s="70">
        <f>IF(VLOOKUP($A326,raw_ub[],COLUMN(AA$1)-COLUMN($A$1),FALSE)=0, VLOOKUP($D326, regions_ub[], COLUMN(AA$1)-COLUMN($A$1), FALSE), VLOOKUP($A326,raw_ub[],COLUMN(AA$1)-COLUMN($A$1),FALSE))</f>
        <v>6.3055181898201313</v>
      </c>
      <c r="AA326" s="70">
        <f>IF(VLOOKUP($A326,raw_ub[],COLUMN(AB$1)-COLUMN($A$1),FALSE)=0, VLOOKUP($D326, regions_ub[], COLUMN(AB$1)-COLUMN($A$1), FALSE), VLOOKUP($A326,raw_ub[],COLUMN(AB$1)-COLUMN($A$1),FALSE))</f>
        <v>6.3403195576306741</v>
      </c>
      <c r="AB326" s="70">
        <f>IF(VLOOKUP($A326,raw_ub[],COLUMN(AC$1)-COLUMN($A$1),FALSE)=0, VLOOKUP($D326, regions_ub[], COLUMN(AC$1)-COLUMN($A$1), FALSE), VLOOKUP($A326,raw_ub[],COLUMN(AC$1)-COLUMN($A$1),FALSE))</f>
        <v>6.361319557630674</v>
      </c>
      <c r="AC326" s="72">
        <f>IF(VLOOKUP($A326,raw_ub[],COLUMN(AD$1)-COLUMN($A$1),FALSE)=0, VLOOKUP($D326, regions_ub[], COLUMN(AD$1)-COLUMN($A$1), FALSE), VLOOKUP($A326,raw_ub[],COLUMN(AD$1)-COLUMN($A$1),FALSE))</f>
        <v>2.1779299499999974E-2</v>
      </c>
      <c r="AD326" s="72">
        <f>IF(VLOOKUP($A326,raw_ub[],COLUMN(AE$1)-COLUMN($A$1),FALSE)=0, VLOOKUP($D326, regions_ub[], COLUMN(AE$1)-COLUMN($A$1), FALSE), VLOOKUP($A326,raw_ub[],COLUMN(AE$1)-COLUMN($A$1),FALSE))</f>
        <v>1.4368533604036313E-3</v>
      </c>
      <c r="AE326" s="72">
        <f>IF(VLOOKUP($A326,raw_ub[],COLUMN(AF$1)-COLUMN($A$1),FALSE)=0, VLOOKUP($D326, regions_ub[], COLUMN(AF$1)-COLUMN($A$1), FALSE), VLOOKUP($A326,raw_ub[],COLUMN(AF$1)-COLUMN($A$1),FALSE))</f>
        <v>3.8057552702510798E-4</v>
      </c>
      <c r="AF326" s="72">
        <f>IF(VLOOKUP($A326,raw_ub[],COLUMN(AG$1)-COLUMN($A$1),FALSE)=0, VLOOKUP($D326, regions_ub[], COLUMN(AG$1)-COLUMN($A$1), FALSE), VLOOKUP($A326,raw_ub[],COLUMN(AG$1)-COLUMN($A$1),FALSE))</f>
        <v>5.4743979077917667E-4</v>
      </c>
      <c r="AG326" s="72">
        <f>IF(VLOOKUP($A326,raw_ub[],COLUMN(AH$1)-COLUMN($A$1),FALSE)=0, VLOOKUP($D326, regions_ub[], COLUMN(AH$1)-COLUMN($A$1), FALSE), VLOOKUP($A326,raw_ub[],COLUMN(AH$1)-COLUMN($A$1),FALSE))</f>
        <v>1.1651380012004079E-3</v>
      </c>
      <c r="AH326" s="72">
        <f>IF(VLOOKUP($A326,raw_ub[],COLUMN(AI$1)-COLUMN($A$1),FALSE)=0, VLOOKUP($D326, regions_ub[], COLUMN(AI$1)-COLUMN($A$1), FALSE), VLOOKUP($A326,raw_ub[],COLUMN(AI$1)-COLUMN($A$1),FALSE))</f>
        <v>1.9953791610690889E-3</v>
      </c>
      <c r="AI326" s="72">
        <f>IF(VLOOKUP($A326,raw_ub[],COLUMN(AJ$1)-COLUMN($A$1),FALSE)=0, VLOOKUP($D326, regions_ub[], COLUMN(AJ$1)-COLUMN($A$1), FALSE), VLOOKUP($A326,raw_ub[],COLUMN(AJ$1)-COLUMN($A$1),FALSE))</f>
        <v>2.6491094463751397E-3</v>
      </c>
      <c r="AJ326" s="72">
        <f>IF(VLOOKUP($A326,raw_ub[],COLUMN(AK$1)-COLUMN($A$1),FALSE)=0, VLOOKUP($D326, regions_ub[], COLUMN(AK$1)-COLUMN($A$1), FALSE), VLOOKUP($A326,raw_ub[],COLUMN(AK$1)-COLUMN($A$1),FALSE))</f>
        <v>3.0562652959143679E-3</v>
      </c>
      <c r="AK326" s="72">
        <f>IF(VLOOKUP($A326,raw_ub[],COLUMN(AL$1)-COLUMN($A$1),FALSE)=0, VLOOKUP($D326, regions_ub[], COLUMN(AL$1)-COLUMN($A$1), FALSE), VLOOKUP($A326,raw_ub[],COLUMN(AL$1)-COLUMN($A$1),FALSE))</f>
        <v>3.3691071828936834E-3</v>
      </c>
      <c r="AL326" s="72">
        <f>IF(VLOOKUP($A326,raw_ub[],COLUMN(AM$1)-COLUMN($A$1),FALSE)=0, VLOOKUP($D326, regions_ub[], COLUMN(AM$1)-COLUMN($A$1), FALSE), VLOOKUP($A326,raw_ub[],COLUMN(AM$1)-COLUMN($A$1),FALSE))</f>
        <v>3.8254346742596992E-3</v>
      </c>
      <c r="AM326" s="72">
        <f>IF(VLOOKUP($A326,raw_ub[],COLUMN(AN$1)-COLUMN($A$1),FALSE)=0, VLOOKUP($D326, regions_ub[], COLUMN(AN$1)-COLUMN($A$1), FALSE), VLOOKUP($A326,raw_ub[],COLUMN(AN$1)-COLUMN($A$1),FALSE))</f>
        <v>4.6646731486246033E-3</v>
      </c>
      <c r="AN326" s="72">
        <f>IF(VLOOKUP($A326,raw_ub[],COLUMN(AO$1)-COLUMN($A$1),FALSE)=0, VLOOKUP($D326, regions_ub[], COLUMN(AO$1)-COLUMN($A$1), FALSE), VLOOKUP($A326,raw_ub[],COLUMN(AO$1)-COLUMN($A$1),FALSE))</f>
        <v>6.1341943719321846E-3</v>
      </c>
      <c r="AO326" s="72">
        <f>IF(VLOOKUP($A326,raw_ub[],COLUMN(AP$1)-COLUMN($A$1),FALSE)=0, VLOOKUP($D326, regions_ub[], COLUMN(AP$1)-COLUMN($A$1), FALSE), VLOOKUP($A326,raw_ub[],COLUMN(AP$1)-COLUMN($A$1),FALSE))</f>
        <v>8.5306310226280421E-3</v>
      </c>
      <c r="AP326" s="72">
        <f>IF(VLOOKUP($A326,raw_ub[],COLUMN(AQ$1)-COLUMN($A$1),FALSE)=0, VLOOKUP($D326, regions_ub[], COLUMN(AQ$1)-COLUMN($A$1), FALSE), VLOOKUP($A326,raw_ub[],COLUMN(AQ$1)-COLUMN($A$1),FALSE))</f>
        <v>1.2375416405832939E-2</v>
      </c>
      <c r="AQ326" s="72">
        <f>IF(VLOOKUP($A326,raw_ub[],COLUMN(AR$1)-COLUMN($A$1),FALSE)=0, VLOOKUP($D326, regions_ub[], COLUMN(AR$1)-COLUMN($A$1), FALSE), VLOOKUP($A326,raw_ub[],COLUMN(AR$1)-COLUMN($A$1),FALSE))</f>
        <v>1.6691641741807393E-2</v>
      </c>
      <c r="AR326" s="72">
        <f>IF(VLOOKUP($A326,raw_ub[],COLUMN(AS$1)-COLUMN($A$1),FALSE)=0, VLOOKUP($D326, regions_ub[], COLUMN(AS$1)-COLUMN($A$1), FALSE), VLOOKUP($A326,raw_ub[],COLUMN(AS$1)-COLUMN($A$1),FALSE))</f>
        <v>2.4050841673526578E-2</v>
      </c>
      <c r="AS326" s="72">
        <f>IF(VLOOKUP($A326,raw_ub[],COLUMN(AT$1)-COLUMN($A$1),FALSE)=0, VLOOKUP($D326, regions_ub[], COLUMN(AT$1)-COLUMN($A$1), FALSE), VLOOKUP($A326,raw_ub[],COLUMN(AT$1)-COLUMN($A$1),FALSE))</f>
        <v>4.0141232717967892E-2</v>
      </c>
      <c r="AT326" s="82">
        <f>IF(VLOOKUP($A326,raw_ub[],COLUMN(AT$1),FALSE)=0, VLOOKUP($D326, regions_ub[], COLUMN(AT$1), FALSE), VLOOKUP($A326,raw_ub[],COLUMN(AT$1),FALSE))</f>
        <v>6.5766262303756068E-2</v>
      </c>
      <c r="AU326" s="82">
        <f>IF(VLOOKUP($A326,raw_ub[],COLUMN(AU$1),FALSE)=0, VLOOKUP($D326, regions_ub[], COLUMN(AU$1), FALSE), VLOOKUP($A326,raw_ub[],COLUMN(AU$1),FALSE))</f>
        <v>9.795758438313594E-2</v>
      </c>
      <c r="AV326" s="82">
        <f>IF(VLOOKUP($A326,raw_ub[],COLUMN(AV$1),FALSE)=0, VLOOKUP($D326, regions_ub[], COLUMN(AV$1), FALSE), VLOOKUP($A326,raw_ub[],COLUMN(AV$1),FALSE))</f>
        <v>0.1324538429464607</v>
      </c>
      <c r="AW326" s="82">
        <f>IF(VLOOKUP($A326,raw_ub[],COLUMN(AW$1),FALSE)=0, VLOOKUP($D326, regions_ub[], COLUMN(AW$1), FALSE), VLOOKUP($A326,raw_ub[],COLUMN(AW$1),FALSE))</f>
        <v>0.16183257890731084</v>
      </c>
      <c r="AX326" s="82">
        <f>IF(VLOOKUP($A326,raw_ub[],COLUMN(AX$1),FALSE)=0, VLOOKUP($D326, regions_ub[], COLUMN(AX$1), FALSE), VLOOKUP($A326,raw_ub[],COLUMN(AX$1),FALSE))</f>
        <v>77.632800000000017</v>
      </c>
      <c r="AY326" t="str">
        <f t="shared" si="11"/>
        <v>No</v>
      </c>
    </row>
    <row r="327" spans="1:51" x14ac:dyDescent="0.25">
      <c r="A327" s="55" t="s">
        <v>322</v>
      </c>
      <c r="B327" s="56" t="s">
        <v>323</v>
      </c>
      <c r="C327" s="56">
        <v>324</v>
      </c>
      <c r="D327" s="56" t="s">
        <v>207</v>
      </c>
      <c r="E327" s="56" t="s">
        <v>235</v>
      </c>
      <c r="F327" s="56" t="s">
        <v>211</v>
      </c>
      <c r="G327" s="56" t="s">
        <v>198</v>
      </c>
      <c r="H327" s="74"/>
      <c r="I327" s="74"/>
      <c r="J327" s="67">
        <f>IF(VLOOKUP($A327,raw_ub[],COLUMN(J$1),FALSE)=0, VLOOKUP($D327, regions_ub[], COLUMN(J$1), FALSE), VLOOKUP($A327,raw_ub[],COLUMN(J$1),FALSE))</f>
        <v>0.55230000000000001</v>
      </c>
      <c r="K327" s="77">
        <f>VLOOKUP($A327, raw_ub[], 11, FALSE)</f>
        <v>0</v>
      </c>
      <c r="L327" s="77">
        <f>VLOOKUP($A327, raw_ub[], 12, FALSE)</f>
        <v>0.49349999999999999</v>
      </c>
      <c r="M327" s="77">
        <f>IF(VLOOKUP($A327,raw_ub[],COLUMN(M$1),FALSE)=0, VLOOKUP($D327, regions_ub[], COLUMN(M$1), FALSE), VLOOKUP($A327,raw_ub[],COLUMN(M$1),FALSE))</f>
        <v>0.1353</v>
      </c>
      <c r="N327" s="68">
        <f>IF(VLOOKUP($A327,raw_ub[],COLUMN(N$1),FALSE)=0, VLOOKUP($D327, regions_ub[], COLUMN(N$1), FALSE), VLOOKUP($A327,raw_ub[],COLUMN(N$1),FALSE))</f>
        <v>0.41070000000000001</v>
      </c>
      <c r="O327" s="67">
        <f>IF(VLOOKUP($A327,raw_ub[],COLUMN(O$1),FALSE)=0, VLOOKUP($D327, regions_ub[], COLUMN(O$1), FALSE), VLOOKUP($A327,raw_ub[],COLUMN(O$1),FALSE))</f>
        <v>0.74399999999999999</v>
      </c>
      <c r="P327" s="68">
        <f>IF(VLOOKUP($A327,raw_ub[],COLUMN(P$1),FALSE)=0, VLOOKUP($D327, regions_ub[], COLUMN(P$1), FALSE), VLOOKUP($A327,raw_ub[],COLUMN(P$1),FALSE))</f>
        <v>0.13300000000000001</v>
      </c>
      <c r="Q327" s="70">
        <f>IF(VLOOKUP($A327,raw_ub[],COLUMN(Q$1),FALSE)=0, VLOOKUP($D327, regions_ub[], COLUMN(Q$1), FALSE), VLOOKUP($A327,raw_ub[],COLUMN(Q$1),FALSE))</f>
        <v>6.2552269576379995</v>
      </c>
      <c r="R327" s="70">
        <f>IF(VLOOKUP($A327,raw_ub[],COLUMN(R$1),FALSE)=0, VLOOKUP($D327, regions_ub[], COLUMN(R$1), FALSE), VLOOKUP($A327,raw_ub[],COLUMN(R$1),FALSE))</f>
        <v>115.24102695763801</v>
      </c>
      <c r="S327" s="70">
        <f>IF(VLOOKUP($A327,raw_ub[],COLUMN(S$1),FALSE)=0, VLOOKUP($D327, regions_ub[], COLUMN(S$1), FALSE), VLOOKUP($A327,raw_ub[],COLUMN(S$1),FALSE))</f>
        <v>146.16189957765388</v>
      </c>
      <c r="T327" s="70">
        <f>IF(VLOOKUP($A327,raw_ub[],COLUMN(U$1)-COLUMN($A$1),FALSE)=0, VLOOKUP($D327, regions_ub[], COLUMN(U$1)-COLUMN($A$1), FALSE), VLOOKUP($A327,raw_ub[],COLUMN(U$1)-COLUMN($A$1),FALSE))</f>
        <v>147.04714432892237</v>
      </c>
      <c r="U327" s="70">
        <f>IF(VLOOKUP($A327,raw_ub[],COLUMN(V$1)-COLUMN($A$1),FALSE)=0, VLOOKUP($D327, regions_ub[], COLUMN(V$1)-COLUMN($A$1), FALSE), VLOOKUP($A327,raw_ub[],COLUMN(V$1)-COLUMN($A$1),FALSE))</f>
        <v>146.64065865083015</v>
      </c>
      <c r="V327" s="70">
        <f>IF(VLOOKUP($A327,raw_ub[],COLUMN(W$1)-COLUMN($A$1),FALSE)=0, VLOOKUP($D327, regions_ub[], COLUMN(W$1)-COLUMN($A$1), FALSE), VLOOKUP($A327,raw_ub[],COLUMN(W$1)-COLUMN($A$1),FALSE))</f>
        <v>2.4890211206012145</v>
      </c>
      <c r="W327" s="70">
        <f>IF(VLOOKUP($A327,raw_ub[],COLUMN(X$1)-COLUMN($A$1),FALSE)=0, VLOOKUP($D327, regions_ub[], COLUMN(X$1)-COLUMN($A$1), FALSE), VLOOKUP($A327,raw_ub[],COLUMN(X$1)-COLUMN($A$1),FALSE))</f>
        <v>7.5605211206012148</v>
      </c>
      <c r="X327" s="70">
        <f>IF(VLOOKUP($A327,raw_ub[],COLUMN(Y$1)-COLUMN($A$1),FALSE)=0, VLOOKUP($D327, regions_ub[], COLUMN(Y$1)-COLUMN($A$1), FALSE), VLOOKUP($A327,raw_ub[],COLUMN(Y$1)-COLUMN($A$1),FALSE))</f>
        <v>2.4681766872282562</v>
      </c>
      <c r="Y327" s="70">
        <f>IF(VLOOKUP($A327,raw_ub[],COLUMN(Z$1)-COLUMN($A$1),FALSE)=0, VLOOKUP($D327, regions_ub[], COLUMN(Z$1)-COLUMN($A$1), FALSE), VLOOKUP($A327,raw_ub[],COLUMN(Z$1)-COLUMN($A$1),FALSE))</f>
        <v>7.5396766872282566</v>
      </c>
      <c r="Z327" s="70">
        <f>IF(VLOOKUP($A327,raw_ub[],COLUMN(AA$1)-COLUMN($A$1),FALSE)=0, VLOOKUP($D327, regions_ub[], COLUMN(AA$1)-COLUMN($A$1), FALSE), VLOOKUP($A327,raw_ub[],COLUMN(AA$1)-COLUMN($A$1),FALSE))</f>
        <v>7.5276576175906467</v>
      </c>
      <c r="AA327" s="70">
        <f>IF(VLOOKUP($A327,raw_ub[],COLUMN(AB$1)-COLUMN($A$1),FALSE)=0, VLOOKUP($D327, regions_ub[], COLUMN(AB$1)-COLUMN($A$1), FALSE), VLOOKUP($A327,raw_ub[],COLUMN(AB$1)-COLUMN($A$1),FALSE))</f>
        <v>2.4938313744565126</v>
      </c>
      <c r="AB327" s="70">
        <f>IF(VLOOKUP($A327,raw_ub[],COLUMN(AC$1)-COLUMN($A$1),FALSE)=0, VLOOKUP($D327, regions_ub[], COLUMN(AC$1)-COLUMN($A$1), FALSE), VLOOKUP($A327,raw_ub[],COLUMN(AC$1)-COLUMN($A$1),FALSE))</f>
        <v>7.5653313744565125</v>
      </c>
      <c r="AC327" s="72">
        <f>IF(VLOOKUP($A327,raw_ub[],COLUMN(AD$1)-COLUMN($A$1),FALSE)=0, VLOOKUP($D327, regions_ub[], COLUMN(AD$1)-COLUMN($A$1), FALSE), VLOOKUP($A327,raw_ub[],COLUMN(AD$1)-COLUMN($A$1),FALSE))</f>
        <v>5.424397649999993E-2</v>
      </c>
      <c r="AD327" s="72">
        <f>IF(VLOOKUP($A327,raw_ub[],COLUMN(AE$1)-COLUMN($A$1),FALSE)=0, VLOOKUP($D327, regions_ub[], COLUMN(AE$1)-COLUMN($A$1), FALSE), VLOOKUP($A327,raw_ub[],COLUMN(AE$1)-COLUMN($A$1),FALSE))</f>
        <v>8.0517139033405311E-3</v>
      </c>
      <c r="AE327" s="72">
        <f>IF(VLOOKUP($A327,raw_ub[],COLUMN(AF$1)-COLUMN($A$1),FALSE)=0, VLOOKUP($D327, regions_ub[], COLUMN(AF$1)-COLUMN($A$1), FALSE), VLOOKUP($A327,raw_ub[],COLUMN(AF$1)-COLUMN($A$1),FALSE))</f>
        <v>2.8907727086528189E-3</v>
      </c>
      <c r="AF327" s="72">
        <f>IF(VLOOKUP($A327,raw_ub[],COLUMN(AG$1)-COLUMN($A$1),FALSE)=0, VLOOKUP($D327, regions_ub[], COLUMN(AG$1)-COLUMN($A$1), FALSE), VLOOKUP($A327,raw_ub[],COLUMN(AG$1)-COLUMN($A$1),FALSE))</f>
        <v>1.703119158440099E-3</v>
      </c>
      <c r="AG327" s="72">
        <f>IF(VLOOKUP($A327,raw_ub[],COLUMN(AH$1)-COLUMN($A$1),FALSE)=0, VLOOKUP($D327, regions_ub[], COLUMN(AH$1)-COLUMN($A$1), FALSE), VLOOKUP($A327,raw_ub[],COLUMN(AH$1)-COLUMN($A$1),FALSE))</f>
        <v>2.5964443594545341E-3</v>
      </c>
      <c r="AH327" s="72">
        <f>IF(VLOOKUP($A327,raw_ub[],COLUMN(AI$1)-COLUMN($A$1),FALSE)=0, VLOOKUP($D327, regions_ub[], COLUMN(AI$1)-COLUMN($A$1), FALSE), VLOOKUP($A327,raw_ub[],COLUMN(AI$1)-COLUMN($A$1),FALSE))</f>
        <v>3.6383525749246336E-3</v>
      </c>
      <c r="AI327" s="72">
        <f>IF(VLOOKUP($A327,raw_ub[],COLUMN(AJ$1)-COLUMN($A$1),FALSE)=0, VLOOKUP($D327, regions_ub[], COLUMN(AJ$1)-COLUMN($A$1), FALSE), VLOOKUP($A327,raw_ub[],COLUMN(AJ$1)-COLUMN($A$1),FALSE))</f>
        <v>3.9016798160823271E-3</v>
      </c>
      <c r="AJ327" s="72">
        <f>IF(VLOOKUP($A327,raw_ub[],COLUMN(AK$1)-COLUMN($A$1),FALSE)=0, VLOOKUP($D327, regions_ub[], COLUMN(AK$1)-COLUMN($A$1), FALSE), VLOOKUP($A327,raw_ub[],COLUMN(AK$1)-COLUMN($A$1),FALSE))</f>
        <v>4.3056398854803193E-3</v>
      </c>
      <c r="AK327" s="72">
        <f>IF(VLOOKUP($A327,raw_ub[],COLUMN(AL$1)-COLUMN($A$1),FALSE)=0, VLOOKUP($D327, regions_ub[], COLUMN(AL$1)-COLUMN($A$1), FALSE), VLOOKUP($A327,raw_ub[],COLUMN(AL$1)-COLUMN($A$1),FALSE))</f>
        <v>4.9452078930670986E-3</v>
      </c>
      <c r="AL327" s="72">
        <f>IF(VLOOKUP($A327,raw_ub[],COLUMN(AM$1)-COLUMN($A$1),FALSE)=0, VLOOKUP($D327, regions_ub[], COLUMN(AM$1)-COLUMN($A$1), FALSE), VLOOKUP($A327,raw_ub[],COLUMN(AM$1)-COLUMN($A$1),FALSE))</f>
        <v>6.0183218453963632E-3</v>
      </c>
      <c r="AM327" s="72">
        <f>IF(VLOOKUP($A327,raw_ub[],COLUMN(AN$1)-COLUMN($A$1),FALSE)=0, VLOOKUP($D327, regions_ub[], COLUMN(AN$1)-COLUMN($A$1), FALSE), VLOOKUP($A327,raw_ub[],COLUMN(AN$1)-COLUMN($A$1),FALSE))</f>
        <v>7.4643935642659262E-3</v>
      </c>
      <c r="AN327" s="72">
        <f>IF(VLOOKUP($A327,raw_ub[],COLUMN(AO$1)-COLUMN($A$1),FALSE)=0, VLOOKUP($D327, regions_ub[], COLUMN(AO$1)-COLUMN($A$1), FALSE), VLOOKUP($A327,raw_ub[],COLUMN(AO$1)-COLUMN($A$1),FALSE))</f>
        <v>1.0485746465616855E-2</v>
      </c>
      <c r="AO327" s="72">
        <f>IF(VLOOKUP($A327,raw_ub[],COLUMN(AP$1)-COLUMN($A$1),FALSE)=0, VLOOKUP($D327, regions_ub[], COLUMN(AP$1)-COLUMN($A$1), FALSE), VLOOKUP($A327,raw_ub[],COLUMN(AP$1)-COLUMN($A$1),FALSE))</f>
        <v>1.4954558362932574E-2</v>
      </c>
      <c r="AP327" s="72">
        <f>IF(VLOOKUP($A327,raw_ub[],COLUMN(AQ$1)-COLUMN($A$1),FALSE)=0, VLOOKUP($D327, regions_ub[], COLUMN(AQ$1)-COLUMN($A$1), FALSE), VLOOKUP($A327,raw_ub[],COLUMN(AQ$1)-COLUMN($A$1),FALSE))</f>
        <v>2.3498902756790042E-2</v>
      </c>
      <c r="AQ327" s="72">
        <f>IF(VLOOKUP($A327,raw_ub[],COLUMN(AR$1)-COLUMN($A$1),FALSE)=0, VLOOKUP($D327, regions_ub[], COLUMN(AR$1)-COLUMN($A$1), FALSE), VLOOKUP($A327,raw_ub[],COLUMN(AR$1)-COLUMN($A$1),FALSE))</f>
        <v>3.6413878600653191E-2</v>
      </c>
      <c r="AR327" s="72">
        <f>IF(VLOOKUP($A327,raw_ub[],COLUMN(AS$1)-COLUMN($A$1),FALSE)=0, VLOOKUP($D327, regions_ub[], COLUMN(AS$1)-COLUMN($A$1), FALSE), VLOOKUP($A327,raw_ub[],COLUMN(AS$1)-COLUMN($A$1),FALSE))</f>
        <v>5.8433438655127345E-2</v>
      </c>
      <c r="AS327" s="72">
        <f>IF(VLOOKUP($A327,raw_ub[],COLUMN(AT$1)-COLUMN($A$1),FALSE)=0, VLOOKUP($D327, regions_ub[], COLUMN(AT$1)-COLUMN($A$1), FALSE), VLOOKUP($A327,raw_ub[],COLUMN(AT$1)-COLUMN($A$1),FALSE))</f>
        <v>8.9687753740723922E-2</v>
      </c>
      <c r="AT327" s="82">
        <f>IF(VLOOKUP($A327,raw_ub[],COLUMN(AT$1),FALSE)=0, VLOOKUP($D327, regions_ub[], COLUMN(AT$1), FALSE), VLOOKUP($A327,raw_ub[],COLUMN(AT$1),FALSE))</f>
        <v>0.12784537400537241</v>
      </c>
      <c r="AU327" s="82">
        <f>IF(VLOOKUP($A327,raw_ub[],COLUMN(AU$1),FALSE)=0, VLOOKUP($D327, regions_ub[], COLUMN(AU$1), FALSE), VLOOKUP($A327,raw_ub[],COLUMN(AU$1),FALSE))</f>
        <v>0.16246672435143339</v>
      </c>
      <c r="AV327" s="82">
        <f>IF(VLOOKUP($A327,raw_ub[],COLUMN(AV$1),FALSE)=0, VLOOKUP($D327, regions_ub[], COLUMN(AV$1), FALSE), VLOOKUP($A327,raw_ub[],COLUMN(AV$1),FALSE))</f>
        <v>0.18605618074129321</v>
      </c>
      <c r="AW327" s="82">
        <f>IF(VLOOKUP($A327,raw_ub[],COLUMN(AW$1),FALSE)=0, VLOOKUP($D327, regions_ub[], COLUMN(AW$1), FALSE), VLOOKUP($A327,raw_ub[],COLUMN(AW$1),FALSE))</f>
        <v>0.19741801182182186</v>
      </c>
      <c r="AX327" s="82">
        <f>IF(VLOOKUP($A327,raw_ub[],COLUMN(AX$1),FALSE)=0, VLOOKUP($D327, regions_ub[], COLUMN(AX$1), FALSE), VLOOKUP($A327,raw_ub[],COLUMN(AX$1),FALSE))</f>
        <v>64.096199999999996</v>
      </c>
      <c r="AY327" t="str">
        <f t="shared" si="11"/>
        <v>Yes</v>
      </c>
    </row>
    <row r="328" spans="1:51" x14ac:dyDescent="0.25">
      <c r="A328" s="53" t="s">
        <v>324</v>
      </c>
      <c r="B328" s="54" t="s">
        <v>325</v>
      </c>
      <c r="C328" s="54">
        <v>624</v>
      </c>
      <c r="D328" s="54" t="s">
        <v>207</v>
      </c>
      <c r="E328" s="54" t="s">
        <v>235</v>
      </c>
      <c r="F328" s="54" t="s">
        <v>211</v>
      </c>
      <c r="G328" s="54" t="s">
        <v>198</v>
      </c>
      <c r="H328" s="73"/>
      <c r="I328" s="73"/>
      <c r="J328" s="67">
        <f>IF(VLOOKUP($A328,raw_ub[],COLUMN(J$1),FALSE)=0, VLOOKUP($D328, regions_ub[], COLUMN(J$1), FALSE), VLOOKUP($A328,raw_ub[],COLUMN(J$1),FALSE))</f>
        <v>0.46200000000000002</v>
      </c>
      <c r="K328" s="77">
        <f>VLOOKUP($A328, raw_ub[], 11, FALSE)</f>
        <v>0</v>
      </c>
      <c r="L328" s="77">
        <f>VLOOKUP($A328, raw_ub[], 12, FALSE)</f>
        <v>0.77700000000000002</v>
      </c>
      <c r="M328" s="77">
        <f>IF(VLOOKUP($A328,raw_ub[],COLUMN(M$1),FALSE)=0, VLOOKUP($D328, regions_ub[], COLUMN(M$1), FALSE), VLOOKUP($A328,raw_ub[],COLUMN(M$1),FALSE))</f>
        <v>0.3075</v>
      </c>
      <c r="N328" s="68">
        <f>IF(VLOOKUP($A328,raw_ub[],COLUMN(N$1),FALSE)=0, VLOOKUP($D328, regions_ub[], COLUMN(N$1), FALSE), VLOOKUP($A328,raw_ub[],COLUMN(N$1),FALSE))</f>
        <v>0.41070000000000001</v>
      </c>
      <c r="O328" s="67">
        <f>IF(VLOOKUP($A328,raw_ub[],COLUMN(O$1),FALSE)=0, VLOOKUP($D328, regions_ub[], COLUMN(O$1), FALSE), VLOOKUP($A328,raw_ub[],COLUMN(O$1),FALSE))</f>
        <v>0.74399999999999999</v>
      </c>
      <c r="P328" s="68">
        <f>IF(VLOOKUP($A328,raw_ub[],COLUMN(P$1),FALSE)=0, VLOOKUP($D328, regions_ub[], COLUMN(P$1), FALSE), VLOOKUP($A328,raw_ub[],COLUMN(P$1),FALSE))</f>
        <v>0.13300000000000001</v>
      </c>
      <c r="Q328" s="70">
        <f>IF(VLOOKUP($A328,raw_ub[],COLUMN(Q$1),FALSE)=0, VLOOKUP($D328, regions_ub[], COLUMN(Q$1), FALSE), VLOOKUP($A328,raw_ub[],COLUMN(Q$1),FALSE))</f>
        <v>10.848787539350035</v>
      </c>
      <c r="R328" s="70">
        <f>IF(VLOOKUP($A328,raw_ub[],COLUMN(R$1),FALSE)=0, VLOOKUP($D328, regions_ub[], COLUMN(R$1), FALSE), VLOOKUP($A328,raw_ub[],COLUMN(R$1),FALSE))</f>
        <v>119.83458753935003</v>
      </c>
      <c r="S328" s="70">
        <f>IF(VLOOKUP($A328,raw_ub[],COLUMN(S$1),FALSE)=0, VLOOKUP($D328, regions_ub[], COLUMN(S$1), FALSE), VLOOKUP($A328,raw_ub[],COLUMN(S$1),FALSE))</f>
        <v>161.42169624364792</v>
      </c>
      <c r="T328" s="70">
        <f>IF(VLOOKUP($A328,raw_ub[],COLUMN(U$1)-COLUMN($A$1),FALSE)=0, VLOOKUP($D328, regions_ub[], COLUMN(U$1)-COLUMN($A$1), FALSE), VLOOKUP($A328,raw_ub[],COLUMN(U$1)-COLUMN($A$1),FALSE))</f>
        <v>167.85834407959484</v>
      </c>
      <c r="U328" s="70">
        <f>IF(VLOOKUP($A328,raw_ub[],COLUMN(V$1)-COLUMN($A$1),FALSE)=0, VLOOKUP($D328, regions_ub[], COLUMN(V$1)-COLUMN($A$1), FALSE), VLOOKUP($A328,raw_ub[],COLUMN(V$1)-COLUMN($A$1),FALSE))</f>
        <v>164.90277144673067</v>
      </c>
      <c r="V328" s="70">
        <f>IF(VLOOKUP($A328,raw_ub[],COLUMN(W$1)-COLUMN($A$1),FALSE)=0, VLOOKUP($D328, regions_ub[], COLUMN(W$1)-COLUMN($A$1), FALSE), VLOOKUP($A328,raw_ub[],COLUMN(W$1)-COLUMN($A$1),FALSE))</f>
        <v>6.7876741745682034</v>
      </c>
      <c r="W328" s="70">
        <f>IF(VLOOKUP($A328,raw_ub[],COLUMN(X$1)-COLUMN($A$1),FALSE)=0, VLOOKUP($D328, regions_ub[], COLUMN(X$1)-COLUMN($A$1), FALSE), VLOOKUP($A328,raw_ub[],COLUMN(X$1)-COLUMN($A$1),FALSE))</f>
        <v>11.859174174568203</v>
      </c>
      <c r="X328" s="70">
        <f>IF(VLOOKUP($A328,raw_ub[],COLUMN(Y$1)-COLUMN($A$1),FALSE)=0, VLOOKUP($D328, regions_ub[], COLUMN(Y$1)-COLUMN($A$1), FALSE), VLOOKUP($A328,raw_ub[],COLUMN(Y$1)-COLUMN($A$1),FALSE))</f>
        <v>6.7755984411410779</v>
      </c>
      <c r="Y328" s="70">
        <f>IF(VLOOKUP($A328,raw_ub[],COLUMN(Z$1)-COLUMN($A$1),FALSE)=0, VLOOKUP($D328, regions_ub[], COLUMN(Z$1)-COLUMN($A$1), FALSE), VLOOKUP($A328,raw_ub[],COLUMN(Z$1)-COLUMN($A$1),FALSE))</f>
        <v>11.847098441141078</v>
      </c>
      <c r="Z328" s="70">
        <f>IF(VLOOKUP($A328,raw_ub[],COLUMN(AA$1)-COLUMN($A$1),FALSE)=0, VLOOKUP($D328, regions_ub[], COLUMN(AA$1)-COLUMN($A$1), FALSE), VLOOKUP($A328,raw_ub[],COLUMN(AA$1)-COLUMN($A$1),FALSE))</f>
        <v>11.840544100726426</v>
      </c>
      <c r="AA328" s="70">
        <f>IF(VLOOKUP($A328,raw_ub[],COLUMN(AB$1)-COLUMN($A$1),FALSE)=0, VLOOKUP($D328, regions_ub[], COLUMN(AB$1)-COLUMN($A$1), FALSE), VLOOKUP($A328,raw_ub[],COLUMN(AB$1)-COLUMN($A$1),FALSE))</f>
        <v>6.7904608822821562</v>
      </c>
      <c r="AB328" s="70">
        <f>IF(VLOOKUP($A328,raw_ub[],COLUMN(AC$1)-COLUMN($A$1),FALSE)=0, VLOOKUP($D328, regions_ub[], COLUMN(AC$1)-COLUMN($A$1), FALSE), VLOOKUP($A328,raw_ub[],COLUMN(AC$1)-COLUMN($A$1),FALSE))</f>
        <v>11.861960882282157</v>
      </c>
      <c r="AC328" s="72">
        <f>IF(VLOOKUP($A328,raw_ub[],COLUMN(AD$1)-COLUMN($A$1),FALSE)=0, VLOOKUP($D328, regions_ub[], COLUMN(AD$1)-COLUMN($A$1), FALSE), VLOOKUP($A328,raw_ub[],COLUMN(AD$1)-COLUMN($A$1),FALSE))</f>
        <v>5.9993891999999979E-2</v>
      </c>
      <c r="AD328" s="72">
        <f>IF(VLOOKUP($A328,raw_ub[],COLUMN(AE$1)-COLUMN($A$1),FALSE)=0, VLOOKUP($D328, regions_ub[], COLUMN(AE$1)-COLUMN($A$1), FALSE), VLOOKUP($A328,raw_ub[],COLUMN(AE$1)-COLUMN($A$1),FALSE))</f>
        <v>7.0498760498556448E-3</v>
      </c>
      <c r="AE328" s="72">
        <f>IF(VLOOKUP($A328,raw_ub[],COLUMN(AF$1)-COLUMN($A$1),FALSE)=0, VLOOKUP($D328, regions_ub[], COLUMN(AF$1)-COLUMN($A$1), FALSE), VLOOKUP($A328,raw_ub[],COLUMN(AF$1)-COLUMN($A$1),FALSE))</f>
        <v>2.7742593026925961E-3</v>
      </c>
      <c r="AF328" s="72">
        <f>IF(VLOOKUP($A328,raw_ub[],COLUMN(AG$1)-COLUMN($A$1),FALSE)=0, VLOOKUP($D328, regions_ub[], COLUMN(AG$1)-COLUMN($A$1), FALSE), VLOOKUP($A328,raw_ub[],COLUMN(AG$1)-COLUMN($A$1),FALSE))</f>
        <v>1.9511884984040506E-3</v>
      </c>
      <c r="AG328" s="72">
        <f>IF(VLOOKUP($A328,raw_ub[],COLUMN(AH$1)-COLUMN($A$1),FALSE)=0, VLOOKUP($D328, regions_ub[], COLUMN(AH$1)-COLUMN($A$1), FALSE), VLOOKUP($A328,raw_ub[],COLUMN(AH$1)-COLUMN($A$1),FALSE))</f>
        <v>2.896362658566241E-3</v>
      </c>
      <c r="AH328" s="72">
        <f>IF(VLOOKUP($A328,raw_ub[],COLUMN(AI$1)-COLUMN($A$1),FALSE)=0, VLOOKUP($D328, regions_ub[], COLUMN(AI$1)-COLUMN($A$1), FALSE), VLOOKUP($A328,raw_ub[],COLUMN(AI$1)-COLUMN($A$1),FALSE))</f>
        <v>4.2707239403003442E-3</v>
      </c>
      <c r="AI328" s="72">
        <f>IF(VLOOKUP($A328,raw_ub[],COLUMN(AJ$1)-COLUMN($A$1),FALSE)=0, VLOOKUP($D328, regions_ub[], COLUMN(AJ$1)-COLUMN($A$1), FALSE), VLOOKUP($A328,raw_ub[],COLUMN(AJ$1)-COLUMN($A$1),FALSE))</f>
        <v>5.396555867944311E-3</v>
      </c>
      <c r="AJ328" s="72">
        <f>IF(VLOOKUP($A328,raw_ub[],COLUMN(AK$1)-COLUMN($A$1),FALSE)=0, VLOOKUP($D328, regions_ub[], COLUMN(AK$1)-COLUMN($A$1), FALSE), VLOOKUP($A328,raw_ub[],COLUMN(AK$1)-COLUMN($A$1),FALSE))</f>
        <v>6.5936793803368426E-3</v>
      </c>
      <c r="AK328" s="72">
        <f>IF(VLOOKUP($A328,raw_ub[],COLUMN(AL$1)-COLUMN($A$1),FALSE)=0, VLOOKUP($D328, regions_ub[], COLUMN(AL$1)-COLUMN($A$1), FALSE), VLOOKUP($A328,raw_ub[],COLUMN(AL$1)-COLUMN($A$1),FALSE))</f>
        <v>8.2372583866583467E-3</v>
      </c>
      <c r="AL328" s="72">
        <f>IF(VLOOKUP($A328,raw_ub[],COLUMN(AM$1)-COLUMN($A$1),FALSE)=0, VLOOKUP($D328, regions_ub[], COLUMN(AM$1)-COLUMN($A$1), FALSE), VLOOKUP($A328,raw_ub[],COLUMN(AM$1)-COLUMN($A$1),FALSE))</f>
        <v>9.984233390263976E-3</v>
      </c>
      <c r="AM328" s="72">
        <f>IF(VLOOKUP($A328,raw_ub[],COLUMN(AN$1)-COLUMN($A$1),FALSE)=0, VLOOKUP($D328, regions_ub[], COLUMN(AN$1)-COLUMN($A$1), FALSE), VLOOKUP($A328,raw_ub[],COLUMN(AN$1)-COLUMN($A$1),FALSE))</f>
        <v>1.1972046214426378E-2</v>
      </c>
      <c r="AN328" s="72">
        <f>IF(VLOOKUP($A328,raw_ub[],COLUMN(AO$1)-COLUMN($A$1),FALSE)=0, VLOOKUP($D328, regions_ub[], COLUMN(AO$1)-COLUMN($A$1), FALSE), VLOOKUP($A328,raw_ub[],COLUMN(AO$1)-COLUMN($A$1),FALSE))</f>
        <v>1.5585866714706033E-2</v>
      </c>
      <c r="AO328" s="72">
        <f>IF(VLOOKUP($A328,raw_ub[],COLUMN(AP$1)-COLUMN($A$1),FALSE)=0, VLOOKUP($D328, regions_ub[], COLUMN(AP$1)-COLUMN($A$1), FALSE), VLOOKUP($A328,raw_ub[],COLUMN(AP$1)-COLUMN($A$1),FALSE))</f>
        <v>1.9820299206392247E-2</v>
      </c>
      <c r="AP328" s="72">
        <f>IF(VLOOKUP($A328,raw_ub[],COLUMN(AQ$1)-COLUMN($A$1),FALSE)=0, VLOOKUP($D328, regions_ub[], COLUMN(AQ$1)-COLUMN($A$1), FALSE), VLOOKUP($A328,raw_ub[],COLUMN(AQ$1)-COLUMN($A$1),FALSE))</f>
        <v>2.7901741904926045E-2</v>
      </c>
      <c r="AQ328" s="72">
        <f>IF(VLOOKUP($A328,raw_ub[],COLUMN(AR$1)-COLUMN($A$1),FALSE)=0, VLOOKUP($D328, regions_ub[], COLUMN(AR$1)-COLUMN($A$1), FALSE), VLOOKUP($A328,raw_ub[],COLUMN(AR$1)-COLUMN($A$1),FALSE))</f>
        <v>4.0774328990910581E-2</v>
      </c>
      <c r="AR328" s="72">
        <f>IF(VLOOKUP($A328,raw_ub[],COLUMN(AS$1)-COLUMN($A$1),FALSE)=0, VLOOKUP($D328, regions_ub[], COLUMN(AS$1)-COLUMN($A$1), FALSE), VLOOKUP($A328,raw_ub[],COLUMN(AS$1)-COLUMN($A$1),FALSE))</f>
        <v>6.0690493984278303E-2</v>
      </c>
      <c r="AS328" s="72">
        <f>IF(VLOOKUP($A328,raw_ub[],COLUMN(AT$1)-COLUMN($A$1),FALSE)=0, VLOOKUP($D328, regions_ub[], COLUMN(AT$1)-COLUMN($A$1), FALSE), VLOOKUP($A328,raw_ub[],COLUMN(AT$1)-COLUMN($A$1),FALSE))</f>
        <v>8.8706089706367675E-2</v>
      </c>
      <c r="AT328" s="82">
        <f>IF(VLOOKUP($A328,raw_ub[],COLUMN(AT$1),FALSE)=0, VLOOKUP($D328, regions_ub[], COLUMN(AT$1), FALSE), VLOOKUP($A328,raw_ub[],COLUMN(AT$1),FALSE))</f>
        <v>0.12680589056312347</v>
      </c>
      <c r="AU328" s="82">
        <f>IF(VLOOKUP($A328,raw_ub[],COLUMN(AU$1),FALSE)=0, VLOOKUP($D328, regions_ub[], COLUMN(AU$1), FALSE), VLOOKUP($A328,raw_ub[],COLUMN(AU$1),FALSE))</f>
        <v>0.16634345042019608</v>
      </c>
      <c r="AV328" s="82">
        <f>IF(VLOOKUP($A328,raw_ub[],COLUMN(AV$1),FALSE)=0, VLOOKUP($D328, regions_ub[], COLUMN(AV$1), FALSE), VLOOKUP($A328,raw_ub[],COLUMN(AV$1),FALSE))</f>
        <v>0.1935066490589358</v>
      </c>
      <c r="AW328" s="82">
        <f>IF(VLOOKUP($A328,raw_ub[],COLUMN(AW$1),FALSE)=0, VLOOKUP($D328, regions_ub[], COLUMN(AW$1), FALSE), VLOOKUP($A328,raw_ub[],COLUMN(AW$1),FALSE))</f>
        <v>0.19933349476755366</v>
      </c>
      <c r="AX328" s="82">
        <f>IF(VLOOKUP($A328,raw_ub[],COLUMN(AX$1),FALSE)=0, VLOOKUP($D328, regions_ub[], COLUMN(AX$1), FALSE), VLOOKUP($A328,raw_ub[],COLUMN(AX$1),FALSE))</f>
        <v>60.709950000000006</v>
      </c>
      <c r="AY328" t="str">
        <f t="shared" si="11"/>
        <v>Yes</v>
      </c>
    </row>
    <row r="329" spans="1:51" x14ac:dyDescent="0.25">
      <c r="A329" s="55" t="s">
        <v>326</v>
      </c>
      <c r="B329" s="56" t="s">
        <v>327</v>
      </c>
      <c r="C329" s="56">
        <v>328</v>
      </c>
      <c r="D329" s="56" t="s">
        <v>215</v>
      </c>
      <c r="E329" s="56" t="s">
        <v>232</v>
      </c>
      <c r="F329" s="56" t="s">
        <v>217</v>
      </c>
      <c r="G329" s="56" t="s">
        <v>204</v>
      </c>
      <c r="H329" s="74"/>
      <c r="I329" s="74"/>
      <c r="J329" s="67">
        <f>IF(VLOOKUP($A329,raw_ub[],COLUMN(J$1),FALSE)=0, VLOOKUP($D329, regions_ub[], COLUMN(J$1), FALSE), VLOOKUP($A329,raw_ub[],COLUMN(J$1),FALSE))</f>
        <v>0.97335000000000005</v>
      </c>
      <c r="K329" s="77">
        <f>VLOOKUP($A329, raw_ub[], 11, FALSE)</f>
        <v>0.73499999999999999</v>
      </c>
      <c r="L329" s="77">
        <f>VLOOKUP($A329, raw_ub[], 12, FALSE)</f>
        <v>0.999</v>
      </c>
      <c r="M329" s="77">
        <f>IF(VLOOKUP($A329,raw_ub[],COLUMN(M$1),FALSE)=0, VLOOKUP($D329, regions_ub[], COLUMN(M$1), FALSE), VLOOKUP($A329,raw_ub[],COLUMN(M$1),FALSE))</f>
        <v>9.9299999999999999E-2</v>
      </c>
      <c r="N329" s="68">
        <f>IF(VLOOKUP($A329,raw_ub[],COLUMN(N$1),FALSE)=0, VLOOKUP($D329, regions_ub[], COLUMN(N$1), FALSE), VLOOKUP($A329,raw_ub[],COLUMN(N$1),FALSE))</f>
        <v>0.43</v>
      </c>
      <c r="O329" s="67">
        <f>IF(VLOOKUP($A329,raw_ub[],COLUMN(O$1),FALSE)=0, VLOOKUP($D329, regions_ub[], COLUMN(O$1), FALSE), VLOOKUP($A329,raw_ub[],COLUMN(O$1),FALSE))</f>
        <v>0.9</v>
      </c>
      <c r="P329" s="68">
        <f>IF(VLOOKUP($A329,raw_ub[],COLUMN(P$1),FALSE)=0, VLOOKUP($D329, regions_ub[], COLUMN(P$1), FALSE), VLOOKUP($A329,raw_ub[],COLUMN(P$1),FALSE))</f>
        <v>0.3</v>
      </c>
      <c r="Q329" s="70">
        <f>IF(VLOOKUP($A329,raw_ub[],COLUMN(Q$1),FALSE)=0, VLOOKUP($D329, regions_ub[], COLUMN(Q$1), FALSE), VLOOKUP($A329,raw_ub[],COLUMN(Q$1),FALSE))</f>
        <v>19.565579310344802</v>
      </c>
      <c r="R329" s="70">
        <f>IF(VLOOKUP($A329,raw_ub[],COLUMN(R$1),FALSE)=0, VLOOKUP($D329, regions_ub[], COLUMN(R$1), FALSE), VLOOKUP($A329,raw_ub[],COLUMN(R$1),FALSE))</f>
        <v>128.55137931034483</v>
      </c>
      <c r="S329" s="70">
        <f>IF(VLOOKUP($A329,raw_ub[],COLUMN(S$1),FALSE)=0, VLOOKUP($D329, regions_ub[], COLUMN(S$1), FALSE), VLOOKUP($A329,raw_ub[],COLUMN(S$1),FALSE))</f>
        <v>178.65298317739118</v>
      </c>
      <c r="T329" s="70">
        <f>IF(VLOOKUP($A329,raw_ub[],COLUMN(U$1)-COLUMN($A$1),FALSE)=0, VLOOKUP($D329, regions_ub[], COLUMN(U$1)-COLUMN($A$1), FALSE), VLOOKUP($A329,raw_ub[],COLUMN(U$1)-COLUMN($A$1),FALSE))</f>
        <v>189.52112815417266</v>
      </c>
      <c r="U329" s="70">
        <f>IF(VLOOKUP($A329,raw_ub[],COLUMN(V$1)-COLUMN($A$1),FALSE)=0, VLOOKUP($D329, regions_ub[], COLUMN(V$1)-COLUMN($A$1), FALSE), VLOOKUP($A329,raw_ub[],COLUMN(V$1)-COLUMN($A$1),FALSE))</f>
        <v>184.53070570415375</v>
      </c>
      <c r="V329" s="70">
        <f>IF(VLOOKUP($A329,raw_ub[],COLUMN(W$1)-COLUMN($A$1),FALSE)=0, VLOOKUP($D329, regions_ub[], COLUMN(W$1)-COLUMN($A$1), FALSE), VLOOKUP($A329,raw_ub[],COLUMN(W$1)-COLUMN($A$1),FALSE))</f>
        <v>15.45001860354415</v>
      </c>
      <c r="W329" s="70">
        <f>IF(VLOOKUP($A329,raw_ub[],COLUMN(X$1)-COLUMN($A$1),FALSE)=0, VLOOKUP($D329, regions_ub[], COLUMN(X$1)-COLUMN($A$1), FALSE), VLOOKUP($A329,raw_ub[],COLUMN(X$1)-COLUMN($A$1),FALSE))</f>
        <v>15.471018603544151</v>
      </c>
      <c r="X329" s="70">
        <f>IF(VLOOKUP($A329,raw_ub[],COLUMN(Y$1)-COLUMN($A$1),FALSE)=0, VLOOKUP($D329, regions_ub[], COLUMN(Y$1)-COLUMN($A$1), FALSE), VLOOKUP($A329,raw_ub[],COLUMN(Y$1)-COLUMN($A$1),FALSE))</f>
        <v>15.407845436438151</v>
      </c>
      <c r="Y329" s="70">
        <f>IF(VLOOKUP($A329,raw_ub[],COLUMN(Z$1)-COLUMN($A$1),FALSE)=0, VLOOKUP($D329, regions_ub[], COLUMN(Z$1)-COLUMN($A$1), FALSE), VLOOKUP($A329,raw_ub[],COLUMN(Z$1)-COLUMN($A$1),FALSE))</f>
        <v>15.428845436438152</v>
      </c>
      <c r="Z329" s="70">
        <f>IF(VLOOKUP($A329,raw_ub[],COLUMN(AA$1)-COLUMN($A$1),FALSE)=0, VLOOKUP($D329, regions_ub[], COLUMN(AA$1)-COLUMN($A$1), FALSE), VLOOKUP($A329,raw_ub[],COLUMN(AA$1)-COLUMN($A$1),FALSE))</f>
        <v>15.404849632661517</v>
      </c>
      <c r="AA329" s="70">
        <f>IF(VLOOKUP($A329,raw_ub[],COLUMN(AB$1)-COLUMN($A$1),FALSE)=0, VLOOKUP($D329, regions_ub[], COLUMN(AB$1)-COLUMN($A$1), FALSE), VLOOKUP($A329,raw_ub[],COLUMN(AB$1)-COLUMN($A$1),FALSE))</f>
        <v>15.459750872876302</v>
      </c>
      <c r="AB329" s="70">
        <f>IF(VLOOKUP($A329,raw_ub[],COLUMN(AC$1)-COLUMN($A$1),FALSE)=0, VLOOKUP($D329, regions_ub[], COLUMN(AC$1)-COLUMN($A$1), FALSE), VLOOKUP($A329,raw_ub[],COLUMN(AC$1)-COLUMN($A$1),FALSE))</f>
        <v>15.480750872876303</v>
      </c>
      <c r="AC329" s="72">
        <f>IF(VLOOKUP($A329,raw_ub[],COLUMN(AD$1)-COLUMN($A$1),FALSE)=0, VLOOKUP($D329, regions_ub[], COLUMN(AD$1)-COLUMN($A$1), FALSE), VLOOKUP($A329,raw_ub[],COLUMN(AD$1)-COLUMN($A$1),FALSE))</f>
        <v>2.8109665500000051E-2</v>
      </c>
      <c r="AD329" s="72">
        <f>IF(VLOOKUP($A329,raw_ub[],COLUMN(AE$1)-COLUMN($A$1),FALSE)=0, VLOOKUP($D329, regions_ub[], COLUMN(AE$1)-COLUMN($A$1), FALSE), VLOOKUP($A329,raw_ub[],COLUMN(AE$1)-COLUMN($A$1),FALSE))</f>
        <v>1.49086511396099E-3</v>
      </c>
      <c r="AE329" s="72">
        <f>IF(VLOOKUP($A329,raw_ub[],COLUMN(AF$1)-COLUMN($A$1),FALSE)=0, VLOOKUP($D329, regions_ub[], COLUMN(AF$1)-COLUMN($A$1), FALSE), VLOOKUP($A329,raw_ub[],COLUMN(AF$1)-COLUMN($A$1),FALSE))</f>
        <v>9.9295108010844803E-4</v>
      </c>
      <c r="AF329" s="72">
        <f>IF(VLOOKUP($A329,raw_ub[],COLUMN(AG$1)-COLUMN($A$1),FALSE)=0, VLOOKUP($D329, regions_ub[], COLUMN(AG$1)-COLUMN($A$1), FALSE), VLOOKUP($A329,raw_ub[],COLUMN(AG$1)-COLUMN($A$1),FALSE))</f>
        <v>8.1067507035916973E-4</v>
      </c>
      <c r="AG329" s="72">
        <f>IF(VLOOKUP($A329,raw_ub[],COLUMN(AH$1)-COLUMN($A$1),FALSE)=0, VLOOKUP($D329, regions_ub[], COLUMN(AH$1)-COLUMN($A$1), FALSE), VLOOKUP($A329,raw_ub[],COLUMN(AH$1)-COLUMN($A$1),FALSE))</f>
        <v>1.8118492092341015E-3</v>
      </c>
      <c r="AH329" s="72">
        <f>IF(VLOOKUP($A329,raw_ub[],COLUMN(AI$1)-COLUMN($A$1),FALSE)=0, VLOOKUP($D329, regions_ub[], COLUMN(AI$1)-COLUMN($A$1), FALSE), VLOOKUP($A329,raw_ub[],COLUMN(AI$1)-COLUMN($A$1),FALSE))</f>
        <v>2.9545207686026654E-3</v>
      </c>
      <c r="AI329" s="72">
        <f>IF(VLOOKUP($A329,raw_ub[],COLUMN(AJ$1)-COLUMN($A$1),FALSE)=0, VLOOKUP($D329, regions_ub[], COLUMN(AJ$1)-COLUMN($A$1), FALSE), VLOOKUP($A329,raw_ub[],COLUMN(AJ$1)-COLUMN($A$1),FALSE))</f>
        <v>3.6917596037999829E-3</v>
      </c>
      <c r="AJ329" s="72">
        <f>IF(VLOOKUP($A329,raw_ub[],COLUMN(AK$1)-COLUMN($A$1),FALSE)=0, VLOOKUP($D329, regions_ub[], COLUMN(AK$1)-COLUMN($A$1), FALSE), VLOOKUP($A329,raw_ub[],COLUMN(AK$1)-COLUMN($A$1),FALSE))</f>
        <v>3.9654386049692899E-3</v>
      </c>
      <c r="AK329" s="72">
        <f>IF(VLOOKUP($A329,raw_ub[],COLUMN(AL$1)-COLUMN($A$1),FALSE)=0, VLOOKUP($D329, regions_ub[], COLUMN(AL$1)-COLUMN($A$1), FALSE), VLOOKUP($A329,raw_ub[],COLUMN(AL$1)-COLUMN($A$1),FALSE))</f>
        <v>4.6099533613859255E-3</v>
      </c>
      <c r="AL329" s="72">
        <f>IF(VLOOKUP($A329,raw_ub[],COLUMN(AM$1)-COLUMN($A$1),FALSE)=0, VLOOKUP($D329, regions_ub[], COLUMN(AM$1)-COLUMN($A$1), FALSE), VLOOKUP($A329,raw_ub[],COLUMN(AM$1)-COLUMN($A$1),FALSE))</f>
        <v>5.2610919138176577E-3</v>
      </c>
      <c r="AM329" s="72">
        <f>IF(VLOOKUP($A329,raw_ub[],COLUMN(AN$1)-COLUMN($A$1),FALSE)=0, VLOOKUP($D329, regions_ub[], COLUMN(AN$1)-COLUMN($A$1), FALSE), VLOOKUP($A329,raw_ub[],COLUMN(AN$1)-COLUMN($A$1),FALSE))</f>
        <v>6.2840229222297156E-3</v>
      </c>
      <c r="AN329" s="72">
        <f>IF(VLOOKUP($A329,raw_ub[],COLUMN(AO$1)-COLUMN($A$1),FALSE)=0, VLOOKUP($D329, regions_ub[], COLUMN(AO$1)-COLUMN($A$1), FALSE), VLOOKUP($A329,raw_ub[],COLUMN(AO$1)-COLUMN($A$1),FALSE))</f>
        <v>1.1503630244220978E-2</v>
      </c>
      <c r="AO329" s="72">
        <f>IF(VLOOKUP($A329,raw_ub[],COLUMN(AP$1)-COLUMN($A$1),FALSE)=0, VLOOKUP($D329, regions_ub[], COLUMN(AP$1)-COLUMN($A$1), FALSE), VLOOKUP($A329,raw_ub[],COLUMN(AP$1)-COLUMN($A$1),FALSE))</f>
        <v>1.3166796921062221E-2</v>
      </c>
      <c r="AP329" s="72">
        <f>IF(VLOOKUP($A329,raw_ub[],COLUMN(AQ$1)-COLUMN($A$1),FALSE)=0, VLOOKUP($D329, regions_ub[], COLUMN(AQ$1)-COLUMN($A$1), FALSE), VLOOKUP($A329,raw_ub[],COLUMN(AQ$1)-COLUMN($A$1),FALSE))</f>
        <v>1.8257430937563601E-2</v>
      </c>
      <c r="AQ329" s="72">
        <f>IF(VLOOKUP($A329,raw_ub[],COLUMN(AR$1)-COLUMN($A$1),FALSE)=0, VLOOKUP($D329, regions_ub[], COLUMN(AR$1)-COLUMN($A$1), FALSE), VLOOKUP($A329,raw_ub[],COLUMN(AR$1)-COLUMN($A$1),FALSE))</f>
        <v>2.4107825647710537E-2</v>
      </c>
      <c r="AR329" s="72">
        <f>IF(VLOOKUP($A329,raw_ub[],COLUMN(AS$1)-COLUMN($A$1),FALSE)=0, VLOOKUP($D329, regions_ub[], COLUMN(AS$1)-COLUMN($A$1), FALSE), VLOOKUP($A329,raw_ub[],COLUMN(AS$1)-COLUMN($A$1),FALSE))</f>
        <v>3.2427761630128379E-2</v>
      </c>
      <c r="AS329" s="72">
        <f>IF(VLOOKUP($A329,raw_ub[],COLUMN(AT$1)-COLUMN($A$1),FALSE)=0, VLOOKUP($D329, regions_ub[], COLUMN(AT$1)-COLUMN($A$1), FALSE), VLOOKUP($A329,raw_ub[],COLUMN(AT$1)-COLUMN($A$1),FALSE))</f>
        <v>4.9049365398026325E-2</v>
      </c>
      <c r="AT329" s="82">
        <f>IF(VLOOKUP($A329,raw_ub[],COLUMN(AT$1),FALSE)=0, VLOOKUP($D329, regions_ub[], COLUMN(AT$1), FALSE), VLOOKUP($A329,raw_ub[],COLUMN(AT$1),FALSE))</f>
        <v>6.2734951646005399E-2</v>
      </c>
      <c r="AU329" s="82">
        <f>IF(VLOOKUP($A329,raw_ub[],COLUMN(AU$1),FALSE)=0, VLOOKUP($D329, regions_ub[], COLUMN(AU$1), FALSE), VLOOKUP($A329,raw_ub[],COLUMN(AU$1),FALSE))</f>
        <v>8.2640185370226674E-2</v>
      </c>
      <c r="AV329" s="82">
        <f>IF(VLOOKUP($A329,raw_ub[],COLUMN(AV$1),FALSE)=0, VLOOKUP($D329, regions_ub[], COLUMN(AV$1), FALSE), VLOOKUP($A329,raw_ub[],COLUMN(AV$1),FALSE))</f>
        <v>0.10409162231405004</v>
      </c>
      <c r="AW329" s="82">
        <f>IF(VLOOKUP($A329,raw_ub[],COLUMN(AW$1),FALSE)=0, VLOOKUP($D329, regions_ub[], COLUMN(AW$1), FALSE), VLOOKUP($A329,raw_ub[],COLUMN(AW$1),FALSE))</f>
        <v>0.12573821260563994</v>
      </c>
      <c r="AX329" s="82">
        <f>IF(VLOOKUP($A329,raw_ub[],COLUMN(AX$1),FALSE)=0, VLOOKUP($D329, regions_ub[], COLUMN(AX$1), FALSE), VLOOKUP($A329,raw_ub[],COLUMN(AX$1),FALSE))</f>
        <v>73.198650000000001</v>
      </c>
      <c r="AY329" t="str">
        <f t="shared" si="11"/>
        <v>No</v>
      </c>
    </row>
    <row r="330" spans="1:51" x14ac:dyDescent="0.25">
      <c r="A330" s="53" t="s">
        <v>328</v>
      </c>
      <c r="B330" s="54" t="s">
        <v>329</v>
      </c>
      <c r="C330" s="54">
        <v>332</v>
      </c>
      <c r="D330" s="54" t="s">
        <v>215</v>
      </c>
      <c r="E330" s="54" t="s">
        <v>232</v>
      </c>
      <c r="F330" s="54" t="s">
        <v>217</v>
      </c>
      <c r="G330" s="54" t="s">
        <v>198</v>
      </c>
      <c r="H330" s="73"/>
      <c r="I330" s="73"/>
      <c r="J330" s="67">
        <f>IF(VLOOKUP($A330,raw_ub[],COLUMN(J$1),FALSE)=0, VLOOKUP($D330, regions_ub[], COLUMN(J$1), FALSE), VLOOKUP($A330,raw_ub[],COLUMN(J$1),FALSE))</f>
        <v>0.41369999999999996</v>
      </c>
      <c r="K330" s="77">
        <f>VLOOKUP($A330, raw_ub[], 11, FALSE)</f>
        <v>0</v>
      </c>
      <c r="L330" s="77">
        <f>VLOOKUP($A330, raw_ub[], 12, FALSE)</f>
        <v>0.53550000000000009</v>
      </c>
      <c r="M330" s="77">
        <f>IF(VLOOKUP($A330,raw_ub[],COLUMN(M$1),FALSE)=0, VLOOKUP($D330, regions_ub[], COLUMN(M$1), FALSE), VLOOKUP($A330,raw_ub[],COLUMN(M$1),FALSE))</f>
        <v>4.2800000000000005E-2</v>
      </c>
      <c r="N330" s="68">
        <f>IF(VLOOKUP($A330,raw_ub[],COLUMN(N$1),FALSE)=0, VLOOKUP($D330, regions_ub[], COLUMN(N$1), FALSE), VLOOKUP($A330,raw_ub[],COLUMN(N$1),FALSE))</f>
        <v>0.43</v>
      </c>
      <c r="O330" s="67">
        <f>IF(VLOOKUP($A330,raw_ub[],COLUMN(O$1),FALSE)=0, VLOOKUP($D330, regions_ub[], COLUMN(O$1), FALSE), VLOOKUP($A330,raw_ub[],COLUMN(O$1),FALSE))</f>
        <v>0.9</v>
      </c>
      <c r="P330" s="68">
        <f>IF(VLOOKUP($A330,raw_ub[],COLUMN(P$1),FALSE)=0, VLOOKUP($D330, regions_ub[], COLUMN(P$1), FALSE), VLOOKUP($A330,raw_ub[],COLUMN(P$1),FALSE))</f>
        <v>0.3</v>
      </c>
      <c r="Q330" s="70">
        <f>IF(VLOOKUP($A330,raw_ub[],COLUMN(Q$1),FALSE)=0, VLOOKUP($D330, regions_ub[], COLUMN(Q$1), FALSE), VLOOKUP($A330,raw_ub[],COLUMN(Q$1),FALSE))</f>
        <v>8.0660806306306299</v>
      </c>
      <c r="R330" s="70">
        <f>IF(VLOOKUP($A330,raw_ub[],COLUMN(R$1),FALSE)=0, VLOOKUP($D330, regions_ub[], COLUMN(R$1), FALSE), VLOOKUP($A330,raw_ub[],COLUMN(R$1),FALSE))</f>
        <v>117.05188063063065</v>
      </c>
      <c r="S330" s="70">
        <f>IF(VLOOKUP($A330,raw_ub[],COLUMN(S$1),FALSE)=0, VLOOKUP($D330, regions_ub[], COLUMN(S$1), FALSE), VLOOKUP($A330,raw_ub[],COLUMN(S$1),FALSE))</f>
        <v>149.71716460040886</v>
      </c>
      <c r="T330" s="70">
        <f>IF(VLOOKUP($A330,raw_ub[],COLUMN(U$1)-COLUMN($A$1),FALSE)=0, VLOOKUP($D330, regions_ub[], COLUMN(U$1)-COLUMN($A$1), FALSE), VLOOKUP($A330,raw_ub[],COLUMN(U$1)-COLUMN($A$1),FALSE))</f>
        <v>151.51031449005035</v>
      </c>
      <c r="U330" s="70">
        <f>IF(VLOOKUP($A330,raw_ub[],COLUMN(V$1)-COLUMN($A$1),FALSE)=0, VLOOKUP($D330, regions_ub[], COLUMN(V$1)-COLUMN($A$1), FALSE), VLOOKUP($A330,raw_ub[],COLUMN(V$1)-COLUMN($A$1),FALSE))</f>
        <v>150.68693796308708</v>
      </c>
      <c r="V330" s="70">
        <f>IF(VLOOKUP($A330,raw_ub[],COLUMN(W$1)-COLUMN($A$1),FALSE)=0, VLOOKUP($D330, regions_ub[], COLUMN(W$1)-COLUMN($A$1), FALSE), VLOOKUP($A330,raw_ub[],COLUMN(W$1)-COLUMN($A$1),FALSE))</f>
        <v>2.8553788103283368</v>
      </c>
      <c r="W330" s="70">
        <f>IF(VLOOKUP($A330,raw_ub[],COLUMN(X$1)-COLUMN($A$1),FALSE)=0, VLOOKUP($D330, regions_ub[], COLUMN(X$1)-COLUMN($A$1), FALSE), VLOOKUP($A330,raw_ub[],COLUMN(X$1)-COLUMN($A$1),FALSE))</f>
        <v>2.8763788103283368</v>
      </c>
      <c r="X330" s="70">
        <f>IF(VLOOKUP($A330,raw_ub[],COLUMN(Y$1)-COLUMN($A$1),FALSE)=0, VLOOKUP($D330, regions_ub[], COLUMN(Y$1)-COLUMN($A$1), FALSE), VLOOKUP($A330,raw_ub[],COLUMN(Y$1)-COLUMN($A$1),FALSE))</f>
        <v>2.8412425160432204</v>
      </c>
      <c r="Y330" s="70">
        <f>IF(VLOOKUP($A330,raw_ub[],COLUMN(Z$1)-COLUMN($A$1),FALSE)=0, VLOOKUP($D330, regions_ub[], COLUMN(Z$1)-COLUMN($A$1), FALSE), VLOOKUP($A330,raw_ub[],COLUMN(Z$1)-COLUMN($A$1),FALSE))</f>
        <v>2.8622425160432203</v>
      </c>
      <c r="Z330" s="70">
        <f>IF(VLOOKUP($A330,raw_ub[],COLUMN(AA$1)-COLUMN($A$1),FALSE)=0, VLOOKUP($D330, regions_ub[], COLUMN(AA$1)-COLUMN($A$1), FALSE), VLOOKUP($A330,raw_ub[],COLUMN(AA$1)-COLUMN($A$1),FALSE))</f>
        <v>2.8542689480892007</v>
      </c>
      <c r="AA330" s="70">
        <f>IF(VLOOKUP($A330,raw_ub[],COLUMN(AB$1)-COLUMN($A$1),FALSE)=0, VLOOKUP($D330, regions_ub[], COLUMN(AB$1)-COLUMN($A$1), FALSE), VLOOKUP($A330,raw_ub[],COLUMN(AB$1)-COLUMN($A$1),FALSE))</f>
        <v>2.8586410320864406</v>
      </c>
      <c r="AB330" s="70">
        <f>IF(VLOOKUP($A330,raw_ub[],COLUMN(AC$1)-COLUMN($A$1),FALSE)=0, VLOOKUP($D330, regions_ub[], COLUMN(AC$1)-COLUMN($A$1), FALSE), VLOOKUP($A330,raw_ub[],COLUMN(AC$1)-COLUMN($A$1),FALSE))</f>
        <v>2.8796410320864405</v>
      </c>
      <c r="AC330" s="72">
        <f>IF(VLOOKUP($A330,raw_ub[],COLUMN(AD$1)-COLUMN($A$1),FALSE)=0, VLOOKUP($D330, regions_ub[], COLUMN(AD$1)-COLUMN($A$1), FALSE), VLOOKUP($A330,raw_ub[],COLUMN(AD$1)-COLUMN($A$1),FALSE))</f>
        <v>5.7040147500000041E-2</v>
      </c>
      <c r="AD330" s="72">
        <f>IF(VLOOKUP($A330,raw_ub[],COLUMN(AE$1)-COLUMN($A$1),FALSE)=0, VLOOKUP($D330, regions_ub[], COLUMN(AE$1)-COLUMN($A$1), FALSE), VLOOKUP($A330,raw_ub[],COLUMN(AE$1)-COLUMN($A$1),FALSE))</f>
        <v>7.4205663503902914E-3</v>
      </c>
      <c r="AE330" s="72">
        <f>IF(VLOOKUP($A330,raw_ub[],COLUMN(AF$1)-COLUMN($A$1),FALSE)=0, VLOOKUP($D330, regions_ub[], COLUMN(AF$1)-COLUMN($A$1), FALSE), VLOOKUP($A330,raw_ub[],COLUMN(AF$1)-COLUMN($A$1),FALSE))</f>
        <v>2.6404444715770487E-3</v>
      </c>
      <c r="AF330" s="72">
        <f>IF(VLOOKUP($A330,raw_ub[],COLUMN(AG$1)-COLUMN($A$1),FALSE)=0, VLOOKUP($D330, regions_ub[], COLUMN(AG$1)-COLUMN($A$1), FALSE), VLOOKUP($A330,raw_ub[],COLUMN(AG$1)-COLUMN($A$1),FALSE))</f>
        <v>2.1486576428291428E-3</v>
      </c>
      <c r="AG330" s="72">
        <f>IF(VLOOKUP($A330,raw_ub[],COLUMN(AH$1)-COLUMN($A$1),FALSE)=0, VLOOKUP($D330, regions_ub[], COLUMN(AH$1)-COLUMN($A$1), FALSE), VLOOKUP($A330,raw_ub[],COLUMN(AH$1)-COLUMN($A$1),FALSE))</f>
        <v>2.6588077065428199E-3</v>
      </c>
      <c r="AH330" s="72">
        <f>IF(VLOOKUP($A330,raw_ub[],COLUMN(AI$1)-COLUMN($A$1),FALSE)=0, VLOOKUP($D330, regions_ub[], COLUMN(AI$1)-COLUMN($A$1), FALSE), VLOOKUP($A330,raw_ub[],COLUMN(AI$1)-COLUMN($A$1),FALSE))</f>
        <v>3.3593780616230431E-3</v>
      </c>
      <c r="AI330" s="72">
        <f>IF(VLOOKUP($A330,raw_ub[],COLUMN(AJ$1)-COLUMN($A$1),FALSE)=0, VLOOKUP($D330, regions_ub[], COLUMN(AJ$1)-COLUMN($A$1), FALSE), VLOOKUP($A330,raw_ub[],COLUMN(AJ$1)-COLUMN($A$1),FALSE))</f>
        <v>3.9900289771890984E-3</v>
      </c>
      <c r="AJ330" s="72">
        <f>IF(VLOOKUP($A330,raw_ub[],COLUMN(AK$1)-COLUMN($A$1),FALSE)=0, VLOOKUP($D330, regions_ub[], COLUMN(AK$1)-COLUMN($A$1), FALSE), VLOOKUP($A330,raw_ub[],COLUMN(AK$1)-COLUMN($A$1),FALSE))</f>
        <v>4.5347711191606674E-3</v>
      </c>
      <c r="AK330" s="72">
        <f>IF(VLOOKUP($A330,raw_ub[],COLUMN(AL$1)-COLUMN($A$1),FALSE)=0, VLOOKUP($D330, regions_ub[], COLUMN(AL$1)-COLUMN($A$1), FALSE), VLOOKUP($A330,raw_ub[],COLUMN(AL$1)-COLUMN($A$1),FALSE))</f>
        <v>5.0887955226757891E-3</v>
      </c>
      <c r="AL330" s="72">
        <f>IF(VLOOKUP($A330,raw_ub[],COLUMN(AM$1)-COLUMN($A$1),FALSE)=0, VLOOKUP($D330, regions_ub[], COLUMN(AM$1)-COLUMN($A$1), FALSE), VLOOKUP($A330,raw_ub[],COLUMN(AM$1)-COLUMN($A$1),FALSE))</f>
        <v>5.8250385227866771E-3</v>
      </c>
      <c r="AM330" s="72">
        <f>IF(VLOOKUP($A330,raw_ub[],COLUMN(AN$1)-COLUMN($A$1),FALSE)=0, VLOOKUP($D330, regions_ub[], COLUMN(AN$1)-COLUMN($A$1), FALSE), VLOOKUP($A330,raw_ub[],COLUMN(AN$1)-COLUMN($A$1),FALSE))</f>
        <v>7.0018002095518402E-3</v>
      </c>
      <c r="AN330" s="72">
        <f>IF(VLOOKUP($A330,raw_ub[],COLUMN(AO$1)-COLUMN($A$1),FALSE)=0, VLOOKUP($D330, regions_ub[], COLUMN(AO$1)-COLUMN($A$1), FALSE), VLOOKUP($A330,raw_ub[],COLUMN(AO$1)-COLUMN($A$1),FALSE))</f>
        <v>9.0041316181609828E-3</v>
      </c>
      <c r="AO330" s="72">
        <f>IF(VLOOKUP($A330,raw_ub[],COLUMN(AP$1)-COLUMN($A$1),FALSE)=0, VLOOKUP($D330, regions_ub[], COLUMN(AP$1)-COLUMN($A$1), FALSE), VLOOKUP($A330,raw_ub[],COLUMN(AP$1)-COLUMN($A$1),FALSE))</f>
        <v>1.2400312391851822E-2</v>
      </c>
      <c r="AP330" s="72">
        <f>IF(VLOOKUP($A330,raw_ub[],COLUMN(AQ$1)-COLUMN($A$1),FALSE)=0, VLOOKUP($D330, regions_ub[], COLUMN(AQ$1)-COLUMN($A$1), FALSE), VLOOKUP($A330,raw_ub[],COLUMN(AQ$1)-COLUMN($A$1),FALSE))</f>
        <v>1.8049033182618589E-2</v>
      </c>
      <c r="AQ330" s="72">
        <f>IF(VLOOKUP($A330,raw_ub[],COLUMN(AR$1)-COLUMN($A$1),FALSE)=0, VLOOKUP($D330, regions_ub[], COLUMN(AR$1)-COLUMN($A$1), FALSE), VLOOKUP($A330,raw_ub[],COLUMN(AR$1)-COLUMN($A$1),FALSE))</f>
        <v>2.7147381763469477E-2</v>
      </c>
      <c r="AR330" s="72">
        <f>IF(VLOOKUP($A330,raw_ub[],COLUMN(AS$1)-COLUMN($A$1),FALSE)=0, VLOOKUP($D330, regions_ub[], COLUMN(AS$1)-COLUMN($A$1), FALSE), VLOOKUP($A330,raw_ub[],COLUMN(AS$1)-COLUMN($A$1),FALSE))</f>
        <v>4.13878636686517E-2</v>
      </c>
      <c r="AS330" s="72">
        <f>IF(VLOOKUP($A330,raw_ub[],COLUMN(AT$1)-COLUMN($A$1),FALSE)=0, VLOOKUP($D330, regions_ub[], COLUMN(AT$1)-COLUMN($A$1), FALSE), VLOOKUP($A330,raw_ub[],COLUMN(AT$1)-COLUMN($A$1),FALSE))</f>
        <v>6.2376032156177062E-2</v>
      </c>
      <c r="AT330" s="82">
        <f>IF(VLOOKUP($A330,raw_ub[],COLUMN(AT$1),FALSE)=0, VLOOKUP($D330, regions_ub[], COLUMN(AT$1), FALSE), VLOOKUP($A330,raw_ub[],COLUMN(AT$1),FALSE))</f>
        <v>8.5893149357849766E-2</v>
      </c>
      <c r="AU330" s="82">
        <f>IF(VLOOKUP($A330,raw_ub[],COLUMN(AU$1),FALSE)=0, VLOOKUP($D330, regions_ub[], COLUMN(AU$1), FALSE), VLOOKUP($A330,raw_ub[],COLUMN(AU$1),FALSE))</f>
        <v>0.11113244906708877</v>
      </c>
      <c r="AV330" s="82">
        <f>IF(VLOOKUP($A330,raw_ub[],COLUMN(AV$1),FALSE)=0, VLOOKUP($D330, regions_ub[], COLUMN(AV$1), FALSE), VLOOKUP($A330,raw_ub[],COLUMN(AV$1),FALSE))</f>
        <v>0.1349973880947645</v>
      </c>
      <c r="AW330" s="82">
        <f>IF(VLOOKUP($A330,raw_ub[],COLUMN(AW$1),FALSE)=0, VLOOKUP($D330, regions_ub[], COLUMN(AW$1), FALSE), VLOOKUP($A330,raw_ub[],COLUMN(AW$1),FALSE))</f>
        <v>0.15564628846374504</v>
      </c>
      <c r="AX330" s="82">
        <f>IF(VLOOKUP($A330,raw_ub[],COLUMN(AX$1),FALSE)=0, VLOOKUP($D330, regions_ub[], COLUMN(AX$1), FALSE), VLOOKUP($A330,raw_ub[],COLUMN(AX$1),FALSE))</f>
        <v>66.694950000000006</v>
      </c>
      <c r="AY330" t="str">
        <f t="shared" si="11"/>
        <v>Yes</v>
      </c>
    </row>
    <row r="331" spans="1:51" x14ac:dyDescent="0.25">
      <c r="A331" s="55" t="s">
        <v>330</v>
      </c>
      <c r="B331" s="56" t="s">
        <v>331</v>
      </c>
      <c r="C331" s="56">
        <v>340</v>
      </c>
      <c r="D331" s="56" t="s">
        <v>215</v>
      </c>
      <c r="E331" s="56" t="s">
        <v>274</v>
      </c>
      <c r="F331" s="56" t="s">
        <v>217</v>
      </c>
      <c r="G331" s="56" t="s">
        <v>212</v>
      </c>
      <c r="H331" s="74"/>
      <c r="I331" s="74"/>
      <c r="J331" s="67">
        <f>IF(VLOOKUP($A331,raw_ub[],COLUMN(J$1),FALSE)=0, VLOOKUP($D331, regions_ub[], COLUMN(J$1), FALSE), VLOOKUP($A331,raw_ub[],COLUMN(J$1),FALSE))</f>
        <v>0.86835000000000007</v>
      </c>
      <c r="K331" s="77">
        <f>VLOOKUP($A331, raw_ub[], 11, FALSE)</f>
        <v>0.74549999999999994</v>
      </c>
      <c r="L331" s="77">
        <f>VLOOKUP($A331, raw_ub[], 12, FALSE)</f>
        <v>0.84000000000000008</v>
      </c>
      <c r="M331" s="77">
        <f>IF(VLOOKUP($A331,raw_ub[],COLUMN(M$1),FALSE)=0, VLOOKUP($D331, regions_ub[], COLUMN(M$1), FALSE), VLOOKUP($A331,raw_ub[],COLUMN(M$1),FALSE))</f>
        <v>2.1499999999999998E-2</v>
      </c>
      <c r="N331" s="68">
        <f>IF(VLOOKUP($A331,raw_ub[],COLUMN(N$1),FALSE)=0, VLOOKUP($D331, regions_ub[], COLUMN(N$1), FALSE), VLOOKUP($A331,raw_ub[],COLUMN(N$1),FALSE))</f>
        <v>0.42950000000000005</v>
      </c>
      <c r="O331" s="67">
        <f>IF(VLOOKUP($A331,raw_ub[],COLUMN(O$1),FALSE)=0, VLOOKUP($D331, regions_ub[], COLUMN(O$1), FALSE), VLOOKUP($A331,raw_ub[],COLUMN(O$1),FALSE))</f>
        <v>0.9</v>
      </c>
      <c r="P331" s="68">
        <f>IF(VLOOKUP($A331,raw_ub[],COLUMN(P$1),FALSE)=0, VLOOKUP($D331, regions_ub[], COLUMN(P$1), FALSE), VLOOKUP($A331,raw_ub[],COLUMN(P$1),FALSE))</f>
        <v>0.3</v>
      </c>
      <c r="Q331" s="70">
        <f>IF(VLOOKUP($A331,raw_ub[],COLUMN(Q$1),FALSE)=0, VLOOKUP($D331, regions_ub[], COLUMN(Q$1), FALSE), VLOOKUP($A331,raw_ub[],COLUMN(Q$1),FALSE))</f>
        <v>13.798982044628961</v>
      </c>
      <c r="R331" s="70">
        <f>IF(VLOOKUP($A331,raw_ub[],COLUMN(R$1),FALSE)=0, VLOOKUP($D331, regions_ub[], COLUMN(R$1), FALSE), VLOOKUP($A331,raw_ub[],COLUMN(R$1),FALSE))</f>
        <v>122.78478204462897</v>
      </c>
      <c r="S331" s="70">
        <f>IF(VLOOKUP($A331,raw_ub[],COLUMN(S$1),FALSE)=0, VLOOKUP($D331, regions_ub[], COLUMN(S$1), FALSE), VLOOKUP($A331,raw_ub[],COLUMN(S$1),FALSE))</f>
        <v>166.6097940814756</v>
      </c>
      <c r="T331" s="70">
        <f>IF(VLOOKUP($A331,raw_ub[],COLUMN(U$1)-COLUMN($A$1),FALSE)=0, VLOOKUP($D331, regions_ub[], COLUMN(U$1)-COLUMN($A$1), FALSE), VLOOKUP($A331,raw_ub[],COLUMN(U$1)-COLUMN($A$1),FALSE))</f>
        <v>174.21119238472477</v>
      </c>
      <c r="U331" s="70">
        <f>IF(VLOOKUP($A331,raw_ub[],COLUMN(V$1)-COLUMN($A$1),FALSE)=0, VLOOKUP($D331, regions_ub[], COLUMN(V$1)-COLUMN($A$1), FALSE), VLOOKUP($A331,raw_ub[],COLUMN(V$1)-COLUMN($A$1),FALSE))</f>
        <v>170.7207909569639</v>
      </c>
      <c r="V331" s="70">
        <f>IF(VLOOKUP($A331,raw_ub[],COLUMN(W$1)-COLUMN($A$1),FALSE)=0, VLOOKUP($D331, regions_ub[], COLUMN(W$1)-COLUMN($A$1), FALSE), VLOOKUP($A331,raw_ub[],COLUMN(W$1)-COLUMN($A$1),FALSE))</f>
        <v>6.5421613407972057</v>
      </c>
      <c r="W331" s="70">
        <f>IF(VLOOKUP($A331,raw_ub[],COLUMN(X$1)-COLUMN($A$1),FALSE)=0, VLOOKUP($D331, regions_ub[], COLUMN(X$1)-COLUMN($A$1), FALSE), VLOOKUP($A331,raw_ub[],COLUMN(X$1)-COLUMN($A$1),FALSE))</f>
        <v>6.5631613407972056</v>
      </c>
      <c r="X331" s="70">
        <f>IF(VLOOKUP($A331,raw_ub[],COLUMN(Y$1)-COLUMN($A$1),FALSE)=0, VLOOKUP($D331, regions_ub[], COLUMN(Y$1)-COLUMN($A$1), FALSE), VLOOKUP($A331,raw_ub[],COLUMN(Y$1)-COLUMN($A$1),FALSE))</f>
        <v>6.5154049466467345</v>
      </c>
      <c r="Y331" s="70">
        <f>IF(VLOOKUP($A331,raw_ub[],COLUMN(Z$1)-COLUMN($A$1),FALSE)=0, VLOOKUP($D331, regions_ub[], COLUMN(Z$1)-COLUMN($A$1), FALSE), VLOOKUP($A331,raw_ub[],COLUMN(Z$1)-COLUMN($A$1),FALSE))</f>
        <v>6.5364049466467344</v>
      </c>
      <c r="Z331" s="70">
        <f>IF(VLOOKUP($A331,raw_ub[],COLUMN(AA$1)-COLUMN($A$1),FALSE)=0, VLOOKUP($D331, regions_ub[], COLUMN(AA$1)-COLUMN($A$1), FALSE), VLOOKUP($A331,raw_ub[],COLUMN(AA$1)-COLUMN($A$1),FALSE))</f>
        <v>6.5211703883760812</v>
      </c>
      <c r="AA331" s="70">
        <f>IF(VLOOKUP($A331,raw_ub[],COLUMN(AB$1)-COLUMN($A$1),FALSE)=0, VLOOKUP($D331, regions_ub[], COLUMN(AB$1)-COLUMN($A$1), FALSE), VLOOKUP($A331,raw_ub[],COLUMN(AB$1)-COLUMN($A$1),FALSE))</f>
        <v>6.5483358932934683</v>
      </c>
      <c r="AB331" s="70">
        <f>IF(VLOOKUP($A331,raw_ub[],COLUMN(AC$1)-COLUMN($A$1),FALSE)=0, VLOOKUP($D331, regions_ub[], COLUMN(AC$1)-COLUMN($A$1), FALSE), VLOOKUP($A331,raw_ub[],COLUMN(AC$1)-COLUMN($A$1),FALSE))</f>
        <v>6.5693358932934682</v>
      </c>
      <c r="AC331" s="72">
        <f>IF(VLOOKUP($A331,raw_ub[],COLUMN(AD$1)-COLUMN($A$1),FALSE)=0, VLOOKUP($D331, regions_ub[], COLUMN(AD$1)-COLUMN($A$1), FALSE), VLOOKUP($A331,raw_ub[],COLUMN(AD$1)-COLUMN($A$1),FALSE))</f>
        <v>1.5792073499999979E-2</v>
      </c>
      <c r="AD331" s="72">
        <f>IF(VLOOKUP($A331,raw_ub[],COLUMN(AE$1)-COLUMN($A$1),FALSE)=0, VLOOKUP($D331, regions_ub[], COLUMN(AE$1)-COLUMN($A$1), FALSE), VLOOKUP($A331,raw_ub[],COLUMN(AE$1)-COLUMN($A$1),FALSE))</f>
        <v>1.6717639467830933E-3</v>
      </c>
      <c r="AE331" s="72">
        <f>IF(VLOOKUP($A331,raw_ub[],COLUMN(AF$1)-COLUMN($A$1),FALSE)=0, VLOOKUP($D331, regions_ub[], COLUMN(AF$1)-COLUMN($A$1), FALSE), VLOOKUP($A331,raw_ub[],COLUMN(AF$1)-COLUMN($A$1),FALSE))</f>
        <v>9.0188754814369773E-4</v>
      </c>
      <c r="AF331" s="72">
        <f>IF(VLOOKUP($A331,raw_ub[],COLUMN(AG$1)-COLUMN($A$1),FALSE)=0, VLOOKUP($D331, regions_ub[], COLUMN(AG$1)-COLUMN($A$1), FALSE), VLOOKUP($A331,raw_ub[],COLUMN(AG$1)-COLUMN($A$1),FALSE))</f>
        <v>7.293703727815435E-4</v>
      </c>
      <c r="AG331" s="72">
        <f>IF(VLOOKUP($A331,raw_ub[],COLUMN(AH$1)-COLUMN($A$1),FALSE)=0, VLOOKUP($D331, regions_ub[], COLUMN(AH$1)-COLUMN($A$1), FALSE), VLOOKUP($A331,raw_ub[],COLUMN(AH$1)-COLUMN($A$1),FALSE))</f>
        <v>1.0476176304721121E-3</v>
      </c>
      <c r="AH331" s="72">
        <f>IF(VLOOKUP($A331,raw_ub[],COLUMN(AI$1)-COLUMN($A$1),FALSE)=0, VLOOKUP($D331, regions_ub[], COLUMN(AI$1)-COLUMN($A$1), FALSE), VLOOKUP($A331,raw_ub[],COLUMN(AI$1)-COLUMN($A$1),FALSE))</f>
        <v>1.5322109579639107E-3</v>
      </c>
      <c r="AI331" s="72">
        <f>IF(VLOOKUP($A331,raw_ub[],COLUMN(AJ$1)-COLUMN($A$1),FALSE)=0, VLOOKUP($D331, regions_ub[], COLUMN(AJ$1)-COLUMN($A$1), FALSE), VLOOKUP($A331,raw_ub[],COLUMN(AJ$1)-COLUMN($A$1),FALSE))</f>
        <v>2.0238888702855222E-3</v>
      </c>
      <c r="AJ331" s="72">
        <f>IF(VLOOKUP($A331,raw_ub[],COLUMN(AK$1)-COLUMN($A$1),FALSE)=0, VLOOKUP($D331, regions_ub[], COLUMN(AK$1)-COLUMN($A$1), FALSE), VLOOKUP($A331,raw_ub[],COLUMN(AK$1)-COLUMN($A$1),FALSE))</f>
        <v>2.4914288009719454E-3</v>
      </c>
      <c r="AK331" s="72">
        <f>IF(VLOOKUP($A331,raw_ub[],COLUMN(AL$1)-COLUMN($A$1),FALSE)=0, VLOOKUP($D331, regions_ub[], COLUMN(AL$1)-COLUMN($A$1), FALSE), VLOOKUP($A331,raw_ub[],COLUMN(AL$1)-COLUMN($A$1),FALSE))</f>
        <v>2.973814171014646E-3</v>
      </c>
      <c r="AL331" s="72">
        <f>IF(VLOOKUP($A331,raw_ub[],COLUMN(AM$1)-COLUMN($A$1),FALSE)=0, VLOOKUP($D331, regions_ub[], COLUMN(AM$1)-COLUMN($A$1), FALSE), VLOOKUP($A331,raw_ub[],COLUMN(AM$1)-COLUMN($A$1),FALSE))</f>
        <v>3.5712719514487583E-3</v>
      </c>
      <c r="AM331" s="72">
        <f>IF(VLOOKUP($A331,raw_ub[],COLUMN(AN$1)-COLUMN($A$1),FALSE)=0, VLOOKUP($D331, regions_ub[], COLUMN(AN$1)-COLUMN($A$1), FALSE), VLOOKUP($A331,raw_ub[],COLUMN(AN$1)-COLUMN($A$1),FALSE))</f>
        <v>4.4353964606050145E-3</v>
      </c>
      <c r="AN331" s="72">
        <f>IF(VLOOKUP($A331,raw_ub[],COLUMN(AO$1)-COLUMN($A$1),FALSE)=0, VLOOKUP($D331, regions_ub[], COLUMN(AO$1)-COLUMN($A$1), FALSE), VLOOKUP($A331,raw_ub[],COLUMN(AO$1)-COLUMN($A$1),FALSE))</f>
        <v>5.797216795984458E-3</v>
      </c>
      <c r="AO331" s="72">
        <f>IF(VLOOKUP($A331,raw_ub[],COLUMN(AP$1)-COLUMN($A$1),FALSE)=0, VLOOKUP($D331, regions_ub[], COLUMN(AP$1)-COLUMN($A$1), FALSE), VLOOKUP($A331,raw_ub[],COLUMN(AP$1)-COLUMN($A$1),FALSE))</f>
        <v>8.0036799474726798E-3</v>
      </c>
      <c r="AP331" s="72">
        <f>IF(VLOOKUP($A331,raw_ub[],COLUMN(AQ$1)-COLUMN($A$1),FALSE)=0, VLOOKUP($D331, regions_ub[], COLUMN(AQ$1)-COLUMN($A$1), FALSE), VLOOKUP($A331,raw_ub[],COLUMN(AQ$1)-COLUMN($A$1),FALSE))</f>
        <v>1.1584147559840711E-2</v>
      </c>
      <c r="AQ331" s="72">
        <f>IF(VLOOKUP($A331,raw_ub[],COLUMN(AR$1)-COLUMN($A$1),FALSE)=0, VLOOKUP($D331, regions_ub[], COLUMN(AR$1)-COLUMN($A$1), FALSE), VLOOKUP($A331,raw_ub[],COLUMN(AR$1)-COLUMN($A$1),FALSE))</f>
        <v>1.7335642049845654E-2</v>
      </c>
      <c r="AR331" s="72">
        <f>IF(VLOOKUP($A331,raw_ub[],COLUMN(AS$1)-COLUMN($A$1),FALSE)=0, VLOOKUP($D331, regions_ub[], COLUMN(AS$1)-COLUMN($A$1), FALSE), VLOOKUP($A331,raw_ub[],COLUMN(AS$1)-COLUMN($A$1),FALSE))</f>
        <v>2.6394264605353469E-2</v>
      </c>
      <c r="AS331" s="72">
        <f>IF(VLOOKUP($A331,raw_ub[],COLUMN(AT$1)-COLUMN($A$1),FALSE)=0, VLOOKUP($D331, regions_ub[], COLUMN(AT$1)-COLUMN($A$1), FALSE), VLOOKUP($A331,raw_ub[],COLUMN(AT$1)-COLUMN($A$1),FALSE))</f>
        <v>4.0219273780321488E-2</v>
      </c>
      <c r="AT331" s="82">
        <f>IF(VLOOKUP($A331,raw_ub[],COLUMN(AT$1),FALSE)=0, VLOOKUP($D331, regions_ub[], COLUMN(AT$1), FALSE), VLOOKUP($A331,raw_ub[],COLUMN(AT$1),FALSE))</f>
        <v>6.0312289412620346E-2</v>
      </c>
      <c r="AU331" s="82">
        <f>IF(VLOOKUP($A331,raw_ub[],COLUMN(AU$1),FALSE)=0, VLOOKUP($D331, regions_ub[], COLUMN(AU$1), FALSE), VLOOKUP($A331,raw_ub[],COLUMN(AU$1),FALSE))</f>
        <v>8.7474377440953904E-2</v>
      </c>
      <c r="AV331" s="82">
        <f>IF(VLOOKUP($A331,raw_ub[],COLUMN(AV$1),FALSE)=0, VLOOKUP($D331, regions_ub[], COLUMN(AV$1), FALSE), VLOOKUP($A331,raw_ub[],COLUMN(AV$1),FALSE))</f>
        <v>0.12046970838195394</v>
      </c>
      <c r="AW331" s="82">
        <f>IF(VLOOKUP($A331,raw_ub[],COLUMN(AW$1),FALSE)=0, VLOOKUP($D331, regions_ub[], COLUMN(AW$1), FALSE), VLOOKUP($A331,raw_ub[],COLUMN(AW$1),FALSE))</f>
        <v>0.15680807090473531</v>
      </c>
      <c r="AX331" s="82">
        <f>IF(VLOOKUP($A331,raw_ub[],COLUMN(AX$1),FALSE)=0, VLOOKUP($D331, regions_ub[], COLUMN(AX$1), FALSE), VLOOKUP($A331,raw_ub[],COLUMN(AX$1),FALSE))</f>
        <v>78.741600000000005</v>
      </c>
      <c r="AY331" t="str">
        <f t="shared" si="11"/>
        <v>No</v>
      </c>
    </row>
    <row r="332" spans="1:51" x14ac:dyDescent="0.25">
      <c r="A332" s="53" t="s">
        <v>332</v>
      </c>
      <c r="B332" s="54" t="s">
        <v>333</v>
      </c>
      <c r="C332" s="54">
        <v>356</v>
      </c>
      <c r="D332" s="54" t="s">
        <v>225</v>
      </c>
      <c r="E332" s="54" t="s">
        <v>226</v>
      </c>
      <c r="F332" s="54" t="s">
        <v>226</v>
      </c>
      <c r="G332" s="54" t="s">
        <v>212</v>
      </c>
      <c r="H332" s="73"/>
      <c r="I332" s="73"/>
      <c r="J332" s="67">
        <f>IF(VLOOKUP($A332,raw_ub[],COLUMN(J$1),FALSE)=0, VLOOKUP($D332, regions_ub[], COLUMN(J$1), FALSE), VLOOKUP($A332,raw_ub[],COLUMN(J$1),FALSE))</f>
        <v>0.82845000000000002</v>
      </c>
      <c r="K332" s="77">
        <f>VLOOKUP($A332, raw_ub[], 11, FALSE)</f>
        <v>0.56700000000000006</v>
      </c>
      <c r="L332" s="77">
        <f>VLOOKUP($A332, raw_ub[], 12, FALSE)</f>
        <v>0.89249999999999996</v>
      </c>
      <c r="M332" s="77">
        <f>IF(VLOOKUP($A332,raw_ub[],COLUMN(M$1),FALSE)=0, VLOOKUP($D332, regions_ub[], COLUMN(M$1), FALSE), VLOOKUP($A332,raw_ub[],COLUMN(M$1),FALSE))</f>
        <v>1.9799999999999998E-2</v>
      </c>
      <c r="N332" s="68">
        <f>IF(VLOOKUP($A332,raw_ub[],COLUMN(N$1),FALSE)=0, VLOOKUP($D332, regions_ub[], COLUMN(N$1), FALSE), VLOOKUP($A332,raw_ub[],COLUMN(N$1),FALSE))</f>
        <v>0.35830000000000001</v>
      </c>
      <c r="O332" s="67">
        <f>IF(VLOOKUP($A332,raw_ub[],COLUMN(O$1),FALSE)=0, VLOOKUP($D332, regions_ub[], COLUMN(O$1), FALSE), VLOOKUP($A332,raw_ub[],COLUMN(O$1),FALSE))</f>
        <v>0.9</v>
      </c>
      <c r="P332" s="68">
        <f>IF(VLOOKUP($A332,raw_ub[],COLUMN(P$1),FALSE)=0, VLOOKUP($D332, regions_ub[], COLUMN(P$1), FALSE), VLOOKUP($A332,raw_ub[],COLUMN(P$1),FALSE))</f>
        <v>0.3</v>
      </c>
      <c r="Q332" s="70">
        <f>IF(VLOOKUP($A332,raw_ub[],COLUMN(Q$1),FALSE)=0, VLOOKUP($D332, regions_ub[], COLUMN(Q$1), FALSE), VLOOKUP($A332,raw_ub[],COLUMN(Q$1),FALSE))</f>
        <v>9.3750456843940704</v>
      </c>
      <c r="R332" s="70">
        <f>IF(VLOOKUP($A332,raw_ub[],COLUMN(R$1),FALSE)=0, VLOOKUP($D332, regions_ub[], COLUMN(R$1), FALSE), VLOOKUP($A332,raw_ub[],COLUMN(R$1),FALSE))</f>
        <v>118.36084568439408</v>
      </c>
      <c r="S332" s="70">
        <f>IF(VLOOKUP($A332,raw_ub[],COLUMN(S$1),FALSE)=0, VLOOKUP($D332, regions_ub[], COLUMN(S$1), FALSE), VLOOKUP($A332,raw_ub[],COLUMN(S$1),FALSE))</f>
        <v>155.65181324240226</v>
      </c>
      <c r="T332" s="70">
        <f>IF(VLOOKUP($A332,raw_ub[],COLUMN(U$1)-COLUMN($A$1),FALSE)=0, VLOOKUP($D332, regions_ub[], COLUMN(U$1)-COLUMN($A$1), FALSE), VLOOKUP($A332,raw_ub[],COLUMN(U$1)-COLUMN($A$1),FALSE))</f>
        <v>159.85246976676817</v>
      </c>
      <c r="U332" s="70">
        <f>IF(VLOOKUP($A332,raw_ub[],COLUMN(V$1)-COLUMN($A$1),FALSE)=0, VLOOKUP($D332, regions_ub[], COLUMN(V$1)-COLUMN($A$1), FALSE), VLOOKUP($A332,raw_ub[],COLUMN(V$1)-COLUMN($A$1),FALSE))</f>
        <v>157.92361708134678</v>
      </c>
      <c r="V332" s="70">
        <f>IF(VLOOKUP($A332,raw_ub[],COLUMN(W$1)-COLUMN($A$1),FALSE)=0, VLOOKUP($D332, regions_ub[], COLUMN(W$1)-COLUMN($A$1), FALSE), VLOOKUP($A332,raw_ub[],COLUMN(W$1)-COLUMN($A$1),FALSE))</f>
        <v>3.0990870911256891</v>
      </c>
      <c r="W332" s="70">
        <f>IF(VLOOKUP($A332,raw_ub[],COLUMN(X$1)-COLUMN($A$1),FALSE)=0, VLOOKUP($D332, regions_ub[], COLUMN(X$1)-COLUMN($A$1), FALSE), VLOOKUP($A332,raw_ub[],COLUMN(X$1)-COLUMN($A$1),FALSE))</f>
        <v>4.9994269251843662</v>
      </c>
      <c r="X332" s="70">
        <f>IF(VLOOKUP($A332,raw_ub[],COLUMN(Y$1)-COLUMN($A$1),FALSE)=0, VLOOKUP($D332, regions_ub[], COLUMN(Y$1)-COLUMN($A$1), FALSE), VLOOKUP($A332,raw_ub[],COLUMN(Y$1)-COLUMN($A$1),FALSE))</f>
        <v>3.0773407399314148</v>
      </c>
      <c r="Y332" s="70">
        <f>IF(VLOOKUP($A332,raw_ub[],COLUMN(Z$1)-COLUMN($A$1),FALSE)=0, VLOOKUP($D332, regions_ub[], COLUMN(Z$1)-COLUMN($A$1), FALSE), VLOOKUP($A332,raw_ub[],COLUMN(Z$1)-COLUMN($A$1),FALSE))</f>
        <v>4.9776805739900922</v>
      </c>
      <c r="Z332" s="70">
        <f>IF(VLOOKUP($A332,raw_ub[],COLUMN(AA$1)-COLUMN($A$1),FALSE)=0, VLOOKUP($D332, regions_ub[], COLUMN(AA$1)-COLUMN($A$1), FALSE), VLOOKUP($A332,raw_ub[],COLUMN(AA$1)-COLUMN($A$1),FALSE))</f>
        <v>4.9651951512667765</v>
      </c>
      <c r="AA332" s="70">
        <f>IF(VLOOKUP($A332,raw_ub[],COLUMN(AB$1)-COLUMN($A$1),FALSE)=0, VLOOKUP($D332, regions_ub[], COLUMN(AB$1)-COLUMN($A$1), FALSE), VLOOKUP($A332,raw_ub[],COLUMN(AB$1)-COLUMN($A$1),FALSE))</f>
        <v>3.1041054798628296</v>
      </c>
      <c r="AB332" s="70">
        <f>IF(VLOOKUP($A332,raw_ub[],COLUMN(AC$1)-COLUMN($A$1),FALSE)=0, VLOOKUP($D332, regions_ub[], COLUMN(AC$1)-COLUMN($A$1), FALSE), VLOOKUP($A332,raw_ub[],COLUMN(AC$1)-COLUMN($A$1),FALSE))</f>
        <v>5.004445313921507</v>
      </c>
      <c r="AC332" s="72">
        <f>IF(VLOOKUP($A332,raw_ub[],COLUMN(AD$1)-COLUMN($A$1),FALSE)=0, VLOOKUP($D332, regions_ub[], COLUMN(AD$1)-COLUMN($A$1), FALSE), VLOOKUP($A332,raw_ub[],COLUMN(AD$1)-COLUMN($A$1),FALSE))</f>
        <v>3.3600000000000005E-2</v>
      </c>
      <c r="AD332" s="72">
        <f>IF(VLOOKUP($A332,raw_ub[],COLUMN(AE$1)-COLUMN($A$1),FALSE)=0, VLOOKUP($D332, regions_ub[], COLUMN(AE$1)-COLUMN($A$1), FALSE), VLOOKUP($A332,raw_ub[],COLUMN(AE$1)-COLUMN($A$1),FALSE))</f>
        <v>2.0081846590909126E-3</v>
      </c>
      <c r="AE332" s="72">
        <f>IF(VLOOKUP($A332,raw_ub[],COLUMN(AF$1)-COLUMN($A$1),FALSE)=0, VLOOKUP($D332, regions_ub[], COLUMN(AF$1)-COLUMN($A$1), FALSE), VLOOKUP($A332,raw_ub[],COLUMN(AF$1)-COLUMN($A$1),FALSE))</f>
        <v>7.5111822929503907E-4</v>
      </c>
      <c r="AF332" s="72">
        <f>IF(VLOOKUP($A332,raw_ub[],COLUMN(AG$1)-COLUMN($A$1),FALSE)=0, VLOOKUP($D332, regions_ub[], COLUMN(AG$1)-COLUMN($A$1), FALSE), VLOOKUP($A332,raw_ub[],COLUMN(AG$1)-COLUMN($A$1),FALSE))</f>
        <v>6.3168579649538678E-4</v>
      </c>
      <c r="AG332" s="72">
        <f>IF(VLOOKUP($A332,raw_ub[],COLUMN(AH$1)-COLUMN($A$1),FALSE)=0, VLOOKUP($D332, regions_ub[], COLUMN(AH$1)-COLUMN($A$1), FALSE), VLOOKUP($A332,raw_ub[],COLUMN(AH$1)-COLUMN($A$1),FALSE))</f>
        <v>9.9374396147896529E-4</v>
      </c>
      <c r="AH332" s="72">
        <f>IF(VLOOKUP($A332,raw_ub[],COLUMN(AI$1)-COLUMN($A$1),FALSE)=0, VLOOKUP($D332, regions_ub[], COLUMN(AI$1)-COLUMN($A$1), FALSE), VLOOKUP($A332,raw_ub[],COLUMN(AI$1)-COLUMN($A$1),FALSE))</f>
        <v>1.4418757883867452E-3</v>
      </c>
      <c r="AI332" s="72">
        <f>IF(VLOOKUP($A332,raw_ub[],COLUMN(AJ$1)-COLUMN($A$1),FALSE)=0, VLOOKUP($D332, regions_ub[], COLUMN(AJ$1)-COLUMN($A$1), FALSE), VLOOKUP($A332,raw_ub[],COLUMN(AJ$1)-COLUMN($A$1),FALSE))</f>
        <v>1.6302938787652668E-3</v>
      </c>
      <c r="AJ332" s="72">
        <f>IF(VLOOKUP($A332,raw_ub[],COLUMN(AK$1)-COLUMN($A$1),FALSE)=0, VLOOKUP($D332, regions_ub[], COLUMN(AK$1)-COLUMN($A$1), FALSE), VLOOKUP($A332,raw_ub[],COLUMN(AK$1)-COLUMN($A$1),FALSE))</f>
        <v>2.0806540712741571E-3</v>
      </c>
      <c r="AK332" s="72">
        <f>IF(VLOOKUP($A332,raw_ub[],COLUMN(AL$1)-COLUMN($A$1),FALSE)=0, VLOOKUP($D332, regions_ub[], COLUMN(AL$1)-COLUMN($A$1), FALSE), VLOOKUP($A332,raw_ub[],COLUMN(AL$1)-COLUMN($A$1),FALSE))</f>
        <v>2.8809037149678733E-3</v>
      </c>
      <c r="AL332" s="72">
        <f>IF(VLOOKUP($A332,raw_ub[],COLUMN(AM$1)-COLUMN($A$1),FALSE)=0, VLOOKUP($D332, regions_ub[], COLUMN(AM$1)-COLUMN($A$1), FALSE), VLOOKUP($A332,raw_ub[],COLUMN(AM$1)-COLUMN($A$1),FALSE))</f>
        <v>3.8737288411454128E-3</v>
      </c>
      <c r="AM332" s="72">
        <f>IF(VLOOKUP($A332,raw_ub[],COLUMN(AN$1)-COLUMN($A$1),FALSE)=0, VLOOKUP($D332, regions_ub[], COLUMN(AN$1)-COLUMN($A$1), FALSE), VLOOKUP($A332,raw_ub[],COLUMN(AN$1)-COLUMN($A$1),FALSE))</f>
        <v>5.5633275713169424E-3</v>
      </c>
      <c r="AN332" s="72">
        <f>IF(VLOOKUP($A332,raw_ub[],COLUMN(AO$1)-COLUMN($A$1),FALSE)=0, VLOOKUP($D332, regions_ub[], COLUMN(AO$1)-COLUMN($A$1), FALSE), VLOOKUP($A332,raw_ub[],COLUMN(AO$1)-COLUMN($A$1),FALSE))</f>
        <v>8.9025352994668728E-3</v>
      </c>
      <c r="AO332" s="72">
        <f>IF(VLOOKUP($A332,raw_ub[],COLUMN(AP$1)-COLUMN($A$1),FALSE)=0, VLOOKUP($D332, regions_ub[], COLUMN(AP$1)-COLUMN($A$1), FALSE), VLOOKUP($A332,raw_ub[],COLUMN(AP$1)-COLUMN($A$1),FALSE))</f>
        <v>1.3227090473912609E-2</v>
      </c>
      <c r="AP332" s="72">
        <f>IF(VLOOKUP($A332,raw_ub[],COLUMN(AQ$1)-COLUMN($A$1),FALSE)=0, VLOOKUP($D332, regions_ub[], COLUMN(AQ$1)-COLUMN($A$1), FALSE), VLOOKUP($A332,raw_ub[],COLUMN(AQ$1)-COLUMN($A$1),FALSE))</f>
        <v>1.9527255378280872E-2</v>
      </c>
      <c r="AQ332" s="72">
        <f>IF(VLOOKUP($A332,raw_ub[],COLUMN(AR$1)-COLUMN($A$1),FALSE)=0, VLOOKUP($D332, regions_ub[], COLUMN(AR$1)-COLUMN($A$1), FALSE), VLOOKUP($A332,raw_ub[],COLUMN(AR$1)-COLUMN($A$1),FALSE))</f>
        <v>2.9292368121390539E-2</v>
      </c>
      <c r="AR332" s="72">
        <f>IF(VLOOKUP($A332,raw_ub[],COLUMN(AS$1)-COLUMN($A$1),FALSE)=0, VLOOKUP($D332, regions_ub[], COLUMN(AS$1)-COLUMN($A$1), FALSE), VLOOKUP($A332,raw_ub[],COLUMN(AS$1)-COLUMN($A$1),FALSE))</f>
        <v>4.4992146679166824E-2</v>
      </c>
      <c r="AS332" s="72">
        <f>IF(VLOOKUP($A332,raw_ub[],COLUMN(AT$1)-COLUMN($A$1),FALSE)=0, VLOOKUP($D332, regions_ub[], COLUMN(AT$1)-COLUMN($A$1), FALSE), VLOOKUP($A332,raw_ub[],COLUMN(AT$1)-COLUMN($A$1),FALSE))</f>
        <v>6.3713977040217709E-2</v>
      </c>
      <c r="AT332" s="82">
        <f>IF(VLOOKUP($A332,raw_ub[],COLUMN(AT$1),FALSE)=0, VLOOKUP($D332, regions_ub[], COLUMN(AT$1), FALSE), VLOOKUP($A332,raw_ub[],COLUMN(AT$1),FALSE))</f>
        <v>9.0951123657178709E-2</v>
      </c>
      <c r="AU332" s="82">
        <f>IF(VLOOKUP($A332,raw_ub[],COLUMN(AU$1),FALSE)=0, VLOOKUP($D332, regions_ub[], COLUMN(AU$1), FALSE), VLOOKUP($A332,raw_ub[],COLUMN(AU$1),FALSE))</f>
        <v>0.12180646425240672</v>
      </c>
      <c r="AV332" s="82">
        <f>IF(VLOOKUP($A332,raw_ub[],COLUMN(AV$1),FALSE)=0, VLOOKUP($D332, regions_ub[], COLUMN(AV$1), FALSE), VLOOKUP($A332,raw_ub[],COLUMN(AV$1),FALSE))</f>
        <v>0.15026254255736265</v>
      </c>
      <c r="AW332" s="82">
        <f>IF(VLOOKUP($A332,raw_ub[],COLUMN(AW$1),FALSE)=0, VLOOKUP($D332, regions_ub[], COLUMN(AW$1), FALSE), VLOOKUP($A332,raw_ub[],COLUMN(AW$1),FALSE))</f>
        <v>0.14490689248034472</v>
      </c>
      <c r="AX332" s="82">
        <f>IF(VLOOKUP($A332,raw_ub[],COLUMN(AX$1),FALSE)=0, VLOOKUP($D332, regions_ub[], COLUMN(AX$1), FALSE), VLOOKUP($A332,raw_ub[],COLUMN(AX$1),FALSE))</f>
        <v>72.735600000000005</v>
      </c>
      <c r="AY332" t="str">
        <f t="shared" si="11"/>
        <v>No</v>
      </c>
    </row>
    <row r="333" spans="1:51" x14ac:dyDescent="0.25">
      <c r="A333" s="55" t="s">
        <v>334</v>
      </c>
      <c r="B333" s="56" t="s">
        <v>335</v>
      </c>
      <c r="C333" s="56">
        <v>360</v>
      </c>
      <c r="D333" s="56" t="s">
        <v>225</v>
      </c>
      <c r="E333" s="56" t="s">
        <v>261</v>
      </c>
      <c r="F333" s="56" t="s">
        <v>262</v>
      </c>
      <c r="G333" s="56" t="s">
        <v>212</v>
      </c>
      <c r="H333" s="74"/>
      <c r="I333" s="74"/>
      <c r="J333" s="67">
        <f>IF(VLOOKUP($A333,raw_ub[],COLUMN(J$1),FALSE)=0, VLOOKUP($D333, regions_ub[], COLUMN(J$1), FALSE), VLOOKUP($A333,raw_ub[],COLUMN(J$1),FALSE))</f>
        <v>0.82950000000000013</v>
      </c>
      <c r="K333" s="77">
        <f>VLOOKUP($A333, raw_ub[], 11, FALSE)</f>
        <v>0.76649999999999996</v>
      </c>
      <c r="L333" s="77">
        <f>VLOOKUP($A333, raw_ub[], 12, FALSE)</f>
        <v>0.80850000000000011</v>
      </c>
      <c r="M333" s="77">
        <f>IF(VLOOKUP($A333,raw_ub[],COLUMN(M$1),FALSE)=0, VLOOKUP($D333, regions_ub[], COLUMN(M$1), FALSE), VLOOKUP($A333,raw_ub[],COLUMN(M$1),FALSE))</f>
        <v>6.6900000000000001E-2</v>
      </c>
      <c r="N333" s="68">
        <f>IF(VLOOKUP($A333,raw_ub[],COLUMN(N$1),FALSE)=0, VLOOKUP($D333, regions_ub[], COLUMN(N$1), FALSE), VLOOKUP($A333,raw_ub[],COLUMN(N$1),FALSE))</f>
        <v>0.47729999999999995</v>
      </c>
      <c r="O333" s="67">
        <f>IF(VLOOKUP($A333,raw_ub[],COLUMN(O$1),FALSE)=0, VLOOKUP($D333, regions_ub[], COLUMN(O$1), FALSE), VLOOKUP($A333,raw_ub[],COLUMN(O$1),FALSE))</f>
        <v>0.9</v>
      </c>
      <c r="P333" s="68">
        <f>IF(VLOOKUP($A333,raw_ub[],COLUMN(P$1),FALSE)=0, VLOOKUP($D333, regions_ub[], COLUMN(P$1), FALSE), VLOOKUP($A333,raw_ub[],COLUMN(P$1),FALSE))</f>
        <v>0.3</v>
      </c>
      <c r="Q333" s="70">
        <f>IF(VLOOKUP($A333,raw_ub[],COLUMN(Q$1),FALSE)=0, VLOOKUP($D333, regions_ub[], COLUMN(Q$1), FALSE), VLOOKUP($A333,raw_ub[],COLUMN(Q$1),FALSE))</f>
        <v>12.10995539568345</v>
      </c>
      <c r="R333" s="70">
        <f>IF(VLOOKUP($A333,raw_ub[],COLUMN(R$1),FALSE)=0, VLOOKUP($D333, regions_ub[], COLUMN(R$1), FALSE), VLOOKUP($A333,raw_ub[],COLUMN(R$1),FALSE))</f>
        <v>121.09575539568347</v>
      </c>
      <c r="S333" s="70">
        <f>IF(VLOOKUP($A333,raw_ub[],COLUMN(S$1),FALSE)=0, VLOOKUP($D333, regions_ub[], COLUMN(S$1), FALSE), VLOOKUP($A333,raw_ub[],COLUMN(S$1),FALSE))</f>
        <v>163.52065691634758</v>
      </c>
      <c r="T333" s="70">
        <f>IF(VLOOKUP($A333,raw_ub[],COLUMN(U$1)-COLUMN($A$1),FALSE)=0, VLOOKUP($D333, regions_ub[], COLUMN(U$1)-COLUMN($A$1), FALSE), VLOOKUP($A333,raw_ub[],COLUMN(U$1)-COLUMN($A$1),FALSE))</f>
        <v>170.39334663139286</v>
      </c>
      <c r="U333" s="70">
        <f>IF(VLOOKUP($A333,raw_ub[],COLUMN(V$1)-COLUMN($A$1),FALSE)=0, VLOOKUP($D333, regions_ub[], COLUMN(V$1)-COLUMN($A$1), FALSE), VLOOKUP($A333,raw_ub[],COLUMN(V$1)-COLUMN($A$1),FALSE))</f>
        <v>167.23755278439791</v>
      </c>
      <c r="V333" s="70">
        <f>IF(VLOOKUP($A333,raw_ub[],COLUMN(W$1)-COLUMN($A$1),FALSE)=0, VLOOKUP($D333, regions_ub[], COLUMN(W$1)-COLUMN($A$1), FALSE), VLOOKUP($A333,raw_ub[],COLUMN(W$1)-COLUMN($A$1),FALSE))</f>
        <v>3.9173705572977644</v>
      </c>
      <c r="W333" s="70">
        <f>IF(VLOOKUP($A333,raw_ub[],COLUMN(X$1)-COLUMN($A$1),FALSE)=0, VLOOKUP($D333, regions_ub[], COLUMN(X$1)-COLUMN($A$1), FALSE), VLOOKUP($A333,raw_ub[],COLUMN(X$1)-COLUMN($A$1),FALSE))</f>
        <v>4.5788705572977646</v>
      </c>
      <c r="X333" s="70">
        <f>IF(VLOOKUP($A333,raw_ub[],COLUMN(Y$1)-COLUMN($A$1),FALSE)=0, VLOOKUP($D333, regions_ub[], COLUMN(Y$1)-COLUMN($A$1), FALSE), VLOOKUP($A333,raw_ub[],COLUMN(Y$1)-COLUMN($A$1),FALSE))</f>
        <v>3.8753023074746284</v>
      </c>
      <c r="Y333" s="70">
        <f>IF(VLOOKUP($A333,raw_ub[],COLUMN(Z$1)-COLUMN($A$1),FALSE)=0, VLOOKUP($D333, regions_ub[], COLUMN(Z$1)-COLUMN($A$1), FALSE), VLOOKUP($A333,raw_ub[],COLUMN(Z$1)-COLUMN($A$1),FALSE))</f>
        <v>4.5368023074746286</v>
      </c>
      <c r="Z333" s="70">
        <f>IF(VLOOKUP($A333,raw_ub[],COLUMN(AA$1)-COLUMN($A$1),FALSE)=0, VLOOKUP($D333, regions_ub[], COLUMN(AA$1)-COLUMN($A$1), FALSE), VLOOKUP($A333,raw_ub[],COLUMN(AA$1)-COLUMN($A$1),FALSE))</f>
        <v>4.5136896179781134</v>
      </c>
      <c r="AA333" s="70">
        <f>IF(VLOOKUP($A333,raw_ub[],COLUMN(AB$1)-COLUMN($A$1),FALSE)=0, VLOOKUP($D333, regions_ub[], COLUMN(AB$1)-COLUMN($A$1), FALSE), VLOOKUP($A333,raw_ub[],COLUMN(AB$1)-COLUMN($A$1),FALSE))</f>
        <v>3.9270786149492571</v>
      </c>
      <c r="AB333" s="70">
        <f>IF(VLOOKUP($A333,raw_ub[],COLUMN(AC$1)-COLUMN($A$1),FALSE)=0, VLOOKUP($D333, regions_ub[], COLUMN(AC$1)-COLUMN($A$1), FALSE), VLOOKUP($A333,raw_ub[],COLUMN(AC$1)-COLUMN($A$1),FALSE))</f>
        <v>4.5885786149492569</v>
      </c>
      <c r="AC333" s="72">
        <f>IF(VLOOKUP($A333,raw_ub[],COLUMN(AD$1)-COLUMN($A$1),FALSE)=0, VLOOKUP($D333, regions_ub[], COLUMN(AD$1)-COLUMN($A$1), FALSE), VLOOKUP($A333,raw_ub[],COLUMN(AD$1)-COLUMN($A$1),FALSE))</f>
        <v>1.9869024000000002E-2</v>
      </c>
      <c r="AD333" s="72">
        <f>IF(VLOOKUP($A333,raw_ub[],COLUMN(AE$1)-COLUMN($A$1),FALSE)=0, VLOOKUP($D333, regions_ub[], COLUMN(AE$1)-COLUMN($A$1), FALSE), VLOOKUP($A333,raw_ub[],COLUMN(AE$1)-COLUMN($A$1),FALSE))</f>
        <v>1.5983280957566452E-3</v>
      </c>
      <c r="AE333" s="72">
        <f>IF(VLOOKUP($A333,raw_ub[],COLUMN(AF$1)-COLUMN($A$1),FALSE)=0, VLOOKUP($D333, regions_ub[], COLUMN(AF$1)-COLUMN($A$1), FALSE), VLOOKUP($A333,raw_ub[],COLUMN(AF$1)-COLUMN($A$1),FALSE))</f>
        <v>5.317669518702259E-4</v>
      </c>
      <c r="AF333" s="72">
        <f>IF(VLOOKUP($A333,raw_ub[],COLUMN(AG$1)-COLUMN($A$1),FALSE)=0, VLOOKUP($D333, regions_ub[], COLUMN(AG$1)-COLUMN($A$1), FALSE), VLOOKUP($A333,raw_ub[],COLUMN(AG$1)-COLUMN($A$1),FALSE))</f>
        <v>4.6992266743958847E-4</v>
      </c>
      <c r="AG333" s="72">
        <f>IF(VLOOKUP($A333,raw_ub[],COLUMN(AH$1)-COLUMN($A$1),FALSE)=0, VLOOKUP($D333, regions_ub[], COLUMN(AH$1)-COLUMN($A$1), FALSE), VLOOKUP($A333,raw_ub[],COLUMN(AH$1)-COLUMN($A$1),FALSE))</f>
        <v>9.8525335156254032E-4</v>
      </c>
      <c r="AH333" s="72">
        <f>IF(VLOOKUP($A333,raw_ub[],COLUMN(AI$1)-COLUMN($A$1),FALSE)=0, VLOOKUP($D333, regions_ub[], COLUMN(AI$1)-COLUMN($A$1), FALSE), VLOOKUP($A333,raw_ub[],COLUMN(AI$1)-COLUMN($A$1),FALSE))</f>
        <v>1.294545076868453E-3</v>
      </c>
      <c r="AI333" s="72">
        <f>IF(VLOOKUP($A333,raw_ub[],COLUMN(AJ$1)-COLUMN($A$1),FALSE)=0, VLOOKUP($D333, regions_ub[], COLUMN(AJ$1)-COLUMN($A$1), FALSE), VLOOKUP($A333,raw_ub[],COLUMN(AJ$1)-COLUMN($A$1),FALSE))</f>
        <v>1.3718696299308646E-3</v>
      </c>
      <c r="AJ333" s="72">
        <f>IF(VLOOKUP($A333,raw_ub[],COLUMN(AK$1)-COLUMN($A$1),FALSE)=0, VLOOKUP($D333, regions_ub[], COLUMN(AK$1)-COLUMN($A$1), FALSE), VLOOKUP($A333,raw_ub[],COLUMN(AK$1)-COLUMN($A$1),FALSE))</f>
        <v>1.6319205705330731E-3</v>
      </c>
      <c r="AK333" s="72">
        <f>IF(VLOOKUP($A333,raw_ub[],COLUMN(AL$1)-COLUMN($A$1),FALSE)=0, VLOOKUP($D333, regions_ub[], COLUMN(AL$1)-COLUMN($A$1), FALSE), VLOOKUP($A333,raw_ub[],COLUMN(AL$1)-COLUMN($A$1),FALSE))</f>
        <v>2.1955601320357318E-3</v>
      </c>
      <c r="AL333" s="72">
        <f>IF(VLOOKUP($A333,raw_ub[],COLUMN(AM$1)-COLUMN($A$1),FALSE)=0, VLOOKUP($D333, regions_ub[], COLUMN(AM$1)-COLUMN($A$1), FALSE), VLOOKUP($A333,raw_ub[],COLUMN(AM$1)-COLUMN($A$1),FALSE))</f>
        <v>3.1497590788818132E-3</v>
      </c>
      <c r="AM333" s="72">
        <f>IF(VLOOKUP($A333,raw_ub[],COLUMN(AN$1)-COLUMN($A$1),FALSE)=0, VLOOKUP($D333, regions_ub[], COLUMN(AN$1)-COLUMN($A$1), FALSE), VLOOKUP($A333,raw_ub[],COLUMN(AN$1)-COLUMN($A$1),FALSE))</f>
        <v>4.8260066024062532E-3</v>
      </c>
      <c r="AN333" s="72">
        <f>IF(VLOOKUP($A333,raw_ub[],COLUMN(AO$1)-COLUMN($A$1),FALSE)=0, VLOOKUP($D333, regions_ub[], COLUMN(AO$1)-COLUMN($A$1), FALSE), VLOOKUP($A333,raw_ub[],COLUMN(AO$1)-COLUMN($A$1),FALSE))</f>
        <v>7.4628070438420829E-3</v>
      </c>
      <c r="AO333" s="72">
        <f>IF(VLOOKUP($A333,raw_ub[],COLUMN(AP$1)-COLUMN($A$1),FALSE)=0, VLOOKUP($D333, regions_ub[], COLUMN(AP$1)-COLUMN($A$1), FALSE), VLOOKUP($A333,raw_ub[],COLUMN(AP$1)-COLUMN($A$1),FALSE))</f>
        <v>1.1589469335299878E-2</v>
      </c>
      <c r="AP333" s="72">
        <f>IF(VLOOKUP($A333,raw_ub[],COLUMN(AQ$1)-COLUMN($A$1),FALSE)=0, VLOOKUP($D333, regions_ub[], COLUMN(AQ$1)-COLUMN($A$1), FALSE), VLOOKUP($A333,raw_ub[],COLUMN(AQ$1)-COLUMN($A$1),FALSE))</f>
        <v>1.78593161261161E-2</v>
      </c>
      <c r="AQ333" s="72">
        <f>IF(VLOOKUP($A333,raw_ub[],COLUMN(AR$1)-COLUMN($A$1),FALSE)=0, VLOOKUP($D333, regions_ub[], COLUMN(AR$1)-COLUMN($A$1), FALSE), VLOOKUP($A333,raw_ub[],COLUMN(AR$1)-COLUMN($A$1),FALSE))</f>
        <v>2.7082054787097947E-2</v>
      </c>
      <c r="AR333" s="72">
        <f>IF(VLOOKUP($A333,raw_ub[],COLUMN(AS$1)-COLUMN($A$1),FALSE)=0, VLOOKUP($D333, regions_ub[], COLUMN(AS$1)-COLUMN($A$1), FALSE), VLOOKUP($A333,raw_ub[],COLUMN(AS$1)-COLUMN($A$1),FALSE))</f>
        <v>4.1457301910177359E-2</v>
      </c>
      <c r="AS333" s="72">
        <f>IF(VLOOKUP($A333,raw_ub[],COLUMN(AT$1)-COLUMN($A$1),FALSE)=0, VLOOKUP($D333, regions_ub[], COLUMN(AT$1)-COLUMN($A$1), FALSE), VLOOKUP($A333,raw_ub[],COLUMN(AT$1)-COLUMN($A$1),FALSE))</f>
        <v>6.4054375396910709E-2</v>
      </c>
      <c r="AT333" s="82">
        <f>IF(VLOOKUP($A333,raw_ub[],COLUMN(AT$1),FALSE)=0, VLOOKUP($D333, regions_ub[], COLUMN(AT$1), FALSE), VLOOKUP($A333,raw_ub[],COLUMN(AT$1),FALSE))</f>
        <v>9.3890542058254117E-2</v>
      </c>
      <c r="AU333" s="82">
        <f>IF(VLOOKUP($A333,raw_ub[],COLUMN(AU$1),FALSE)=0, VLOOKUP($D333, regions_ub[], COLUMN(AU$1), FALSE), VLOOKUP($A333,raw_ub[],COLUMN(AU$1),FALSE))</f>
        <v>0.12900237788885924</v>
      </c>
      <c r="AV333" s="82">
        <f>IF(VLOOKUP($A333,raw_ub[],COLUMN(AV$1),FALSE)=0, VLOOKUP($D333, regions_ub[], COLUMN(AV$1), FALSE), VLOOKUP($A333,raw_ub[],COLUMN(AV$1),FALSE))</f>
        <v>0.15996857237431761</v>
      </c>
      <c r="AW333" s="82">
        <f>IF(VLOOKUP($A333,raw_ub[],COLUMN(AW$1),FALSE)=0, VLOOKUP($D333, regions_ub[], COLUMN(AW$1), FALSE), VLOOKUP($A333,raw_ub[],COLUMN(AW$1),FALSE))</f>
        <v>0.18287860799293942</v>
      </c>
      <c r="AX333" s="82">
        <f>IF(VLOOKUP($A333,raw_ub[],COLUMN(AX$1),FALSE)=0, VLOOKUP($D333, regions_ub[], COLUMN(AX$1), FALSE), VLOOKUP($A333,raw_ub[],COLUMN(AX$1),FALSE))</f>
        <v>74.979450000000014</v>
      </c>
      <c r="AY333" t="str">
        <f t="shared" si="11"/>
        <v>No</v>
      </c>
    </row>
    <row r="334" spans="1:51" x14ac:dyDescent="0.25">
      <c r="A334" s="53" t="s">
        <v>336</v>
      </c>
      <c r="B334" s="54" t="s">
        <v>337</v>
      </c>
      <c r="C334" s="54">
        <v>364</v>
      </c>
      <c r="D334" s="54" t="s">
        <v>196</v>
      </c>
      <c r="E334" s="54" t="s">
        <v>197</v>
      </c>
      <c r="F334" s="54" t="s">
        <v>197</v>
      </c>
      <c r="G334" s="54" t="s">
        <v>204</v>
      </c>
      <c r="H334" s="73"/>
      <c r="I334" s="73"/>
      <c r="J334" s="67">
        <f>IF(VLOOKUP($A334,raw_ub[],COLUMN(J$1),FALSE)=0, VLOOKUP($D334, regions_ub[], COLUMN(J$1), FALSE), VLOOKUP($A334,raw_ub[],COLUMN(J$1),FALSE))</f>
        <v>0.999</v>
      </c>
      <c r="K334" s="77">
        <f>VLOOKUP($A334, raw_ub[], 11, FALSE)</f>
        <v>0.99749999999999994</v>
      </c>
      <c r="L334" s="77">
        <f>VLOOKUP($A334, raw_ub[], 12, FALSE)</f>
        <v>0.999</v>
      </c>
      <c r="M334" s="77">
        <f>IF(VLOOKUP($A334,raw_ub[],COLUMN(M$1),FALSE)=0, VLOOKUP($D334, regions_ub[], COLUMN(M$1), FALSE), VLOOKUP($A334,raw_ub[],COLUMN(M$1),FALSE))</f>
        <v>1.37E-2</v>
      </c>
      <c r="N334" s="68">
        <f>IF(VLOOKUP($A334,raw_ub[],COLUMN(N$1),FALSE)=0, VLOOKUP($D334, regions_ub[], COLUMN(N$1), FALSE), VLOOKUP($A334,raw_ub[],COLUMN(N$1),FALSE))</f>
        <v>0.37619999999999998</v>
      </c>
      <c r="O334" s="67">
        <f>IF(VLOOKUP($A334,raw_ub[],COLUMN(O$1),FALSE)=0, VLOOKUP($D334, regions_ub[], COLUMN(O$1), FALSE), VLOOKUP($A334,raw_ub[],COLUMN(O$1),FALSE))</f>
        <v>0.9</v>
      </c>
      <c r="P334" s="68">
        <f>IF(VLOOKUP($A334,raw_ub[],COLUMN(P$1),FALSE)=0, VLOOKUP($D334, regions_ub[], COLUMN(P$1), FALSE), VLOOKUP($A334,raw_ub[],COLUMN(P$1),FALSE))</f>
        <v>0.3</v>
      </c>
      <c r="Q334" s="70">
        <f>IF(VLOOKUP($A334,raw_ub[],COLUMN(Q$1),FALSE)=0, VLOOKUP($D334, regions_ub[], COLUMN(Q$1), FALSE), VLOOKUP($A334,raw_ub[],COLUMN(Q$1),FALSE))</f>
        <v>26.116250390526599</v>
      </c>
      <c r="R334" s="70">
        <f>IF(VLOOKUP($A334,raw_ub[],COLUMN(R$1),FALSE)=0, VLOOKUP($D334, regions_ub[], COLUMN(R$1), FALSE), VLOOKUP($A334,raw_ub[],COLUMN(R$1),FALSE))</f>
        <v>135.10205039052659</v>
      </c>
      <c r="S334" s="70">
        <f>IF(VLOOKUP($A334,raw_ub[],COLUMN(S$1),FALSE)=0, VLOOKUP($D334, regions_ub[], COLUMN(S$1), FALSE), VLOOKUP($A334,raw_ub[],COLUMN(S$1),FALSE))</f>
        <v>227.37323977585478</v>
      </c>
      <c r="T334" s="70">
        <f>IF(VLOOKUP($A334,raw_ub[],COLUMN(U$1)-COLUMN($A$1),FALSE)=0, VLOOKUP($D334, regions_ub[], COLUMN(U$1)-COLUMN($A$1), FALSE), VLOOKUP($A334,raw_ub[],COLUMN(U$1)-COLUMN($A$1),FALSE))</f>
        <v>260.18918013949974</v>
      </c>
      <c r="U334" s="70">
        <f>IF(VLOOKUP($A334,raw_ub[],COLUMN(V$1)-COLUMN($A$1),FALSE)=0, VLOOKUP($D334, regions_ub[], COLUMN(V$1)-COLUMN($A$1), FALSE), VLOOKUP($A334,raw_ub[],COLUMN(V$1)-COLUMN($A$1),FALSE))</f>
        <v>245.12079396512678</v>
      </c>
      <c r="V334" s="70">
        <f>IF(VLOOKUP($A334,raw_ub[],COLUMN(W$1)-COLUMN($A$1),FALSE)=0, VLOOKUP($D334, regions_ub[], COLUMN(W$1)-COLUMN($A$1), FALSE), VLOOKUP($A334,raw_ub[],COLUMN(W$1)-COLUMN($A$1),FALSE))</f>
        <v>6.9508560537243849</v>
      </c>
      <c r="W334" s="70">
        <f>IF(VLOOKUP($A334,raw_ub[],COLUMN(X$1)-COLUMN($A$1),FALSE)=0, VLOOKUP($D334, regions_ub[], COLUMN(X$1)-COLUMN($A$1), FALSE), VLOOKUP($A334,raw_ub[],COLUMN(X$1)-COLUMN($A$1),FALSE))</f>
        <v>7.4548560537243844</v>
      </c>
      <c r="X334" s="70">
        <f>IF(VLOOKUP($A334,raw_ub[],COLUMN(Y$1)-COLUMN($A$1),FALSE)=0, VLOOKUP($D334, regions_ub[], COLUMN(Y$1)-COLUMN($A$1), FALSE), VLOOKUP($A334,raw_ub[],COLUMN(Y$1)-COLUMN($A$1),FALSE))</f>
        <v>6.9210689951582811</v>
      </c>
      <c r="Y334" s="70">
        <f>IF(VLOOKUP($A334,raw_ub[],COLUMN(Z$1)-COLUMN($A$1),FALSE)=0, VLOOKUP($D334, regions_ub[], COLUMN(Z$1)-COLUMN($A$1), FALSE), VLOOKUP($A334,raw_ub[],COLUMN(Z$1)-COLUMN($A$1),FALSE))</f>
        <v>7.4250689951582807</v>
      </c>
      <c r="Z334" s="70">
        <f>IF(VLOOKUP($A334,raw_ub[],COLUMN(AA$1)-COLUMN($A$1),FALSE)=0, VLOOKUP($D334, regions_ub[], COLUMN(AA$1)-COLUMN($A$1), FALSE), VLOOKUP($A334,raw_ub[],COLUMN(AA$1)-COLUMN($A$1),FALSE))</f>
        <v>7.4063523011616876</v>
      </c>
      <c r="AA334" s="70">
        <f>IF(VLOOKUP($A334,raw_ub[],COLUMN(AB$1)-COLUMN($A$1),FALSE)=0, VLOOKUP($D334, regions_ub[], COLUMN(AB$1)-COLUMN($A$1), FALSE), VLOOKUP($A334,raw_ub[],COLUMN(AB$1)-COLUMN($A$1),FALSE))</f>
        <v>6.9577299903165635</v>
      </c>
      <c r="AB334" s="70">
        <f>IF(VLOOKUP($A334,raw_ub[],COLUMN(AC$1)-COLUMN($A$1),FALSE)=0, VLOOKUP($D334, regions_ub[], COLUMN(AC$1)-COLUMN($A$1), FALSE), VLOOKUP($A334,raw_ub[],COLUMN(AC$1)-COLUMN($A$1),FALSE))</f>
        <v>7.461729990316563</v>
      </c>
      <c r="AC334" s="72">
        <f>IF(VLOOKUP($A334,raw_ub[],COLUMN(AD$1)-COLUMN($A$1),FALSE)=0, VLOOKUP($D334, regions_ub[], COLUMN(AD$1)-COLUMN($A$1), FALSE), VLOOKUP($A334,raw_ub[],COLUMN(AD$1)-COLUMN($A$1),FALSE))</f>
        <v>1.3458322499999953E-2</v>
      </c>
      <c r="AD334" s="72">
        <f>IF(VLOOKUP($A334,raw_ub[],COLUMN(AE$1)-COLUMN($A$1),FALSE)=0, VLOOKUP($D334, regions_ub[], COLUMN(AE$1)-COLUMN($A$1), FALSE), VLOOKUP($A334,raw_ub[],COLUMN(AE$1)-COLUMN($A$1),FALSE))</f>
        <v>5.5841267656120972E-4</v>
      </c>
      <c r="AE334" s="72">
        <f>IF(VLOOKUP($A334,raw_ub[],COLUMN(AF$1)-COLUMN($A$1),FALSE)=0, VLOOKUP($D334, regions_ub[], COLUMN(AF$1)-COLUMN($A$1), FALSE), VLOOKUP($A334,raw_ub[],COLUMN(AF$1)-COLUMN($A$1),FALSE))</f>
        <v>1.8471629986170014E-4</v>
      </c>
      <c r="AF334" s="72">
        <f>IF(VLOOKUP($A334,raw_ub[],COLUMN(AG$1)-COLUMN($A$1),FALSE)=0, VLOOKUP($D334, regions_ub[], COLUMN(AG$1)-COLUMN($A$1), FALSE), VLOOKUP($A334,raw_ub[],COLUMN(AG$1)-COLUMN($A$1),FALSE))</f>
        <v>2.0574202178473276E-4</v>
      </c>
      <c r="AG334" s="72">
        <f>IF(VLOOKUP($A334,raw_ub[],COLUMN(AH$1)-COLUMN($A$1),FALSE)=0, VLOOKUP($D334, regions_ub[], COLUMN(AH$1)-COLUMN($A$1), FALSE), VLOOKUP($A334,raw_ub[],COLUMN(AH$1)-COLUMN($A$1),FALSE))</f>
        <v>4.4805471444909898E-4</v>
      </c>
      <c r="AH334" s="72">
        <f>IF(VLOOKUP($A334,raw_ub[],COLUMN(AI$1)-COLUMN($A$1),FALSE)=0, VLOOKUP($D334, regions_ub[], COLUMN(AI$1)-COLUMN($A$1), FALSE), VLOOKUP($A334,raw_ub[],COLUMN(AI$1)-COLUMN($A$1),FALSE))</f>
        <v>7.9738038658215245E-4</v>
      </c>
      <c r="AI334" s="72">
        <f>IF(VLOOKUP($A334,raw_ub[],COLUMN(AJ$1)-COLUMN($A$1),FALSE)=0, VLOOKUP($D334, regions_ub[], COLUMN(AJ$1)-COLUMN($A$1), FALSE), VLOOKUP($A334,raw_ub[],COLUMN(AJ$1)-COLUMN($A$1),FALSE))</f>
        <v>6.2137479854789638E-4</v>
      </c>
      <c r="AJ334" s="72">
        <f>IF(VLOOKUP($A334,raw_ub[],COLUMN(AK$1)-COLUMN($A$1),FALSE)=0, VLOOKUP($D334, regions_ub[], COLUMN(AK$1)-COLUMN($A$1), FALSE), VLOOKUP($A334,raw_ub[],COLUMN(AK$1)-COLUMN($A$1),FALSE))</f>
        <v>6.773125844568551E-4</v>
      </c>
      <c r="AK334" s="72">
        <f>IF(VLOOKUP($A334,raw_ub[],COLUMN(AL$1)-COLUMN($A$1),FALSE)=0, VLOOKUP($D334, regions_ub[], COLUMN(AL$1)-COLUMN($A$1), FALSE), VLOOKUP($A334,raw_ub[],COLUMN(AL$1)-COLUMN($A$1),FALSE))</f>
        <v>7.4112321547917909E-4</v>
      </c>
      <c r="AL334" s="72">
        <f>IF(VLOOKUP($A334,raw_ub[],COLUMN(AM$1)-COLUMN($A$1),FALSE)=0, VLOOKUP($D334, regions_ub[], COLUMN(AM$1)-COLUMN($A$1), FALSE), VLOOKUP($A334,raw_ub[],COLUMN(AM$1)-COLUMN($A$1),FALSE))</f>
        <v>1.0916555623559725E-3</v>
      </c>
      <c r="AM334" s="72">
        <f>IF(VLOOKUP($A334,raw_ub[],COLUMN(AN$1)-COLUMN($A$1),FALSE)=0, VLOOKUP($D334, regions_ub[], COLUMN(AN$1)-COLUMN($A$1), FALSE), VLOOKUP($A334,raw_ub[],COLUMN(AN$1)-COLUMN($A$1),FALSE))</f>
        <v>1.8266907638754982E-3</v>
      </c>
      <c r="AN334" s="72">
        <f>IF(VLOOKUP($A334,raw_ub[],COLUMN(AO$1)-COLUMN($A$1),FALSE)=0, VLOOKUP($D334, regions_ub[], COLUMN(AO$1)-COLUMN($A$1), FALSE), VLOOKUP($A334,raw_ub[],COLUMN(AO$1)-COLUMN($A$1),FALSE))</f>
        <v>3.4010818631050768E-3</v>
      </c>
      <c r="AO334" s="72">
        <f>IF(VLOOKUP($A334,raw_ub[],COLUMN(AP$1)-COLUMN($A$1),FALSE)=0, VLOOKUP($D334, regions_ub[], COLUMN(AP$1)-COLUMN($A$1), FALSE), VLOOKUP($A334,raw_ub[],COLUMN(AP$1)-COLUMN($A$1),FALSE))</f>
        <v>5.0381783102678348E-3</v>
      </c>
      <c r="AP334" s="72">
        <f>IF(VLOOKUP($A334,raw_ub[],COLUMN(AQ$1)-COLUMN($A$1),FALSE)=0, VLOOKUP($D334, regions_ub[], COLUMN(AQ$1)-COLUMN($A$1), FALSE), VLOOKUP($A334,raw_ub[],COLUMN(AQ$1)-COLUMN($A$1),FALSE))</f>
        <v>9.3134854406086241E-3</v>
      </c>
      <c r="AQ334" s="72">
        <f>IF(VLOOKUP($A334,raw_ub[],COLUMN(AR$1)-COLUMN($A$1),FALSE)=0, VLOOKUP($D334, regions_ub[], COLUMN(AR$1)-COLUMN($A$1), FALSE), VLOOKUP($A334,raw_ub[],COLUMN(AR$1)-COLUMN($A$1),FALSE))</f>
        <v>1.6971039634590228E-2</v>
      </c>
      <c r="AR334" s="72">
        <f>IF(VLOOKUP($A334,raw_ub[],COLUMN(AS$1)-COLUMN($A$1),FALSE)=0, VLOOKUP($D334, regions_ub[], COLUMN(AS$1)-COLUMN($A$1), FALSE), VLOOKUP($A334,raw_ub[],COLUMN(AS$1)-COLUMN($A$1),FALSE))</f>
        <v>3.3831010608886755E-2</v>
      </c>
      <c r="AS334" s="72">
        <f>IF(VLOOKUP($A334,raw_ub[],COLUMN(AT$1)-COLUMN($A$1),FALSE)=0, VLOOKUP($D334, regions_ub[], COLUMN(AT$1)-COLUMN($A$1), FALSE), VLOOKUP($A334,raw_ub[],COLUMN(AT$1)-COLUMN($A$1),FALSE))</f>
        <v>6.7229980862245561E-2</v>
      </c>
      <c r="AT334" s="82">
        <f>IF(VLOOKUP($A334,raw_ub[],COLUMN(AT$1),FALSE)=0, VLOOKUP($D334, regions_ub[], COLUMN(AT$1), FALSE), VLOOKUP($A334,raw_ub[],COLUMN(AT$1),FALSE))</f>
        <v>9.675867699245766E-2</v>
      </c>
      <c r="AU334" s="82">
        <f>IF(VLOOKUP($A334,raw_ub[],COLUMN(AU$1),FALSE)=0, VLOOKUP($D334, regions_ub[], COLUMN(AU$1), FALSE), VLOOKUP($A334,raw_ub[],COLUMN(AU$1),FALSE))</f>
        <v>0.13191119083738626</v>
      </c>
      <c r="AV334" s="82">
        <f>IF(VLOOKUP($A334,raw_ub[],COLUMN(AV$1),FALSE)=0, VLOOKUP($D334, regions_ub[], COLUMN(AV$1), FALSE), VLOOKUP($A334,raw_ub[],COLUMN(AV$1),FALSE))</f>
        <v>0.16558841105245961</v>
      </c>
      <c r="AW334" s="82">
        <f>IF(VLOOKUP($A334,raw_ub[],COLUMN(AW$1),FALSE)=0, VLOOKUP($D334, regions_ub[], COLUMN(AW$1), FALSE), VLOOKUP($A334,raw_ub[],COLUMN(AW$1),FALSE))</f>
        <v>0.18775466739068844</v>
      </c>
      <c r="AX334" s="82">
        <f>IF(VLOOKUP($A334,raw_ub[],COLUMN(AX$1),FALSE)=0, VLOOKUP($D334, regions_ub[], COLUMN(AX$1), FALSE), VLOOKUP($A334,raw_ub[],COLUMN(AX$1),FALSE))</f>
        <v>80.163300000000007</v>
      </c>
      <c r="AY334" t="str">
        <f t="shared" si="11"/>
        <v>No</v>
      </c>
    </row>
    <row r="335" spans="1:51" x14ac:dyDescent="0.25">
      <c r="A335" s="55" t="s">
        <v>338</v>
      </c>
      <c r="B335" s="56" t="s">
        <v>339</v>
      </c>
      <c r="C335" s="56">
        <v>368</v>
      </c>
      <c r="D335" s="56" t="s">
        <v>196</v>
      </c>
      <c r="E335" s="56" t="s">
        <v>197</v>
      </c>
      <c r="F335" s="56" t="s">
        <v>197</v>
      </c>
      <c r="G335" s="56" t="s">
        <v>204</v>
      </c>
      <c r="H335" s="74"/>
      <c r="I335" s="74"/>
      <c r="J335" s="67">
        <f>IF(VLOOKUP($A335,raw_ub[],COLUMN(J$1),FALSE)=0, VLOOKUP($D335, regions_ub[], COLUMN(J$1), FALSE), VLOOKUP($A335,raw_ub[],COLUMN(J$1),FALSE))</f>
        <v>0.9093</v>
      </c>
      <c r="K335" s="77">
        <f>VLOOKUP($A335, raw_ub[], 11, FALSE)</f>
        <v>0.49349999999999999</v>
      </c>
      <c r="L335" s="77">
        <f>VLOOKUP($A335, raw_ub[], 12, FALSE)</f>
        <v>0.77700000000000002</v>
      </c>
      <c r="M335" s="77">
        <f>IF(VLOOKUP($A335,raw_ub[],COLUMN(M$1),FALSE)=0, VLOOKUP($D335, regions_ub[], COLUMN(M$1), FALSE), VLOOKUP($A335,raw_ub[],COLUMN(M$1),FALSE))</f>
        <v>2.6699999999999998E-2</v>
      </c>
      <c r="N335" s="68">
        <f>IF(VLOOKUP($A335,raw_ub[],COLUMN(N$1),FALSE)=0, VLOOKUP($D335, regions_ub[], COLUMN(N$1), FALSE), VLOOKUP($A335,raw_ub[],COLUMN(N$1),FALSE))</f>
        <v>0.37619999999999998</v>
      </c>
      <c r="O335" s="67">
        <f>IF(VLOOKUP($A335,raw_ub[],COLUMN(O$1),FALSE)=0, VLOOKUP($D335, regions_ub[], COLUMN(O$1), FALSE), VLOOKUP($A335,raw_ub[],COLUMN(O$1),FALSE))</f>
        <v>0.9</v>
      </c>
      <c r="P335" s="68">
        <f>IF(VLOOKUP($A335,raw_ub[],COLUMN(P$1),FALSE)=0, VLOOKUP($D335, regions_ub[], COLUMN(P$1), FALSE), VLOOKUP($A335,raw_ub[],COLUMN(P$1),FALSE))</f>
        <v>0.3</v>
      </c>
      <c r="Q335" s="70">
        <f>IF(VLOOKUP($A335,raw_ub[],COLUMN(Q$1),FALSE)=0, VLOOKUP($D335, regions_ub[], COLUMN(Q$1), FALSE), VLOOKUP($A335,raw_ub[],COLUMN(Q$1),FALSE))</f>
        <v>10.494096716101701</v>
      </c>
      <c r="R335" s="70">
        <f>IF(VLOOKUP($A335,raw_ub[],COLUMN(R$1),FALSE)=0, VLOOKUP($D335, regions_ub[], COLUMN(R$1), FALSE), VLOOKUP($A335,raw_ub[],COLUMN(R$1),FALSE))</f>
        <v>119.47989671610171</v>
      </c>
      <c r="S335" s="70">
        <f>IF(VLOOKUP($A335,raw_ub[],COLUMN(S$1),FALSE)=0, VLOOKUP($D335, regions_ub[], COLUMN(S$1), FALSE), VLOOKUP($A335,raw_ub[],COLUMN(S$1),FALSE))</f>
        <v>159.12979814879617</v>
      </c>
      <c r="T335" s="70">
        <f>IF(VLOOKUP($A335,raw_ub[],COLUMN(U$1)-COLUMN($A$1),FALSE)=0, VLOOKUP($D335, regions_ub[], COLUMN(U$1)-COLUMN($A$1), FALSE), VLOOKUP($A335,raw_ub[],COLUMN(U$1)-COLUMN($A$1),FALSE))</f>
        <v>164.55819730749059</v>
      </c>
      <c r="U335" s="70">
        <f>IF(VLOOKUP($A335,raw_ub[],COLUMN(V$1)-COLUMN($A$1),FALSE)=0, VLOOKUP($D335, regions_ub[], COLUMN(V$1)-COLUMN($A$1), FALSE), VLOOKUP($A335,raw_ub[],COLUMN(V$1)-COLUMN($A$1),FALSE))</f>
        <v>162.06559115555876</v>
      </c>
      <c r="V335" s="70">
        <f>IF(VLOOKUP($A335,raw_ub[],COLUMN(W$1)-COLUMN($A$1),FALSE)=0, VLOOKUP($D335, regions_ub[], COLUMN(W$1)-COLUMN($A$1), FALSE), VLOOKUP($A335,raw_ub[],COLUMN(W$1)-COLUMN($A$1),FALSE))</f>
        <v>5.8872018011390796</v>
      </c>
      <c r="W335" s="70">
        <f>IF(VLOOKUP($A335,raw_ub[],COLUMN(X$1)-COLUMN($A$1),FALSE)=0, VLOOKUP($D335, regions_ub[], COLUMN(X$1)-COLUMN($A$1), FALSE), VLOOKUP($A335,raw_ub[],COLUMN(X$1)-COLUMN($A$1),FALSE))</f>
        <v>6.3912018011390792</v>
      </c>
      <c r="X335" s="70">
        <f>IF(VLOOKUP($A335,raw_ub[],COLUMN(Y$1)-COLUMN($A$1),FALSE)=0, VLOOKUP($D335, regions_ub[], COLUMN(Y$1)-COLUMN($A$1), FALSE), VLOOKUP($A335,raw_ub[],COLUMN(Y$1)-COLUMN($A$1),FALSE))</f>
        <v>5.8629923040767338</v>
      </c>
      <c r="Y335" s="70">
        <f>IF(VLOOKUP($A335,raw_ub[],COLUMN(Z$1)-COLUMN($A$1),FALSE)=0, VLOOKUP($D335, regions_ub[], COLUMN(Z$1)-COLUMN($A$1), FALSE), VLOOKUP($A335,raw_ub[],COLUMN(Z$1)-COLUMN($A$1),FALSE))</f>
        <v>6.3669923040767333</v>
      </c>
      <c r="Z335" s="70">
        <f>IF(VLOOKUP($A335,raw_ub[],COLUMN(AA$1)-COLUMN($A$1),FALSE)=0, VLOOKUP($D335, regions_ub[], COLUMN(AA$1)-COLUMN($A$1), FALSE), VLOOKUP($A335,raw_ub[],COLUMN(AA$1)-COLUMN($A$1),FALSE))</f>
        <v>6.3538306352385465</v>
      </c>
      <c r="AA335" s="70">
        <f>IF(VLOOKUP($A335,raw_ub[],COLUMN(AB$1)-COLUMN($A$1),FALSE)=0, VLOOKUP($D335, regions_ub[], COLUMN(AB$1)-COLUMN($A$1), FALSE), VLOOKUP($A335,raw_ub[],COLUMN(AB$1)-COLUMN($A$1),FALSE))</f>
        <v>5.8927886081534666</v>
      </c>
      <c r="AB335" s="70">
        <f>IF(VLOOKUP($A335,raw_ub[],COLUMN(AC$1)-COLUMN($A$1),FALSE)=0, VLOOKUP($D335, regions_ub[], COLUMN(AC$1)-COLUMN($A$1), FALSE), VLOOKUP($A335,raw_ub[],COLUMN(AC$1)-COLUMN($A$1),FALSE))</f>
        <v>6.3967886081534662</v>
      </c>
      <c r="AC335" s="72">
        <f>IF(VLOOKUP($A335,raw_ub[],COLUMN(AD$1)-COLUMN($A$1),FALSE)=0, VLOOKUP($D335, regions_ub[], COLUMN(AD$1)-COLUMN($A$1), FALSE), VLOOKUP($A335,raw_ub[],COLUMN(AD$1)-COLUMN($A$1),FALSE))</f>
        <v>2.531634000000002E-2</v>
      </c>
      <c r="AD335" s="72">
        <f>IF(VLOOKUP($A335,raw_ub[],COLUMN(AE$1)-COLUMN($A$1),FALSE)=0, VLOOKUP($D335, regions_ub[], COLUMN(AE$1)-COLUMN($A$1), FALSE), VLOOKUP($A335,raw_ub[],COLUMN(AE$1)-COLUMN($A$1),FALSE))</f>
        <v>1.1339808095017472E-3</v>
      </c>
      <c r="AE335" s="72">
        <f>IF(VLOOKUP($A335,raw_ub[],COLUMN(AF$1)-COLUMN($A$1),FALSE)=0, VLOOKUP($D335, regions_ub[], COLUMN(AF$1)-COLUMN($A$1), FALSE), VLOOKUP($A335,raw_ub[],COLUMN(AF$1)-COLUMN($A$1),FALSE))</f>
        <v>7.1212629535417633E-4</v>
      </c>
      <c r="AF335" s="72">
        <f>IF(VLOOKUP($A335,raw_ub[],COLUMN(AG$1)-COLUMN($A$1),FALSE)=0, VLOOKUP($D335, regions_ub[], COLUMN(AG$1)-COLUMN($A$1), FALSE), VLOOKUP($A335,raw_ub[],COLUMN(AG$1)-COLUMN($A$1),FALSE))</f>
        <v>5.9385741571829132E-4</v>
      </c>
      <c r="AG335" s="72">
        <f>IF(VLOOKUP($A335,raw_ub[],COLUMN(AH$1)-COLUMN($A$1),FALSE)=0, VLOOKUP($D335, regions_ub[], COLUMN(AH$1)-COLUMN($A$1), FALSE), VLOOKUP($A335,raw_ub[],COLUMN(AH$1)-COLUMN($A$1),FALSE))</f>
        <v>1.0504350099686313E-3</v>
      </c>
      <c r="AH335" s="72">
        <f>IF(VLOOKUP($A335,raw_ub[],COLUMN(AI$1)-COLUMN($A$1),FALSE)=0, VLOOKUP($D335, regions_ub[], COLUMN(AI$1)-COLUMN($A$1), FALSE), VLOOKUP($A335,raw_ub[],COLUMN(AI$1)-COLUMN($A$1),FALSE))</f>
        <v>1.4858813775139265E-3</v>
      </c>
      <c r="AI335" s="72">
        <f>IF(VLOOKUP($A335,raw_ub[],COLUMN(AJ$1)-COLUMN($A$1),FALSE)=0, VLOOKUP($D335, regions_ub[], COLUMN(AJ$1)-COLUMN($A$1), FALSE), VLOOKUP($A335,raw_ub[],COLUMN(AJ$1)-COLUMN($A$1),FALSE))</f>
        <v>1.6004185945742446E-3</v>
      </c>
      <c r="AJ335" s="72">
        <f>IF(VLOOKUP($A335,raw_ub[],COLUMN(AK$1)-COLUMN($A$1),FALSE)=0, VLOOKUP($D335, regions_ub[], COLUMN(AK$1)-COLUMN($A$1), FALSE), VLOOKUP($A335,raw_ub[],COLUMN(AK$1)-COLUMN($A$1),FALSE))</f>
        <v>1.83530794092175E-3</v>
      </c>
      <c r="AK335" s="72">
        <f>IF(VLOOKUP($A335,raw_ub[],COLUMN(AL$1)-COLUMN($A$1),FALSE)=0, VLOOKUP($D335, regions_ub[], COLUMN(AL$1)-COLUMN($A$1), FALSE), VLOOKUP($A335,raw_ub[],COLUMN(AL$1)-COLUMN($A$1),FALSE))</f>
        <v>2.313926199303277E-3</v>
      </c>
      <c r="AL335" s="72">
        <f>IF(VLOOKUP($A335,raw_ub[],COLUMN(AM$1)-COLUMN($A$1),FALSE)=0, VLOOKUP($D335, regions_ub[], COLUMN(AM$1)-COLUMN($A$1), FALSE), VLOOKUP($A335,raw_ub[],COLUMN(AM$1)-COLUMN($A$1),FALSE))</f>
        <v>3.2453648241989354E-3</v>
      </c>
      <c r="AM335" s="72">
        <f>IF(VLOOKUP($A335,raw_ub[],COLUMN(AN$1)-COLUMN($A$1),FALSE)=0, VLOOKUP($D335, regions_ub[], COLUMN(AN$1)-COLUMN($A$1), FALSE), VLOOKUP($A335,raw_ub[],COLUMN(AN$1)-COLUMN($A$1),FALSE))</f>
        <v>4.9269924895710953E-3</v>
      </c>
      <c r="AN335" s="72">
        <f>IF(VLOOKUP($A335,raw_ub[],COLUMN(AO$1)-COLUMN($A$1),FALSE)=0, VLOOKUP($D335, regions_ub[], COLUMN(AO$1)-COLUMN($A$1), FALSE), VLOOKUP($A335,raw_ub[],COLUMN(AO$1)-COLUMN($A$1),FALSE))</f>
        <v>7.5229696541237335E-3</v>
      </c>
      <c r="AO335" s="72">
        <f>IF(VLOOKUP($A335,raw_ub[],COLUMN(AP$1)-COLUMN($A$1),FALSE)=0, VLOOKUP($D335, regions_ub[], COLUMN(AP$1)-COLUMN($A$1), FALSE), VLOOKUP($A335,raw_ub[],COLUMN(AP$1)-COLUMN($A$1),FALSE))</f>
        <v>1.1630352163331073E-2</v>
      </c>
      <c r="AP335" s="72">
        <f>IF(VLOOKUP($A335,raw_ub[],COLUMN(AQ$1)-COLUMN($A$1),FALSE)=0, VLOOKUP($D335, regions_ub[], COLUMN(AQ$1)-COLUMN($A$1), FALSE), VLOOKUP($A335,raw_ub[],COLUMN(AQ$1)-COLUMN($A$1),FALSE))</f>
        <v>1.8076219864854696E-2</v>
      </c>
      <c r="AQ335" s="72">
        <f>IF(VLOOKUP($A335,raw_ub[],COLUMN(AR$1)-COLUMN($A$1),FALSE)=0, VLOOKUP($D335, regions_ub[], COLUMN(AR$1)-COLUMN($A$1), FALSE), VLOOKUP($A335,raw_ub[],COLUMN(AR$1)-COLUMN($A$1),FALSE))</f>
        <v>2.8603318144052894E-2</v>
      </c>
      <c r="AR335" s="72">
        <f>IF(VLOOKUP($A335,raw_ub[],COLUMN(AS$1)-COLUMN($A$1),FALSE)=0, VLOOKUP($D335, regions_ub[], COLUMN(AS$1)-COLUMN($A$1), FALSE), VLOOKUP($A335,raw_ub[],COLUMN(AS$1)-COLUMN($A$1),FALSE))</f>
        <v>4.5211923299575726E-2</v>
      </c>
      <c r="AS335" s="72">
        <f>IF(VLOOKUP($A335,raw_ub[],COLUMN(AT$1)-COLUMN($A$1),FALSE)=0, VLOOKUP($D335, regions_ub[], COLUMN(AT$1)-COLUMN($A$1), FALSE), VLOOKUP($A335,raw_ub[],COLUMN(AT$1)-COLUMN($A$1),FALSE))</f>
        <v>6.9239899546043274E-2</v>
      </c>
      <c r="AT335" s="82">
        <f>IF(VLOOKUP($A335,raw_ub[],COLUMN(AT$1),FALSE)=0, VLOOKUP($D335, regions_ub[], COLUMN(AT$1), FALSE), VLOOKUP($A335,raw_ub[],COLUMN(AT$1),FALSE))</f>
        <v>0.10203123668849866</v>
      </c>
      <c r="AU335" s="82">
        <f>IF(VLOOKUP($A335,raw_ub[],COLUMN(AU$1),FALSE)=0, VLOOKUP($D335, regions_ub[], COLUMN(AU$1), FALSE), VLOOKUP($A335,raw_ub[],COLUMN(AU$1),FALSE))</f>
        <v>0.1373325941575895</v>
      </c>
      <c r="AV335" s="82">
        <f>IF(VLOOKUP($A335,raw_ub[],COLUMN(AV$1),FALSE)=0, VLOOKUP($D335, regions_ub[], COLUMN(AV$1), FALSE), VLOOKUP($A335,raw_ub[],COLUMN(AV$1),FALSE))</f>
        <v>0.16773222384353303</v>
      </c>
      <c r="AW335" s="82">
        <f>IF(VLOOKUP($A335,raw_ub[],COLUMN(AW$1),FALSE)=0, VLOOKUP($D335, regions_ub[], COLUMN(AW$1), FALSE), VLOOKUP($A335,raw_ub[],COLUMN(AW$1),FALSE))</f>
        <v>0.18674116218268028</v>
      </c>
      <c r="AX335" s="82">
        <f>IF(VLOOKUP($A335,raw_ub[],COLUMN(AX$1),FALSE)=0, VLOOKUP($D335, regions_ub[], COLUMN(AX$1), FALSE), VLOOKUP($A335,raw_ub[],COLUMN(AX$1),FALSE))</f>
        <v>73.886399999999995</v>
      </c>
      <c r="AY335" t="str">
        <f t="shared" si="11"/>
        <v>No</v>
      </c>
    </row>
    <row r="336" spans="1:51" x14ac:dyDescent="0.25">
      <c r="A336" s="53" t="s">
        <v>340</v>
      </c>
      <c r="B336" s="54" t="s">
        <v>341</v>
      </c>
      <c r="C336" s="54">
        <v>388</v>
      </c>
      <c r="D336" s="54" t="s">
        <v>215</v>
      </c>
      <c r="E336" s="54" t="s">
        <v>232</v>
      </c>
      <c r="F336" s="54" t="s">
        <v>217</v>
      </c>
      <c r="G336" s="54" t="s">
        <v>204</v>
      </c>
      <c r="H336" s="73"/>
      <c r="I336" s="73"/>
      <c r="J336" s="67">
        <f>IF(VLOOKUP($A336,raw_ub[],COLUMN(J$1),FALSE)=0, VLOOKUP($D336, regions_ub[], COLUMN(J$1), FALSE), VLOOKUP($A336,raw_ub[],COLUMN(J$1),FALSE))</f>
        <v>0.999</v>
      </c>
      <c r="K336" s="77">
        <f>VLOOKUP($A336, raw_ub[], 11, FALSE)</f>
        <v>0</v>
      </c>
      <c r="L336" s="77">
        <f>VLOOKUP($A336, raw_ub[], 12, FALSE)</f>
        <v>0.99749999999999994</v>
      </c>
      <c r="M336" s="77">
        <f>IF(VLOOKUP($A336,raw_ub[],COLUMN(M$1),FALSE)=0, VLOOKUP($D336, regions_ub[], COLUMN(M$1), FALSE), VLOOKUP($A336,raw_ub[],COLUMN(M$1),FALSE))</f>
        <v>4.1200000000000001E-2</v>
      </c>
      <c r="N336" s="68">
        <f>IF(VLOOKUP($A336,raw_ub[],COLUMN(N$1),FALSE)=0, VLOOKUP($D336, regions_ub[], COLUMN(N$1), FALSE), VLOOKUP($A336,raw_ub[],COLUMN(N$1),FALSE))</f>
        <v>0.43</v>
      </c>
      <c r="O336" s="67">
        <f>IF(VLOOKUP($A336,raw_ub[],COLUMN(O$1),FALSE)=0, VLOOKUP($D336, regions_ub[], COLUMN(O$1), FALSE), VLOOKUP($A336,raw_ub[],COLUMN(O$1),FALSE))</f>
        <v>0.9</v>
      </c>
      <c r="P336" s="68">
        <f>IF(VLOOKUP($A336,raw_ub[],COLUMN(P$1),FALSE)=0, VLOOKUP($D336, regions_ub[], COLUMN(P$1), FALSE), VLOOKUP($A336,raw_ub[],COLUMN(P$1),FALSE))</f>
        <v>0.3</v>
      </c>
      <c r="Q336" s="70">
        <f>IF(VLOOKUP($A336,raw_ub[],COLUMN(Q$1),FALSE)=0, VLOOKUP($D336, regions_ub[], COLUMN(Q$1), FALSE), VLOOKUP($A336,raw_ub[],COLUMN(Q$1),FALSE))</f>
        <v>23.354639534610399</v>
      </c>
      <c r="R336" s="70">
        <f>IF(VLOOKUP($A336,raw_ub[],COLUMN(R$1),FALSE)=0, VLOOKUP($D336, regions_ub[], COLUMN(R$1), FALSE), VLOOKUP($A336,raw_ub[],COLUMN(R$1),FALSE))</f>
        <v>132.34043953461043</v>
      </c>
      <c r="S336" s="70">
        <f>IF(VLOOKUP($A336,raw_ub[],COLUMN(S$1),FALSE)=0, VLOOKUP($D336, regions_ub[], COLUMN(S$1), FALSE), VLOOKUP($A336,raw_ub[],COLUMN(S$1),FALSE))</f>
        <v>201.33583872650186</v>
      </c>
      <c r="T336" s="70">
        <f>IF(VLOOKUP($A336,raw_ub[],COLUMN(U$1)-COLUMN($A$1),FALSE)=0, VLOOKUP($D336, regions_ub[], COLUMN(U$1)-COLUMN($A$1), FALSE), VLOOKUP($A336,raw_ub[],COLUMN(U$1)-COLUMN($A$1),FALSE))</f>
        <v>222.0375438100385</v>
      </c>
      <c r="U336" s="70">
        <f>IF(VLOOKUP($A336,raw_ub[],COLUMN(V$1)-COLUMN($A$1),FALSE)=0, VLOOKUP($D336, regions_ub[], COLUMN(V$1)-COLUMN($A$1), FALSE), VLOOKUP($A336,raw_ub[],COLUMN(V$1)-COLUMN($A$1),FALSE))</f>
        <v>212.53175841397857</v>
      </c>
      <c r="V336" s="70">
        <f>IF(VLOOKUP($A336,raw_ub[],COLUMN(W$1)-COLUMN($A$1),FALSE)=0, VLOOKUP($D336, regions_ub[], COLUMN(W$1)-COLUMN($A$1), FALSE), VLOOKUP($A336,raw_ub[],COLUMN(W$1)-COLUMN($A$1),FALSE))</f>
        <v>12.144102910204673</v>
      </c>
      <c r="W336" s="70">
        <f>IF(VLOOKUP($A336,raw_ub[],COLUMN(X$1)-COLUMN($A$1),FALSE)=0, VLOOKUP($D336, regions_ub[], COLUMN(X$1)-COLUMN($A$1), FALSE), VLOOKUP($A336,raw_ub[],COLUMN(X$1)-COLUMN($A$1),FALSE))</f>
        <v>12.165102910204673</v>
      </c>
      <c r="X336" s="70">
        <f>IF(VLOOKUP($A336,raw_ub[],COLUMN(Y$1)-COLUMN($A$1),FALSE)=0, VLOOKUP($D336, regions_ub[], COLUMN(Y$1)-COLUMN($A$1), FALSE), VLOOKUP($A336,raw_ub[],COLUMN(Y$1)-COLUMN($A$1),FALSE))</f>
        <v>12.114753881492234</v>
      </c>
      <c r="Y336" s="70">
        <f>IF(VLOOKUP($A336,raw_ub[],COLUMN(Z$1)-COLUMN($A$1),FALSE)=0, VLOOKUP($D336, regions_ub[], COLUMN(Z$1)-COLUMN($A$1), FALSE), VLOOKUP($A336,raw_ub[],COLUMN(Z$1)-COLUMN($A$1),FALSE))</f>
        <v>12.135753881492235</v>
      </c>
      <c r="Z336" s="70">
        <f>IF(VLOOKUP($A336,raw_ub[],COLUMN(AA$1)-COLUMN($A$1),FALSE)=0, VLOOKUP($D336, regions_ub[], COLUMN(AA$1)-COLUMN($A$1), FALSE), VLOOKUP($A336,raw_ub[],COLUMN(AA$1)-COLUMN($A$1),FALSE))</f>
        <v>12.118347707762</v>
      </c>
      <c r="AA336" s="70">
        <f>IF(VLOOKUP($A336,raw_ub[],COLUMN(AB$1)-COLUMN($A$1),FALSE)=0, VLOOKUP($D336, regions_ub[], COLUMN(AB$1)-COLUMN($A$1), FALSE), VLOOKUP($A336,raw_ub[],COLUMN(AB$1)-COLUMN($A$1),FALSE))</f>
        <v>12.150875762984466</v>
      </c>
      <c r="AB336" s="70">
        <f>IF(VLOOKUP($A336,raw_ub[],COLUMN(AC$1)-COLUMN($A$1),FALSE)=0, VLOOKUP($D336, regions_ub[], COLUMN(AC$1)-COLUMN($A$1), FALSE), VLOOKUP($A336,raw_ub[],COLUMN(AC$1)-COLUMN($A$1),FALSE))</f>
        <v>12.171875762984467</v>
      </c>
      <c r="AC336" s="72">
        <f>IF(VLOOKUP($A336,raw_ub[],COLUMN(AD$1)-COLUMN($A$1),FALSE)=0, VLOOKUP($D336, regions_ub[], COLUMN(AD$1)-COLUMN($A$1), FALSE), VLOOKUP($A336,raw_ub[],COLUMN(AD$1)-COLUMN($A$1),FALSE))</f>
        <v>1.2361219500000058E-2</v>
      </c>
      <c r="AD336" s="72">
        <f>IF(VLOOKUP($A336,raw_ub[],COLUMN(AE$1)-COLUMN($A$1),FALSE)=0, VLOOKUP($D336, regions_ub[], COLUMN(AE$1)-COLUMN($A$1), FALSE), VLOOKUP($A336,raw_ub[],COLUMN(AE$1)-COLUMN($A$1),FALSE))</f>
        <v>8.4839973726287619E-4</v>
      </c>
      <c r="AE336" s="72">
        <f>IF(VLOOKUP($A336,raw_ub[],COLUMN(AF$1)-COLUMN($A$1),FALSE)=0, VLOOKUP($D336, regions_ub[], COLUMN(AF$1)-COLUMN($A$1), FALSE), VLOOKUP($A336,raw_ub[],COLUMN(AF$1)-COLUMN($A$1),FALSE))</f>
        <v>3.6026461476752004E-4</v>
      </c>
      <c r="AF336" s="72">
        <f>IF(VLOOKUP($A336,raw_ub[],COLUMN(AG$1)-COLUMN($A$1),FALSE)=0, VLOOKUP($D336, regions_ub[], COLUMN(AG$1)-COLUMN($A$1), FALSE), VLOOKUP($A336,raw_ub[],COLUMN(AG$1)-COLUMN($A$1),FALSE))</f>
        <v>3.4351085768505172E-4</v>
      </c>
      <c r="AG336" s="72">
        <f>IF(VLOOKUP($A336,raw_ub[],COLUMN(AH$1)-COLUMN($A$1),FALSE)=0, VLOOKUP($D336, regions_ub[], COLUMN(AH$1)-COLUMN($A$1), FALSE), VLOOKUP($A336,raw_ub[],COLUMN(AH$1)-COLUMN($A$1),FALSE))</f>
        <v>8.2836981671643398E-4</v>
      </c>
      <c r="AH336" s="72">
        <f>IF(VLOOKUP($A336,raw_ub[],COLUMN(AI$1)-COLUMN($A$1),FALSE)=0, VLOOKUP($D336, regions_ub[], COLUMN(AI$1)-COLUMN($A$1), FALSE), VLOOKUP($A336,raw_ub[],COLUMN(AI$1)-COLUMN($A$1),FALSE))</f>
        <v>1.1319560776694008E-3</v>
      </c>
      <c r="AI336" s="72">
        <f>IF(VLOOKUP($A336,raw_ub[],COLUMN(AJ$1)-COLUMN($A$1),FALSE)=0, VLOOKUP($D336, regions_ub[], COLUMN(AJ$1)-COLUMN($A$1), FALSE), VLOOKUP($A336,raw_ub[],COLUMN(AJ$1)-COLUMN($A$1),FALSE))</f>
        <v>1.2054311884014434E-3</v>
      </c>
      <c r="AJ336" s="72">
        <f>IF(VLOOKUP($A336,raw_ub[],COLUMN(AK$1)-COLUMN($A$1),FALSE)=0, VLOOKUP($D336, regions_ub[], COLUMN(AK$1)-COLUMN($A$1), FALSE), VLOOKUP($A336,raw_ub[],COLUMN(AK$1)-COLUMN($A$1),FALSE))</f>
        <v>1.4423720720455817E-3</v>
      </c>
      <c r="AK336" s="72">
        <f>IF(VLOOKUP($A336,raw_ub[],COLUMN(AL$1)-COLUMN($A$1),FALSE)=0, VLOOKUP($D336, regions_ub[], COLUMN(AL$1)-COLUMN($A$1), FALSE), VLOOKUP($A336,raw_ub[],COLUMN(AL$1)-COLUMN($A$1),FALSE))</f>
        <v>1.9517706201661006E-3</v>
      </c>
      <c r="AL336" s="72">
        <f>IF(VLOOKUP($A336,raw_ub[],COLUMN(AM$1)-COLUMN($A$1),FALSE)=0, VLOOKUP($D336, regions_ub[], COLUMN(AM$1)-COLUMN($A$1), FALSE), VLOOKUP($A336,raw_ub[],COLUMN(AM$1)-COLUMN($A$1),FALSE))</f>
        <v>2.8533758647448148E-3</v>
      </c>
      <c r="AM336" s="72">
        <f>IF(VLOOKUP($A336,raw_ub[],COLUMN(AN$1)-COLUMN($A$1),FALSE)=0, VLOOKUP($D336, regions_ub[], COLUMN(AN$1)-COLUMN($A$1), FALSE), VLOOKUP($A336,raw_ub[],COLUMN(AN$1)-COLUMN($A$1),FALSE))</f>
        <v>4.4276788163067141E-3</v>
      </c>
      <c r="AN336" s="72">
        <f>IF(VLOOKUP($A336,raw_ub[],COLUMN(AO$1)-COLUMN($A$1),FALSE)=0, VLOOKUP($D336, regions_ub[], COLUMN(AO$1)-COLUMN($A$1), FALSE), VLOOKUP($A336,raw_ub[],COLUMN(AO$1)-COLUMN($A$1),FALSE))</f>
        <v>6.8970928109862994E-3</v>
      </c>
      <c r="AO336" s="72">
        <f>IF(VLOOKUP($A336,raw_ub[],COLUMN(AP$1)-COLUMN($A$1),FALSE)=0, VLOOKUP($D336, regions_ub[], COLUMN(AP$1)-COLUMN($A$1), FALSE), VLOOKUP($A336,raw_ub[],COLUMN(AP$1)-COLUMN($A$1),FALSE))</f>
        <v>1.0612424063641648E-2</v>
      </c>
      <c r="AP336" s="72">
        <f>IF(VLOOKUP($A336,raw_ub[],COLUMN(AQ$1)-COLUMN($A$1),FALSE)=0, VLOOKUP($D336, regions_ub[], COLUMN(AQ$1)-COLUMN($A$1), FALSE), VLOOKUP($A336,raw_ub[],COLUMN(AQ$1)-COLUMN($A$1),FALSE))</f>
        <v>1.4869253583329434E-2</v>
      </c>
      <c r="AQ336" s="72">
        <f>IF(VLOOKUP($A336,raw_ub[],COLUMN(AR$1)-COLUMN($A$1),FALSE)=0, VLOOKUP($D336, regions_ub[], COLUMN(AR$1)-COLUMN($A$1), FALSE), VLOOKUP($A336,raw_ub[],COLUMN(AR$1)-COLUMN($A$1),FALSE))</f>
        <v>2.1023688699544747E-2</v>
      </c>
      <c r="AR336" s="72">
        <f>IF(VLOOKUP($A336,raw_ub[],COLUMN(AS$1)-COLUMN($A$1),FALSE)=0, VLOOKUP($D336, regions_ub[], COLUMN(AS$1)-COLUMN($A$1), FALSE), VLOOKUP($A336,raw_ub[],COLUMN(AS$1)-COLUMN($A$1),FALSE))</f>
        <v>3.1757470504404466E-2</v>
      </c>
      <c r="AS336" s="72">
        <f>IF(VLOOKUP($A336,raw_ub[],COLUMN(AT$1)-COLUMN($A$1),FALSE)=0, VLOOKUP($D336, regions_ub[], COLUMN(AT$1)-COLUMN($A$1), FALSE), VLOOKUP($A336,raw_ub[],COLUMN(AT$1)-COLUMN($A$1),FALSE))</f>
        <v>5.1018392212887634E-2</v>
      </c>
      <c r="AT336" s="82">
        <f>IF(VLOOKUP($A336,raw_ub[],COLUMN(AT$1),FALSE)=0, VLOOKUP($D336, regions_ub[], COLUMN(AT$1), FALSE), VLOOKUP($A336,raw_ub[],COLUMN(AT$1),FALSE))</f>
        <v>7.8619034170265875E-2</v>
      </c>
      <c r="AU336" s="82">
        <f>IF(VLOOKUP($A336,raw_ub[],COLUMN(AU$1),FALSE)=0, VLOOKUP($D336, regions_ub[], COLUMN(AU$1), FALSE), VLOOKUP($A336,raw_ub[],COLUMN(AU$1),FALSE))</f>
        <v>0.1130521063295285</v>
      </c>
      <c r="AV336" s="82">
        <f>IF(VLOOKUP($A336,raw_ub[],COLUMN(AV$1),FALSE)=0, VLOOKUP($D336, regions_ub[], COLUMN(AV$1), FALSE), VLOOKUP($A336,raw_ub[],COLUMN(AV$1),FALSE))</f>
        <v>0.14621290912694762</v>
      </c>
      <c r="AW336" s="82">
        <f>IF(VLOOKUP($A336,raw_ub[],COLUMN(AW$1),FALSE)=0, VLOOKUP($D336, regions_ub[], COLUMN(AW$1), FALSE), VLOOKUP($A336,raw_ub[],COLUMN(AW$1),FALSE))</f>
        <v>0.17218635636877758</v>
      </c>
      <c r="AX336" s="82">
        <f>IF(VLOOKUP($A336,raw_ub[],COLUMN(AX$1),FALSE)=0, VLOOKUP($D336, regions_ub[], COLUMN(AX$1), FALSE), VLOOKUP($A336,raw_ub[],COLUMN(AX$1),FALSE))</f>
        <v>78.048599999999993</v>
      </c>
      <c r="AY336" t="str">
        <f t="shared" si="11"/>
        <v>Yes</v>
      </c>
    </row>
    <row r="337" spans="1:51" x14ac:dyDescent="0.25">
      <c r="A337" s="55" t="s">
        <v>342</v>
      </c>
      <c r="B337" s="56" t="s">
        <v>343</v>
      </c>
      <c r="C337" s="56">
        <v>400</v>
      </c>
      <c r="D337" s="56" t="s">
        <v>196</v>
      </c>
      <c r="E337" s="56" t="s">
        <v>197</v>
      </c>
      <c r="F337" s="56" t="s">
        <v>197</v>
      </c>
      <c r="G337" s="56" t="s">
        <v>204</v>
      </c>
      <c r="H337" s="74"/>
      <c r="I337" s="74"/>
      <c r="J337" s="67">
        <f>IF(VLOOKUP($A337,raw_ub[],COLUMN(J$1),FALSE)=0, VLOOKUP($D337, regions_ub[], COLUMN(J$1), FALSE), VLOOKUP($A337,raw_ub[],COLUMN(J$1),FALSE))</f>
        <v>0.999</v>
      </c>
      <c r="K337" s="77">
        <f>VLOOKUP($A337, raw_ub[], 11, FALSE)</f>
        <v>0</v>
      </c>
      <c r="L337" s="77">
        <f>VLOOKUP($A337, raw_ub[], 12, FALSE)</f>
        <v>0.80850000000000011</v>
      </c>
      <c r="M337" s="77">
        <f>IF(VLOOKUP($A337,raw_ub[],COLUMN(M$1),FALSE)=0, VLOOKUP($D337, regions_ub[], COLUMN(M$1), FALSE), VLOOKUP($A337,raw_ub[],COLUMN(M$1),FALSE))</f>
        <v>3.27E-2</v>
      </c>
      <c r="N337" s="68">
        <f>IF(VLOOKUP($A337,raw_ub[],COLUMN(N$1),FALSE)=0, VLOOKUP($D337, regions_ub[], COLUMN(N$1), FALSE), VLOOKUP($A337,raw_ub[],COLUMN(N$1),FALSE))</f>
        <v>0.37619999999999998</v>
      </c>
      <c r="O337" s="67">
        <f>IF(VLOOKUP($A337,raw_ub[],COLUMN(O$1),FALSE)=0, VLOOKUP($D337, regions_ub[], COLUMN(O$1), FALSE), VLOOKUP($A337,raw_ub[],COLUMN(O$1),FALSE))</f>
        <v>0.9</v>
      </c>
      <c r="P337" s="68">
        <f>IF(VLOOKUP($A337,raw_ub[],COLUMN(P$1),FALSE)=0, VLOOKUP($D337, regions_ub[], COLUMN(P$1), FALSE), VLOOKUP($A337,raw_ub[],COLUMN(P$1),FALSE))</f>
        <v>0.3</v>
      </c>
      <c r="Q337" s="70">
        <f>IF(VLOOKUP($A337,raw_ub[],COLUMN(Q$1),FALSE)=0, VLOOKUP($D337, regions_ub[], COLUMN(Q$1), FALSE), VLOOKUP($A337,raw_ub[],COLUMN(Q$1),FALSE))</f>
        <v>16.115531541408856</v>
      </c>
      <c r="R337" s="70">
        <f>IF(VLOOKUP($A337,raw_ub[],COLUMN(R$1),FALSE)=0, VLOOKUP($D337, regions_ub[], COLUMN(R$1), FALSE), VLOOKUP($A337,raw_ub[],COLUMN(R$1),FALSE))</f>
        <v>125.10133154140887</v>
      </c>
      <c r="S337" s="70">
        <f>IF(VLOOKUP($A337,raw_ub[],COLUMN(S$1),FALSE)=0, VLOOKUP($D337, regions_ub[], COLUMN(S$1), FALSE), VLOOKUP($A337,raw_ub[],COLUMN(S$1),FALSE))</f>
        <v>183.32559742757255</v>
      </c>
      <c r="T337" s="70">
        <f>IF(VLOOKUP($A337,raw_ub[],COLUMN(U$1)-COLUMN($A$1),FALSE)=0, VLOOKUP($D337, regions_ub[], COLUMN(U$1)-COLUMN($A$1), FALSE), VLOOKUP($A337,raw_ub[],COLUMN(U$1)-COLUMN($A$1),FALSE))</f>
        <v>198.42130408894653</v>
      </c>
      <c r="U337" s="70">
        <f>IF(VLOOKUP($A337,raw_ub[],COLUMN(V$1)-COLUMN($A$1),FALSE)=0, VLOOKUP($D337, regions_ub[], COLUMN(V$1)-COLUMN($A$1), FALSE), VLOOKUP($A337,raw_ub[],COLUMN(V$1)-COLUMN($A$1),FALSE))</f>
        <v>191.48967467263284</v>
      </c>
      <c r="V337" s="70">
        <f>IF(VLOOKUP($A337,raw_ub[],COLUMN(W$1)-COLUMN($A$1),FALSE)=0, VLOOKUP($D337, regions_ub[], COLUMN(W$1)-COLUMN($A$1), FALSE), VLOOKUP($A337,raw_ub[],COLUMN(W$1)-COLUMN($A$1),FALSE))</f>
        <v>8.9212794288269048</v>
      </c>
      <c r="W337" s="70">
        <f>IF(VLOOKUP($A337,raw_ub[],COLUMN(X$1)-COLUMN($A$1),FALSE)=0, VLOOKUP($D337, regions_ub[], COLUMN(X$1)-COLUMN($A$1), FALSE), VLOOKUP($A337,raw_ub[],COLUMN(X$1)-COLUMN($A$1),FALSE))</f>
        <v>9.4252794288269044</v>
      </c>
      <c r="X337" s="70">
        <f>IF(VLOOKUP($A337,raw_ub[],COLUMN(Y$1)-COLUMN($A$1),FALSE)=0, VLOOKUP($D337, regions_ub[], COLUMN(Y$1)-COLUMN($A$1), FALSE), VLOOKUP($A337,raw_ub[],COLUMN(Y$1)-COLUMN($A$1),FALSE))</f>
        <v>8.8952258917665681</v>
      </c>
      <c r="Y337" s="70">
        <f>IF(VLOOKUP($A337,raw_ub[],COLUMN(Z$1)-COLUMN($A$1),FALSE)=0, VLOOKUP($D337, regions_ub[], COLUMN(Z$1)-COLUMN($A$1), FALSE), VLOOKUP($A337,raw_ub[],COLUMN(Z$1)-COLUMN($A$1),FALSE))</f>
        <v>9.3992258917665676</v>
      </c>
      <c r="Z337" s="70">
        <f>IF(VLOOKUP($A337,raw_ub[],COLUMN(AA$1)-COLUMN($A$1),FALSE)=0, VLOOKUP($D337, regions_ub[], COLUMN(AA$1)-COLUMN($A$1), FALSE), VLOOKUP($A337,raw_ub[],COLUMN(AA$1)-COLUMN($A$1),FALSE))</f>
        <v>9.3843439369506196</v>
      </c>
      <c r="AA337" s="70">
        <f>IF(VLOOKUP($A337,raw_ub[],COLUMN(AB$1)-COLUMN($A$1),FALSE)=0, VLOOKUP($D337, regions_ub[], COLUMN(AB$1)-COLUMN($A$1), FALSE), VLOOKUP($A337,raw_ub[],COLUMN(AB$1)-COLUMN($A$1),FALSE))</f>
        <v>8.9272917835331373</v>
      </c>
      <c r="AB337" s="70">
        <f>IF(VLOOKUP($A337,raw_ub[],COLUMN(AC$1)-COLUMN($A$1),FALSE)=0, VLOOKUP($D337, regions_ub[], COLUMN(AC$1)-COLUMN($A$1), FALSE), VLOOKUP($A337,raw_ub[],COLUMN(AC$1)-COLUMN($A$1),FALSE))</f>
        <v>9.4312917835331369</v>
      </c>
      <c r="AC337" s="72">
        <f>IF(VLOOKUP($A337,raw_ub[],COLUMN(AD$1)-COLUMN($A$1),FALSE)=0, VLOOKUP($D337, regions_ub[], COLUMN(AD$1)-COLUMN($A$1), FALSE), VLOOKUP($A337,raw_ub[],COLUMN(AD$1)-COLUMN($A$1),FALSE))</f>
        <v>1.5364387499999939E-2</v>
      </c>
      <c r="AD337" s="72">
        <f>IF(VLOOKUP($A337,raw_ub[],COLUMN(AE$1)-COLUMN($A$1),FALSE)=0, VLOOKUP($D337, regions_ub[], COLUMN(AE$1)-COLUMN($A$1), FALSE), VLOOKUP($A337,raw_ub[],COLUMN(AE$1)-COLUMN($A$1),FALSE))</f>
        <v>6.4013074820584053E-4</v>
      </c>
      <c r="AE337" s="72">
        <f>IF(VLOOKUP($A337,raw_ub[],COLUMN(AF$1)-COLUMN($A$1),FALSE)=0, VLOOKUP($D337, regions_ub[], COLUMN(AF$1)-COLUMN($A$1), FALSE), VLOOKUP($A337,raw_ub[],COLUMN(AF$1)-COLUMN($A$1),FALSE))</f>
        <v>3.4470090746118831E-4</v>
      </c>
      <c r="AF337" s="72">
        <f>IF(VLOOKUP($A337,raw_ub[],COLUMN(AG$1)-COLUMN($A$1),FALSE)=0, VLOOKUP($D337, regions_ub[], COLUMN(AG$1)-COLUMN($A$1), FALSE), VLOOKUP($A337,raw_ub[],COLUMN(AG$1)-COLUMN($A$1),FALSE))</f>
        <v>2.8956157138782066E-4</v>
      </c>
      <c r="AG337" s="72">
        <f>IF(VLOOKUP($A337,raw_ub[],COLUMN(AH$1)-COLUMN($A$1),FALSE)=0, VLOOKUP($D337, regions_ub[], COLUMN(AH$1)-COLUMN($A$1), FALSE), VLOOKUP($A337,raw_ub[],COLUMN(AH$1)-COLUMN($A$1),FALSE))</f>
        <v>5.3762053650491227E-4</v>
      </c>
      <c r="AH337" s="72">
        <f>IF(VLOOKUP($A337,raw_ub[],COLUMN(AI$1)-COLUMN($A$1),FALSE)=0, VLOOKUP($D337, regions_ub[], COLUMN(AI$1)-COLUMN($A$1), FALSE), VLOOKUP($A337,raw_ub[],COLUMN(AI$1)-COLUMN($A$1),FALSE))</f>
        <v>7.5192675091745027E-4</v>
      </c>
      <c r="AI337" s="72">
        <f>IF(VLOOKUP($A337,raw_ub[],COLUMN(AJ$1)-COLUMN($A$1),FALSE)=0, VLOOKUP($D337, regions_ub[], COLUMN(AJ$1)-COLUMN($A$1), FALSE), VLOOKUP($A337,raw_ub[],COLUMN(AJ$1)-COLUMN($A$1),FALSE))</f>
        <v>8.1037212716291004E-4</v>
      </c>
      <c r="AJ337" s="72">
        <f>IF(VLOOKUP($A337,raw_ub[],COLUMN(AK$1)-COLUMN($A$1),FALSE)=0, VLOOKUP($D337, regions_ub[], COLUMN(AK$1)-COLUMN($A$1), FALSE), VLOOKUP($A337,raw_ub[],COLUMN(AK$1)-COLUMN($A$1),FALSE))</f>
        <v>9.5615846007032106E-4</v>
      </c>
      <c r="AK337" s="72">
        <f>IF(VLOOKUP($A337,raw_ub[],COLUMN(AL$1)-COLUMN($A$1),FALSE)=0, VLOOKUP($D337, regions_ub[], COLUMN(AL$1)-COLUMN($A$1), FALSE), VLOOKUP($A337,raw_ub[],COLUMN(AL$1)-COLUMN($A$1),FALSE))</f>
        <v>1.2835836596474712E-3</v>
      </c>
      <c r="AL337" s="72">
        <f>IF(VLOOKUP($A337,raw_ub[],COLUMN(AM$1)-COLUMN($A$1),FALSE)=0, VLOOKUP($D337, regions_ub[], COLUMN(AM$1)-COLUMN($A$1), FALSE), VLOOKUP($A337,raw_ub[],COLUMN(AM$1)-COLUMN($A$1),FALSE))</f>
        <v>1.9438385307546247E-3</v>
      </c>
      <c r="AM337" s="72">
        <f>IF(VLOOKUP($A337,raw_ub[],COLUMN(AN$1)-COLUMN($A$1),FALSE)=0, VLOOKUP($D337, regions_ub[], COLUMN(AN$1)-COLUMN($A$1), FALSE), VLOOKUP($A337,raw_ub[],COLUMN(AN$1)-COLUMN($A$1),FALSE))</f>
        <v>3.2678595267535025E-3</v>
      </c>
      <c r="AN337" s="72">
        <f>IF(VLOOKUP($A337,raw_ub[],COLUMN(AO$1)-COLUMN($A$1),FALSE)=0, VLOOKUP($D337, regions_ub[], COLUMN(AO$1)-COLUMN($A$1), FALSE), VLOOKUP($A337,raw_ub[],COLUMN(AO$1)-COLUMN($A$1),FALSE))</f>
        <v>5.3265767948915211E-3</v>
      </c>
      <c r="AO337" s="72">
        <f>IF(VLOOKUP($A337,raw_ub[],COLUMN(AP$1)-COLUMN($A$1),FALSE)=0, VLOOKUP($D337, regions_ub[], COLUMN(AP$1)-COLUMN($A$1), FALSE), VLOOKUP($A337,raw_ub[],COLUMN(AP$1)-COLUMN($A$1),FALSE))</f>
        <v>8.7884626691527128E-3</v>
      </c>
      <c r="AP337" s="72">
        <f>IF(VLOOKUP($A337,raw_ub[],COLUMN(AQ$1)-COLUMN($A$1),FALSE)=0, VLOOKUP($D337, regions_ub[], COLUMN(AQ$1)-COLUMN($A$1), FALSE), VLOOKUP($A337,raw_ub[],COLUMN(AQ$1)-COLUMN($A$1),FALSE))</f>
        <v>1.4061494474419272E-2</v>
      </c>
      <c r="AQ337" s="72">
        <f>IF(VLOOKUP($A337,raw_ub[],COLUMN(AR$1)-COLUMN($A$1),FALSE)=0, VLOOKUP($D337, regions_ub[], COLUMN(AR$1)-COLUMN($A$1), FALSE), VLOOKUP($A337,raw_ub[],COLUMN(AR$1)-COLUMN($A$1),FALSE))</f>
        <v>2.3230489463282485E-2</v>
      </c>
      <c r="AR337" s="72">
        <f>IF(VLOOKUP($A337,raw_ub[],COLUMN(AS$1)-COLUMN($A$1),FALSE)=0, VLOOKUP($D337, regions_ub[], COLUMN(AS$1)-COLUMN($A$1), FALSE), VLOOKUP($A337,raw_ub[],COLUMN(AS$1)-COLUMN($A$1),FALSE))</f>
        <v>3.799688720853122E-2</v>
      </c>
      <c r="AS337" s="72">
        <f>IF(VLOOKUP($A337,raw_ub[],COLUMN(AT$1)-COLUMN($A$1),FALSE)=0, VLOOKUP($D337, regions_ub[], COLUMN(AT$1)-COLUMN($A$1), FALSE), VLOOKUP($A337,raw_ub[],COLUMN(AT$1)-COLUMN($A$1),FALSE))</f>
        <v>6.0522364756295147E-2</v>
      </c>
      <c r="AT337" s="82">
        <f>IF(VLOOKUP($A337,raw_ub[],COLUMN(AT$1),FALSE)=0, VLOOKUP($D337, regions_ub[], COLUMN(AT$1), FALSE), VLOOKUP($A337,raw_ub[],COLUMN(AT$1),FALSE))</f>
        <v>9.330819155977442E-2</v>
      </c>
      <c r="AU337" s="82">
        <f>IF(VLOOKUP($A337,raw_ub[],COLUMN(AU$1),FALSE)=0, VLOOKUP($D337, regions_ub[], COLUMN(AU$1), FALSE), VLOOKUP($A337,raw_ub[],COLUMN(AU$1),FALSE))</f>
        <v>0.12955131956512234</v>
      </c>
      <c r="AV337" s="82">
        <f>IF(VLOOKUP($A337,raw_ub[],COLUMN(AV$1),FALSE)=0, VLOOKUP($D337, regions_ub[], COLUMN(AV$1), FALSE), VLOOKUP($A337,raw_ub[],COLUMN(AV$1),FALSE))</f>
        <v>0.16245439537153941</v>
      </c>
      <c r="AW337" s="82">
        <f>IF(VLOOKUP($A337,raw_ub[],COLUMN(AW$1),FALSE)=0, VLOOKUP($D337, regions_ub[], COLUMN(AW$1), FALSE), VLOOKUP($A337,raw_ub[],COLUMN(AW$1),FALSE))</f>
        <v>0.18537709770482003</v>
      </c>
      <c r="AX337" s="82">
        <f>IF(VLOOKUP($A337,raw_ub[],COLUMN(AX$1),FALSE)=0, VLOOKUP($D337, regions_ub[], COLUMN(AX$1), FALSE), VLOOKUP($A337,raw_ub[],COLUMN(AX$1),FALSE))</f>
        <v>78.043350000000004</v>
      </c>
      <c r="AY337" t="str">
        <f t="shared" si="11"/>
        <v>Yes</v>
      </c>
    </row>
    <row r="338" spans="1:51" x14ac:dyDescent="0.25">
      <c r="A338" s="53" t="s">
        <v>344</v>
      </c>
      <c r="B338" s="54" t="s">
        <v>345</v>
      </c>
      <c r="C338" s="54">
        <v>398</v>
      </c>
      <c r="D338" s="54" t="s">
        <v>201</v>
      </c>
      <c r="E338" s="54" t="s">
        <v>220</v>
      </c>
      <c r="F338" s="54" t="s">
        <v>203</v>
      </c>
      <c r="G338" s="54" t="s">
        <v>204</v>
      </c>
      <c r="H338" s="73"/>
      <c r="I338" s="73"/>
      <c r="J338" s="67">
        <f>IF(VLOOKUP($A338,raw_ub[],COLUMN(J$1),FALSE)=0, VLOOKUP($D338, regions_ub[], COLUMN(J$1), FALSE), VLOOKUP($A338,raw_ub[],COLUMN(J$1),FALSE))</f>
        <v>0.999</v>
      </c>
      <c r="K338" s="77">
        <f>VLOOKUP($A338, raw_ub[], 11, FALSE)</f>
        <v>0.97650000000000015</v>
      </c>
      <c r="L338" s="77">
        <f>VLOOKUP($A338, raw_ub[], 12, FALSE)</f>
        <v>0.92400000000000004</v>
      </c>
      <c r="M338" s="77">
        <f>IF(VLOOKUP($A338,raw_ub[],COLUMN(M$1),FALSE)=0, VLOOKUP($D338, regions_ub[], COLUMN(M$1), FALSE), VLOOKUP($A338,raw_ub[],COLUMN(M$1),FALSE))</f>
        <v>4.6399999999999997E-2</v>
      </c>
      <c r="N338" s="68">
        <f>IF(VLOOKUP($A338,raw_ub[],COLUMN(N$1),FALSE)=0, VLOOKUP($D338, regions_ub[], COLUMN(N$1), FALSE), VLOOKUP($A338,raw_ub[],COLUMN(N$1),FALSE))</f>
        <v>0.43079999999999996</v>
      </c>
      <c r="O338" s="67">
        <f>IF(VLOOKUP($A338,raw_ub[],COLUMN(O$1),FALSE)=0, VLOOKUP($D338, regions_ub[], COLUMN(O$1), FALSE), VLOOKUP($A338,raw_ub[],COLUMN(O$1),FALSE))</f>
        <v>0.9</v>
      </c>
      <c r="P338" s="68">
        <f>IF(VLOOKUP($A338,raw_ub[],COLUMN(P$1),FALSE)=0, VLOOKUP($D338, regions_ub[], COLUMN(P$1), FALSE), VLOOKUP($A338,raw_ub[],COLUMN(P$1),FALSE))</f>
        <v>0.3</v>
      </c>
      <c r="Q338" s="70">
        <f>IF(VLOOKUP($A338,raw_ub[],COLUMN(Q$1),FALSE)=0, VLOOKUP($D338, regions_ub[], COLUMN(Q$1), FALSE), VLOOKUP($A338,raw_ub[],COLUMN(Q$1),FALSE))</f>
        <v>28.249071241913001</v>
      </c>
      <c r="R338" s="70">
        <f>IF(VLOOKUP($A338,raw_ub[],COLUMN(R$1),FALSE)=0, VLOOKUP($D338, regions_ub[], COLUMN(R$1), FALSE), VLOOKUP($A338,raw_ub[],COLUMN(R$1),FALSE))</f>
        <v>137.23487124191303</v>
      </c>
      <c r="S338" s="70">
        <f>IF(VLOOKUP($A338,raw_ub[],COLUMN(S$1),FALSE)=0, VLOOKUP($D338, regions_ub[], COLUMN(S$1), FALSE), VLOOKUP($A338,raw_ub[],COLUMN(S$1),FALSE))</f>
        <v>229.69042852595342</v>
      </c>
      <c r="T338" s="70">
        <f>IF(VLOOKUP($A338,raw_ub[],COLUMN(U$1)-COLUMN($A$1),FALSE)=0, VLOOKUP($D338, regions_ub[], COLUMN(U$1)-COLUMN($A$1), FALSE), VLOOKUP($A338,raw_ub[],COLUMN(U$1)-COLUMN($A$1),FALSE))</f>
        <v>262.60232593700846</v>
      </c>
      <c r="U338" s="70">
        <f>IF(VLOOKUP($A338,raw_ub[],COLUMN(V$1)-COLUMN($A$1),FALSE)=0, VLOOKUP($D338, regions_ub[], COLUMN(V$1)-COLUMN($A$1), FALSE), VLOOKUP($A338,raw_ub[],COLUMN(V$1)-COLUMN($A$1),FALSE))</f>
        <v>247.48987831473838</v>
      </c>
      <c r="V338" s="70">
        <f>IF(VLOOKUP($A338,raw_ub[],COLUMN(W$1)-COLUMN($A$1),FALSE)=0, VLOOKUP($D338, regions_ub[], COLUMN(W$1)-COLUMN($A$1), FALSE), VLOOKUP($A338,raw_ub[],COLUMN(W$1)-COLUMN($A$1),FALSE))</f>
        <v>11.550629830690548</v>
      </c>
      <c r="W338" s="70">
        <f>IF(VLOOKUP($A338,raw_ub[],COLUMN(X$1)-COLUMN($A$1),FALSE)=0, VLOOKUP($D338, regions_ub[], COLUMN(X$1)-COLUMN($A$1), FALSE), VLOOKUP($A338,raw_ub[],COLUMN(X$1)-COLUMN($A$1),FALSE))</f>
        <v>15.824129830690548</v>
      </c>
      <c r="X338" s="70">
        <f>IF(VLOOKUP($A338,raw_ub[],COLUMN(Y$1)-COLUMN($A$1),FALSE)=0, VLOOKUP($D338, regions_ub[], COLUMN(Y$1)-COLUMN($A$1), FALSE), VLOOKUP($A338,raw_ub[],COLUMN(Y$1)-COLUMN($A$1),FALSE))</f>
        <v>11.496264803139614</v>
      </c>
      <c r="Y338" s="70">
        <f>IF(VLOOKUP($A338,raw_ub[],COLUMN(Z$1)-COLUMN($A$1),FALSE)=0, VLOOKUP($D338, regions_ub[], COLUMN(Z$1)-COLUMN($A$1), FALSE), VLOOKUP($A338,raw_ub[],COLUMN(Z$1)-COLUMN($A$1),FALSE))</f>
        <v>15.769764803139614</v>
      </c>
      <c r="Z338" s="70">
        <f>IF(VLOOKUP($A338,raw_ub[],COLUMN(AA$1)-COLUMN($A$1),FALSE)=0, VLOOKUP($D338, regions_ub[], COLUMN(AA$1)-COLUMN($A$1), FALSE), VLOOKUP($A338,raw_ub[],COLUMN(AA$1)-COLUMN($A$1),FALSE))</f>
        <v>15.739455553886671</v>
      </c>
      <c r="AA338" s="70">
        <f>IF(VLOOKUP($A338,raw_ub[],COLUMN(AB$1)-COLUMN($A$1),FALSE)=0, VLOOKUP($D338, regions_ub[], COLUMN(AB$1)-COLUMN($A$1), FALSE), VLOOKUP($A338,raw_ub[],COLUMN(AB$1)-COLUMN($A$1),FALSE))</f>
        <v>11.563175606279225</v>
      </c>
      <c r="AB338" s="70">
        <f>IF(VLOOKUP($A338,raw_ub[],COLUMN(AC$1)-COLUMN($A$1),FALSE)=0, VLOOKUP($D338, regions_ub[], COLUMN(AC$1)-COLUMN($A$1), FALSE), VLOOKUP($A338,raw_ub[],COLUMN(AC$1)-COLUMN($A$1),FALSE))</f>
        <v>15.836675606279226</v>
      </c>
      <c r="AC338" s="72">
        <f>IF(VLOOKUP($A338,raw_ub[],COLUMN(AD$1)-COLUMN($A$1),FALSE)=0, VLOOKUP($D338, regions_ub[], COLUMN(AD$1)-COLUMN($A$1), FALSE), VLOOKUP($A338,raw_ub[],COLUMN(AD$1)-COLUMN($A$1),FALSE))</f>
        <v>8.0573325000000556E-3</v>
      </c>
      <c r="AD338" s="72">
        <f>IF(VLOOKUP($A338,raw_ub[],COLUMN(AE$1)-COLUMN($A$1),FALSE)=0, VLOOKUP($D338, regions_ub[], COLUMN(AE$1)-COLUMN($A$1), FALSE), VLOOKUP($A338,raw_ub[],COLUMN(AE$1)-COLUMN($A$1),FALSE))</f>
        <v>5.8671146845993291E-4</v>
      </c>
      <c r="AE338" s="72">
        <f>IF(VLOOKUP($A338,raw_ub[],COLUMN(AF$1)-COLUMN($A$1),FALSE)=0, VLOOKUP($D338, regions_ub[], COLUMN(AF$1)-COLUMN($A$1), FALSE), VLOOKUP($A338,raw_ub[],COLUMN(AF$1)-COLUMN($A$1),FALSE))</f>
        <v>2.8721673013564516E-4</v>
      </c>
      <c r="AF338" s="72">
        <f>IF(VLOOKUP($A338,raw_ub[],COLUMN(AG$1)-COLUMN($A$1),FALSE)=0, VLOOKUP($D338, regions_ub[], COLUMN(AG$1)-COLUMN($A$1), FALSE), VLOOKUP($A338,raw_ub[],COLUMN(AG$1)-COLUMN($A$1),FALSE))</f>
        <v>3.0753425643968919E-4</v>
      </c>
      <c r="AG338" s="72">
        <f>IF(VLOOKUP($A338,raw_ub[],COLUMN(AH$1)-COLUMN($A$1),FALSE)=0, VLOOKUP($D338, regions_ub[], COLUMN(AH$1)-COLUMN($A$1), FALSE), VLOOKUP($A338,raw_ub[],COLUMN(AH$1)-COLUMN($A$1),FALSE))</f>
        <v>6.2010333044987384E-4</v>
      </c>
      <c r="AH338" s="72">
        <f>IF(VLOOKUP($A338,raw_ub[],COLUMN(AI$1)-COLUMN($A$1),FALSE)=0, VLOOKUP($D338, regions_ub[], COLUMN(AI$1)-COLUMN($A$1), FALSE), VLOOKUP($A338,raw_ub[],COLUMN(AI$1)-COLUMN($A$1),FALSE))</f>
        <v>9.1142423943853408E-4</v>
      </c>
      <c r="AI338" s="72">
        <f>IF(VLOOKUP($A338,raw_ub[],COLUMN(AJ$1)-COLUMN($A$1),FALSE)=0, VLOOKUP($D338, regions_ub[], COLUMN(AJ$1)-COLUMN($A$1), FALSE), VLOOKUP($A338,raw_ub[],COLUMN(AJ$1)-COLUMN($A$1),FALSE))</f>
        <v>1.1888633874373566E-3</v>
      </c>
      <c r="AJ338" s="72">
        <f>IF(VLOOKUP($A338,raw_ub[],COLUMN(AK$1)-COLUMN($A$1),FALSE)=0, VLOOKUP($D338, regions_ub[], COLUMN(AK$1)-COLUMN($A$1), FALSE), VLOOKUP($A338,raw_ub[],COLUMN(AK$1)-COLUMN($A$1),FALSE))</f>
        <v>1.8230163709156636E-3</v>
      </c>
      <c r="AK338" s="72">
        <f>IF(VLOOKUP($A338,raw_ub[],COLUMN(AL$1)-COLUMN($A$1),FALSE)=0, VLOOKUP($D338, regions_ub[], COLUMN(AL$1)-COLUMN($A$1), FALSE), VLOOKUP($A338,raw_ub[],COLUMN(AL$1)-COLUMN($A$1),FALSE))</f>
        <v>2.9033968850301945E-3</v>
      </c>
      <c r="AL338" s="72">
        <f>IF(VLOOKUP($A338,raw_ub[],COLUMN(AM$1)-COLUMN($A$1),FALSE)=0, VLOOKUP($D338, regions_ub[], COLUMN(AM$1)-COLUMN($A$1), FALSE), VLOOKUP($A338,raw_ub[],COLUMN(AM$1)-COLUMN($A$1),FALSE))</f>
        <v>4.0022119493187611E-3</v>
      </c>
      <c r="AM338" s="72">
        <f>IF(VLOOKUP($A338,raw_ub[],COLUMN(AN$1)-COLUMN($A$1),FALSE)=0, VLOOKUP($D338, regions_ub[], COLUMN(AN$1)-COLUMN($A$1), FALSE), VLOOKUP($A338,raw_ub[],COLUMN(AN$1)-COLUMN($A$1),FALSE))</f>
        <v>5.3664000594738949E-3</v>
      </c>
      <c r="AN338" s="72">
        <f>IF(VLOOKUP($A338,raw_ub[],COLUMN(AO$1)-COLUMN($A$1),FALSE)=0, VLOOKUP($D338, regions_ub[], COLUMN(AO$1)-COLUMN($A$1), FALSE), VLOOKUP($A338,raw_ub[],COLUMN(AO$1)-COLUMN($A$1),FALSE))</f>
        <v>7.5076091855580448E-3</v>
      </c>
      <c r="AO338" s="72">
        <f>IF(VLOOKUP($A338,raw_ub[],COLUMN(AP$1)-COLUMN($A$1),FALSE)=0, VLOOKUP($D338, regions_ub[], COLUMN(AP$1)-COLUMN($A$1), FALSE), VLOOKUP($A338,raw_ub[],COLUMN(AP$1)-COLUMN($A$1),FALSE))</f>
        <v>1.1261839603257454E-2</v>
      </c>
      <c r="AP338" s="72">
        <f>IF(VLOOKUP($A338,raw_ub[],COLUMN(AQ$1)-COLUMN($A$1),FALSE)=0, VLOOKUP($D338, regions_ub[], COLUMN(AQ$1)-COLUMN($A$1), FALSE), VLOOKUP($A338,raw_ub[],COLUMN(AQ$1)-COLUMN($A$1),FALSE))</f>
        <v>1.736562127354644E-2</v>
      </c>
      <c r="AQ338" s="72">
        <f>IF(VLOOKUP($A338,raw_ub[],COLUMN(AR$1)-COLUMN($A$1),FALSE)=0, VLOOKUP($D338, regions_ub[], COLUMN(AR$1)-COLUMN($A$1), FALSE), VLOOKUP($A338,raw_ub[],COLUMN(AR$1)-COLUMN($A$1),FALSE))</f>
        <v>2.5964845351213763E-2</v>
      </c>
      <c r="AR338" s="72">
        <f>IF(VLOOKUP($A338,raw_ub[],COLUMN(AS$1)-COLUMN($A$1),FALSE)=0, VLOOKUP($D338, regions_ub[], COLUMN(AS$1)-COLUMN($A$1), FALSE), VLOOKUP($A338,raw_ub[],COLUMN(AS$1)-COLUMN($A$1),FALSE))</f>
        <v>3.6313140585900051E-2</v>
      </c>
      <c r="AS338" s="72">
        <f>IF(VLOOKUP($A338,raw_ub[],COLUMN(AT$1)-COLUMN($A$1),FALSE)=0, VLOOKUP($D338, regions_ub[], COLUMN(AT$1)-COLUMN($A$1), FALSE), VLOOKUP($A338,raw_ub[],COLUMN(AT$1)-COLUMN($A$1),FALSE))</f>
        <v>5.6988718040932827E-2</v>
      </c>
      <c r="AT338" s="82">
        <f>IF(VLOOKUP($A338,raw_ub[],COLUMN(AT$1),FALSE)=0, VLOOKUP($D338, regions_ub[], COLUMN(AT$1), FALSE), VLOOKUP($A338,raw_ub[],COLUMN(AT$1),FALSE))</f>
        <v>8.36678689755017E-2</v>
      </c>
      <c r="AU338" s="82">
        <f>IF(VLOOKUP($A338,raw_ub[],COLUMN(AU$1),FALSE)=0, VLOOKUP($D338, regions_ub[], COLUMN(AU$1), FALSE), VLOOKUP($A338,raw_ub[],COLUMN(AU$1),FALSE))</f>
        <v>0.11675032166556683</v>
      </c>
      <c r="AV338" s="82">
        <f>IF(VLOOKUP($A338,raw_ub[],COLUMN(AV$1),FALSE)=0, VLOOKUP($D338, regions_ub[], COLUMN(AV$1), FALSE), VLOOKUP($A338,raw_ub[],COLUMN(AV$1),FALSE))</f>
        <v>0.1514479801130843</v>
      </c>
      <c r="AW338" s="82">
        <f>IF(VLOOKUP($A338,raw_ub[],COLUMN(AW$1),FALSE)=0, VLOOKUP($D338, regions_ub[], COLUMN(AW$1), FALSE), VLOOKUP($A338,raw_ub[],COLUMN(AW$1),FALSE))</f>
        <v>0.17819457649381792</v>
      </c>
      <c r="AX338" s="82">
        <f>IF(VLOOKUP($A338,raw_ub[],COLUMN(AX$1),FALSE)=0, VLOOKUP($D338, regions_ub[], COLUMN(AX$1), FALSE), VLOOKUP($A338,raw_ub[],COLUMN(AX$1),FALSE))</f>
        <v>76.886250000000004</v>
      </c>
      <c r="AY338" t="str">
        <f t="shared" si="11"/>
        <v>No</v>
      </c>
    </row>
    <row r="339" spans="1:51" x14ac:dyDescent="0.25">
      <c r="A339" s="55" t="s">
        <v>346</v>
      </c>
      <c r="B339" s="56" t="s">
        <v>347</v>
      </c>
      <c r="C339" s="56">
        <v>404</v>
      </c>
      <c r="D339" s="56" t="s">
        <v>207</v>
      </c>
      <c r="E339" s="56" t="s">
        <v>255</v>
      </c>
      <c r="F339" s="56" t="s">
        <v>211</v>
      </c>
      <c r="G339" s="56" t="s">
        <v>212</v>
      </c>
      <c r="H339" s="74"/>
      <c r="I339" s="74"/>
      <c r="J339" s="67">
        <f>IF(VLOOKUP($A339,raw_ub[],COLUMN(J$1),FALSE)=0, VLOOKUP($D339, regions_ub[], COLUMN(J$1), FALSE), VLOOKUP($A339,raw_ub[],COLUMN(J$1),FALSE))</f>
        <v>0.64260000000000006</v>
      </c>
      <c r="K339" s="77">
        <f>VLOOKUP($A339, raw_ub[], 11, FALSE)</f>
        <v>0</v>
      </c>
      <c r="L339" s="77">
        <f>VLOOKUP($A339, raw_ub[], 12, FALSE)</f>
        <v>0.95550000000000013</v>
      </c>
      <c r="M339" s="77">
        <f>IF(VLOOKUP($A339,raw_ub[],COLUMN(M$1),FALSE)=0, VLOOKUP($D339, regions_ub[], COLUMN(M$1), FALSE), VLOOKUP($A339,raw_ub[],COLUMN(M$1),FALSE))</f>
        <v>1.9E-2</v>
      </c>
      <c r="N339" s="68">
        <f>IF(VLOOKUP($A339,raw_ub[],COLUMN(N$1),FALSE)=0, VLOOKUP($D339, regions_ub[], COLUMN(N$1), FALSE), VLOOKUP($A339,raw_ub[],COLUMN(N$1),FALSE))</f>
        <v>0.39960000000000001</v>
      </c>
      <c r="O339" s="67">
        <f>IF(VLOOKUP($A339,raw_ub[],COLUMN(O$1),FALSE)=0, VLOOKUP($D339, regions_ub[], COLUMN(O$1), FALSE), VLOOKUP($A339,raw_ub[],COLUMN(O$1),FALSE))</f>
        <v>0.74399999999999999</v>
      </c>
      <c r="P339" s="68">
        <f>IF(VLOOKUP($A339,raw_ub[],COLUMN(P$1),FALSE)=0, VLOOKUP($D339, regions_ub[], COLUMN(P$1), FALSE), VLOOKUP($A339,raw_ub[],COLUMN(P$1),FALSE))</f>
        <v>0.13300000000000001</v>
      </c>
      <c r="Q339" s="70">
        <f>IF(VLOOKUP($A339,raw_ub[],COLUMN(Q$1),FALSE)=0, VLOOKUP($D339, regions_ub[], COLUMN(Q$1), FALSE), VLOOKUP($A339,raw_ub[],COLUMN(Q$1),FALSE))</f>
        <v>7.6458963649322902</v>
      </c>
      <c r="R339" s="70">
        <f>IF(VLOOKUP($A339,raw_ub[],COLUMN(R$1),FALSE)=0, VLOOKUP($D339, regions_ub[], COLUMN(R$1), FALSE), VLOOKUP($A339,raw_ub[],COLUMN(R$1),FALSE))</f>
        <v>116.6316963649323</v>
      </c>
      <c r="S339" s="70">
        <f>IF(VLOOKUP($A339,raw_ub[],COLUMN(S$1),FALSE)=0, VLOOKUP($D339, regions_ub[], COLUMN(S$1), FALSE), VLOOKUP($A339,raw_ub[],COLUMN(S$1),FALSE))</f>
        <v>149.55287684811421</v>
      </c>
      <c r="T339" s="70">
        <f>IF(VLOOKUP($A339,raw_ub[],COLUMN(U$1)-COLUMN($A$1),FALSE)=0, VLOOKUP($D339, regions_ub[], COLUMN(U$1)-COLUMN($A$1), FALSE), VLOOKUP($A339,raw_ub[],COLUMN(U$1)-COLUMN($A$1),FALSE))</f>
        <v>151.47921192910553</v>
      </c>
      <c r="U339" s="70">
        <f>IF(VLOOKUP($A339,raw_ub[],COLUMN(V$1)-COLUMN($A$1),FALSE)=0, VLOOKUP($D339, regions_ub[], COLUMN(V$1)-COLUMN($A$1), FALSE), VLOOKUP($A339,raw_ub[],COLUMN(V$1)-COLUMN($A$1),FALSE))</f>
        <v>150.59467957745071</v>
      </c>
      <c r="V339" s="70">
        <f>IF(VLOOKUP($A339,raw_ub[],COLUMN(W$1)-COLUMN($A$1),FALSE)=0, VLOOKUP($D339, regions_ub[], COLUMN(W$1)-COLUMN($A$1), FALSE), VLOOKUP($A339,raw_ub[],COLUMN(W$1)-COLUMN($A$1),FALSE))</f>
        <v>4.8787743429706234</v>
      </c>
      <c r="W339" s="70">
        <f>IF(VLOOKUP($A339,raw_ub[],COLUMN(X$1)-COLUMN($A$1),FALSE)=0, VLOOKUP($D339, regions_ub[], COLUMN(X$1)-COLUMN($A$1), FALSE), VLOOKUP($A339,raw_ub[],COLUMN(X$1)-COLUMN($A$1),FALSE))</f>
        <v>9.9502743429706229</v>
      </c>
      <c r="X339" s="70">
        <f>IF(VLOOKUP($A339,raw_ub[],COLUMN(Y$1)-COLUMN($A$1),FALSE)=0, VLOOKUP($D339, regions_ub[], COLUMN(Y$1)-COLUMN($A$1), FALSE), VLOOKUP($A339,raw_ub[],COLUMN(Y$1)-COLUMN($A$1),FALSE))</f>
        <v>4.8584852237079303</v>
      </c>
      <c r="Y339" s="70">
        <f>IF(VLOOKUP($A339,raw_ub[],COLUMN(Z$1)-COLUMN($A$1),FALSE)=0, VLOOKUP($D339, regions_ub[], COLUMN(Z$1)-COLUMN($A$1), FALSE), VLOOKUP($A339,raw_ub[],COLUMN(Z$1)-COLUMN($A$1),FALSE))</f>
        <v>9.9299852237079307</v>
      </c>
      <c r="Z339" s="70">
        <f>IF(VLOOKUP($A339,raw_ub[],COLUMN(AA$1)-COLUMN($A$1),FALSE)=0, VLOOKUP($D339, regions_ub[], COLUMN(AA$1)-COLUMN($A$1), FALSE), VLOOKUP($A339,raw_ub[],COLUMN(AA$1)-COLUMN($A$1),FALSE))</f>
        <v>9.9189294126112113</v>
      </c>
      <c r="AA339" s="70">
        <f>IF(VLOOKUP($A339,raw_ub[],COLUMN(AB$1)-COLUMN($A$1),FALSE)=0, VLOOKUP($D339, regions_ub[], COLUMN(AB$1)-COLUMN($A$1), FALSE), VLOOKUP($A339,raw_ub[],COLUMN(AB$1)-COLUMN($A$1),FALSE))</f>
        <v>4.8834564474158597</v>
      </c>
      <c r="AB339" s="70">
        <f>IF(VLOOKUP($A339,raw_ub[],COLUMN(AC$1)-COLUMN($A$1),FALSE)=0, VLOOKUP($D339, regions_ub[], COLUMN(AC$1)-COLUMN($A$1), FALSE), VLOOKUP($A339,raw_ub[],COLUMN(AC$1)-COLUMN($A$1),FALSE))</f>
        <v>9.9549564474158601</v>
      </c>
      <c r="AC339" s="72">
        <f>IF(VLOOKUP($A339,raw_ub[],COLUMN(AD$1)-COLUMN($A$1),FALSE)=0, VLOOKUP($D339, regions_ub[], COLUMN(AD$1)-COLUMN($A$1), FALSE), VLOOKUP($A339,raw_ub[],COLUMN(AD$1)-COLUMN($A$1),FALSE))</f>
        <v>3.8190264000000057E-2</v>
      </c>
      <c r="AD339" s="72">
        <f>IF(VLOOKUP($A339,raw_ub[],COLUMN(AE$1)-COLUMN($A$1),FALSE)=0, VLOOKUP($D339, regions_ub[], COLUMN(AE$1)-COLUMN($A$1), FALSE), VLOOKUP($A339,raw_ub[],COLUMN(AE$1)-COLUMN($A$1),FALSE))</f>
        <v>3.0217503881579308E-3</v>
      </c>
      <c r="AE339" s="72">
        <f>IF(VLOOKUP($A339,raw_ub[],COLUMN(AF$1)-COLUMN($A$1),FALSE)=0, VLOOKUP($D339, regions_ub[], COLUMN(AF$1)-COLUMN($A$1), FALSE), VLOOKUP($A339,raw_ub[],COLUMN(AF$1)-COLUMN($A$1),FALSE))</f>
        <v>9.3322057324097066E-4</v>
      </c>
      <c r="AF339" s="72">
        <f>IF(VLOOKUP($A339,raw_ub[],COLUMN(AG$1)-COLUMN($A$1),FALSE)=0, VLOOKUP($D339, regions_ub[], COLUMN(AG$1)-COLUMN($A$1), FALSE), VLOOKUP($A339,raw_ub[],COLUMN(AG$1)-COLUMN($A$1),FALSE))</f>
        <v>7.5801532126981198E-4</v>
      </c>
      <c r="AG339" s="72">
        <f>IF(VLOOKUP($A339,raw_ub[],COLUMN(AH$1)-COLUMN($A$1),FALSE)=0, VLOOKUP($D339, regions_ub[], COLUMN(AH$1)-COLUMN($A$1), FALSE), VLOOKUP($A339,raw_ub[],COLUMN(AH$1)-COLUMN($A$1),FALSE))</f>
        <v>1.3162454632712427E-3</v>
      </c>
      <c r="AH339" s="72">
        <f>IF(VLOOKUP($A339,raw_ub[],COLUMN(AI$1)-COLUMN($A$1),FALSE)=0, VLOOKUP($D339, regions_ub[], COLUMN(AI$1)-COLUMN($A$1), FALSE), VLOOKUP($A339,raw_ub[],COLUMN(AI$1)-COLUMN($A$1),FALSE))</f>
        <v>2.1158653163829669E-3</v>
      </c>
      <c r="AI339" s="72">
        <f>IF(VLOOKUP($A339,raw_ub[],COLUMN(AJ$1)-COLUMN($A$1),FALSE)=0, VLOOKUP($D339, regions_ub[], COLUMN(AJ$1)-COLUMN($A$1), FALSE), VLOOKUP($A339,raw_ub[],COLUMN(AJ$1)-COLUMN($A$1),FALSE))</f>
        <v>2.9130547255813567E-3</v>
      </c>
      <c r="AJ339" s="72">
        <f>IF(VLOOKUP($A339,raw_ub[],COLUMN(AK$1)-COLUMN($A$1),FALSE)=0, VLOOKUP($D339, regions_ub[], COLUMN(AK$1)-COLUMN($A$1), FALSE), VLOOKUP($A339,raw_ub[],COLUMN(AK$1)-COLUMN($A$1),FALSE))</f>
        <v>3.7979860115238749E-3</v>
      </c>
      <c r="AK339" s="72">
        <f>IF(VLOOKUP($A339,raw_ub[],COLUMN(AL$1)-COLUMN($A$1),FALSE)=0, VLOOKUP($D339, regions_ub[], COLUMN(AL$1)-COLUMN($A$1), FALSE), VLOOKUP($A339,raw_ub[],COLUMN(AL$1)-COLUMN($A$1),FALSE))</f>
        <v>5.0767426974585479E-3</v>
      </c>
      <c r="AL339" s="72">
        <f>IF(VLOOKUP($A339,raw_ub[],COLUMN(AM$1)-COLUMN($A$1),FALSE)=0, VLOOKUP($D339, regions_ub[], COLUMN(AM$1)-COLUMN($A$1), FALSE), VLOOKUP($A339,raw_ub[],COLUMN(AM$1)-COLUMN($A$1),FALSE))</f>
        <v>6.3812824658306391E-3</v>
      </c>
      <c r="AM339" s="72">
        <f>IF(VLOOKUP($A339,raw_ub[],COLUMN(AN$1)-COLUMN($A$1),FALSE)=0, VLOOKUP($D339, regions_ub[], COLUMN(AN$1)-COLUMN($A$1), FALSE), VLOOKUP($A339,raw_ub[],COLUMN(AN$1)-COLUMN($A$1),FALSE))</f>
        <v>8.0222139881127603E-3</v>
      </c>
      <c r="AN339" s="72">
        <f>IF(VLOOKUP($A339,raw_ub[],COLUMN(AO$1)-COLUMN($A$1),FALSE)=0, VLOOKUP($D339, regions_ub[], COLUMN(AO$1)-COLUMN($A$1), FALSE), VLOOKUP($A339,raw_ub[],COLUMN(AO$1)-COLUMN($A$1),FALSE))</f>
        <v>1.0800007516039054E-2</v>
      </c>
      <c r="AO339" s="72">
        <f>IF(VLOOKUP($A339,raw_ub[],COLUMN(AP$1)-COLUMN($A$1),FALSE)=0, VLOOKUP($D339, regions_ub[], COLUMN(AP$1)-COLUMN($A$1), FALSE), VLOOKUP($A339,raw_ub[],COLUMN(AP$1)-COLUMN($A$1),FALSE))</f>
        <v>1.3982957654224715E-2</v>
      </c>
      <c r="AP339" s="72">
        <f>IF(VLOOKUP($A339,raw_ub[],COLUMN(AQ$1)-COLUMN($A$1),FALSE)=0, VLOOKUP($D339, regions_ub[], COLUMN(AQ$1)-COLUMN($A$1), FALSE), VLOOKUP($A339,raw_ub[],COLUMN(AQ$1)-COLUMN($A$1),FALSE))</f>
        <v>1.9968246147685456E-2</v>
      </c>
      <c r="AQ339" s="72">
        <f>IF(VLOOKUP($A339,raw_ub[],COLUMN(AR$1)-COLUMN($A$1),FALSE)=0, VLOOKUP($D339, regions_ub[], COLUMN(AR$1)-COLUMN($A$1), FALSE), VLOOKUP($A339,raw_ub[],COLUMN(AR$1)-COLUMN($A$1),FALSE))</f>
        <v>2.9745665543907455E-2</v>
      </c>
      <c r="AR339" s="72">
        <f>IF(VLOOKUP($A339,raw_ub[],COLUMN(AS$1)-COLUMN($A$1),FALSE)=0, VLOOKUP($D339, regions_ub[], COLUMN(AS$1)-COLUMN($A$1), FALSE), VLOOKUP($A339,raw_ub[],COLUMN(AS$1)-COLUMN($A$1),FALSE))</f>
        <v>4.4975840607875205E-2</v>
      </c>
      <c r="AS339" s="72">
        <f>IF(VLOOKUP($A339,raw_ub[],COLUMN(AT$1)-COLUMN($A$1),FALSE)=0, VLOOKUP($D339, regions_ub[], COLUMN(AT$1)-COLUMN($A$1), FALSE), VLOOKUP($A339,raw_ub[],COLUMN(AT$1)-COLUMN($A$1),FALSE))</f>
        <v>6.789815349144708E-2</v>
      </c>
      <c r="AT339" s="82">
        <f>IF(VLOOKUP($A339,raw_ub[],COLUMN(AT$1),FALSE)=0, VLOOKUP($D339, regions_ub[], COLUMN(AT$1), FALSE), VLOOKUP($A339,raw_ub[],COLUMN(AT$1),FALSE))</f>
        <v>0.102078021390319</v>
      </c>
      <c r="AU339" s="82">
        <f>IF(VLOOKUP($A339,raw_ub[],COLUMN(AU$1),FALSE)=0, VLOOKUP($D339, regions_ub[], COLUMN(AU$1), FALSE), VLOOKUP($A339,raw_ub[],COLUMN(AU$1),FALSE))</f>
        <v>0.14372677219085253</v>
      </c>
      <c r="AV339" s="82">
        <f>IF(VLOOKUP($A339,raw_ub[],COLUMN(AV$1),FALSE)=0, VLOOKUP($D339, regions_ub[], COLUMN(AV$1), FALSE), VLOOKUP($A339,raw_ub[],COLUMN(AV$1),FALSE))</f>
        <v>0.18088099855201858</v>
      </c>
      <c r="AW339" s="82">
        <f>IF(VLOOKUP($A339,raw_ub[],COLUMN(AW$1),FALSE)=0, VLOOKUP($D339, regions_ub[], COLUMN(AW$1), FALSE), VLOOKUP($A339,raw_ub[],COLUMN(AW$1),FALSE))</f>
        <v>0.19609416825390699</v>
      </c>
      <c r="AX339" s="82">
        <f>IF(VLOOKUP($A339,raw_ub[],COLUMN(AX$1),FALSE)=0, VLOOKUP($D339, regions_ub[], COLUMN(AX$1), FALSE), VLOOKUP($A339,raw_ub[],COLUMN(AX$1),FALSE))</f>
        <v>69.486900000000006</v>
      </c>
      <c r="AY339" t="str">
        <f t="shared" si="11"/>
        <v>Yes</v>
      </c>
    </row>
    <row r="340" spans="1:51" x14ac:dyDescent="0.25">
      <c r="A340" s="53" t="s">
        <v>348</v>
      </c>
      <c r="B340" s="54" t="s">
        <v>349</v>
      </c>
      <c r="C340" s="54">
        <v>296</v>
      </c>
      <c r="D340" s="54" t="s">
        <v>260</v>
      </c>
      <c r="E340" s="54" t="s">
        <v>309</v>
      </c>
      <c r="F340" s="54" t="s">
        <v>262</v>
      </c>
      <c r="G340" s="54" t="s">
        <v>212</v>
      </c>
      <c r="H340" s="73"/>
      <c r="I340" s="73"/>
      <c r="J340" s="67">
        <f>IF(VLOOKUP($A340,raw_ub[],COLUMN(J$1),FALSE)=0, VLOOKUP($D340, regions_ub[], COLUMN(J$1), FALSE), VLOOKUP($A340,raw_ub[],COLUMN(J$1),FALSE))</f>
        <v>0.90405000000000002</v>
      </c>
      <c r="K340" s="77">
        <f>VLOOKUP($A340, raw_ub[], 11, FALSE)</f>
        <v>0.95550000000000013</v>
      </c>
      <c r="L340" s="77">
        <f>VLOOKUP($A340, raw_ub[], 12, FALSE)</f>
        <v>0.96600000000000008</v>
      </c>
      <c r="M340" s="77">
        <f>IF(VLOOKUP($A340,raw_ub[],COLUMN(M$1),FALSE)=0, VLOOKUP($D340, regions_ub[], COLUMN(M$1), FALSE), VLOOKUP($A340,raw_ub[],COLUMN(M$1),FALSE))</f>
        <v>0.18010000000000001</v>
      </c>
      <c r="N340" s="68">
        <f>IF(VLOOKUP($A340,raw_ub[],COLUMN(N$1),FALSE)=0, VLOOKUP($D340, regions_ub[], COLUMN(N$1), FALSE), VLOOKUP($A340,raw_ub[],COLUMN(N$1),FALSE))</f>
        <v>0.47889999999999999</v>
      </c>
      <c r="O340" s="67">
        <f>IF(VLOOKUP($A340,raw_ub[],COLUMN(O$1),FALSE)=0, VLOOKUP($D340, regions_ub[], COLUMN(O$1), FALSE), VLOOKUP($A340,raw_ub[],COLUMN(O$1),FALSE))</f>
        <v>0.9</v>
      </c>
      <c r="P340" s="68">
        <f>IF(VLOOKUP($A340,raw_ub[],COLUMN(P$1),FALSE)=0, VLOOKUP($D340, regions_ub[], COLUMN(P$1), FALSE), VLOOKUP($A340,raw_ub[],COLUMN(P$1),FALSE))</f>
        <v>0.3</v>
      </c>
      <c r="Q340" s="70">
        <f>IF(VLOOKUP($A340,raw_ub[],COLUMN(Q$1),FALSE)=0, VLOOKUP($D340, regions_ub[], COLUMN(Q$1), FALSE), VLOOKUP($A340,raw_ub[],COLUMN(Q$1),FALSE))</f>
        <v>14.758655861746799</v>
      </c>
      <c r="R340" s="70">
        <f>IF(VLOOKUP($A340,raw_ub[],COLUMN(R$1),FALSE)=0, VLOOKUP($D340, regions_ub[], COLUMN(R$1), FALSE), VLOOKUP($A340,raw_ub[],COLUMN(R$1),FALSE))</f>
        <v>123.74445586174681</v>
      </c>
      <c r="S340" s="70">
        <f>IF(VLOOKUP($A340,raw_ub[],COLUMN(S$1),FALSE)=0, VLOOKUP($D340, regions_ub[], COLUMN(S$1), FALSE), VLOOKUP($A340,raw_ub[],COLUMN(S$1),FALSE))</f>
        <v>167.53169495468822</v>
      </c>
      <c r="T340" s="70">
        <f>IF(VLOOKUP($A340,raw_ub[],COLUMN(U$1)-COLUMN($A$1),FALSE)=0, VLOOKUP($D340, regions_ub[], COLUMN(U$1)-COLUMN($A$1), FALSE), VLOOKUP($A340,raw_ub[],COLUMN(U$1)-COLUMN($A$1),FALSE))</f>
        <v>175.11343376084247</v>
      </c>
      <c r="U340" s="70">
        <f>IF(VLOOKUP($A340,raw_ub[],COLUMN(V$1)-COLUMN($A$1),FALSE)=0, VLOOKUP($D340, regions_ub[], COLUMN(V$1)-COLUMN($A$1), FALSE), VLOOKUP($A340,raw_ub[],COLUMN(V$1)-COLUMN($A$1),FALSE))</f>
        <v>171.63205955859874</v>
      </c>
      <c r="V340" s="70">
        <f>IF(VLOOKUP($A340,raw_ub[],COLUMN(W$1)-COLUMN($A$1),FALSE)=0, VLOOKUP($D340, regions_ub[], COLUMN(W$1)-COLUMN($A$1), FALSE), VLOOKUP($A340,raw_ub[],COLUMN(W$1)-COLUMN($A$1),FALSE))</f>
        <v>23.804907127065217</v>
      </c>
      <c r="W340" s="70">
        <f>IF(VLOOKUP($A340,raw_ub[],COLUMN(X$1)-COLUMN($A$1),FALSE)=0, VLOOKUP($D340, regions_ub[], COLUMN(X$1)-COLUMN($A$1), FALSE), VLOOKUP($A340,raw_ub[],COLUMN(X$1)-COLUMN($A$1),FALSE))</f>
        <v>24.466407127065217</v>
      </c>
      <c r="X340" s="70">
        <f>IF(VLOOKUP($A340,raw_ub[],COLUMN(Y$1)-COLUMN($A$1),FALSE)=0, VLOOKUP($D340, regions_ub[], COLUMN(Y$1)-COLUMN($A$1), FALSE), VLOOKUP($A340,raw_ub[],COLUMN(Y$1)-COLUMN($A$1),FALSE))</f>
        <v>23.787302828725636</v>
      </c>
      <c r="Y340" s="70">
        <f>IF(VLOOKUP($A340,raw_ub[],COLUMN(Z$1)-COLUMN($A$1),FALSE)=0, VLOOKUP($D340, regions_ub[], COLUMN(Z$1)-COLUMN($A$1), FALSE), VLOOKUP($A340,raw_ub[],COLUMN(Z$1)-COLUMN($A$1),FALSE))</f>
        <v>24.448802828725636</v>
      </c>
      <c r="Z340" s="70">
        <f>IF(VLOOKUP($A340,raw_ub[],COLUMN(AA$1)-COLUMN($A$1),FALSE)=0, VLOOKUP($D340, regions_ub[], COLUMN(AA$1)-COLUMN($A$1), FALSE), VLOOKUP($A340,raw_ub[],COLUMN(AA$1)-COLUMN($A$1),FALSE))</f>
        <v>24.439384446646244</v>
      </c>
      <c r="AA340" s="70">
        <f>IF(VLOOKUP($A340,raw_ub[],COLUMN(AB$1)-COLUMN($A$1),FALSE)=0, VLOOKUP($D340, regions_ub[], COLUMN(AB$1)-COLUMN($A$1), FALSE), VLOOKUP($A340,raw_ub[],COLUMN(AB$1)-COLUMN($A$1),FALSE))</f>
        <v>23.808969657451275</v>
      </c>
      <c r="AB340" s="70">
        <f>IF(VLOOKUP($A340,raw_ub[],COLUMN(AC$1)-COLUMN($A$1),FALSE)=0, VLOOKUP($D340, regions_ub[], COLUMN(AC$1)-COLUMN($A$1), FALSE), VLOOKUP($A340,raw_ub[],COLUMN(AC$1)-COLUMN($A$1),FALSE))</f>
        <v>24.470469657451275</v>
      </c>
      <c r="AC340" s="72">
        <f>IF(VLOOKUP($A340,raw_ub[],COLUMN(AD$1)-COLUMN($A$1),FALSE)=0, VLOOKUP($D340, regions_ub[], COLUMN(AD$1)-COLUMN($A$1), FALSE), VLOOKUP($A340,raw_ub[],COLUMN(AD$1)-COLUMN($A$1),FALSE))</f>
        <v>4.4951109000000045E-2</v>
      </c>
      <c r="AD340" s="72">
        <f>IF(VLOOKUP($A340,raw_ub[],COLUMN(AE$1)-COLUMN($A$1),FALSE)=0, VLOOKUP($D340, regions_ub[], COLUMN(AE$1)-COLUMN($A$1), FALSE), VLOOKUP($A340,raw_ub[],COLUMN(AE$1)-COLUMN($A$1),FALSE))</f>
        <v>3.1221473122843074E-3</v>
      </c>
      <c r="AE340" s="72">
        <f>IF(VLOOKUP($A340,raw_ub[],COLUMN(AF$1)-COLUMN($A$1),FALSE)=0, VLOOKUP($D340, regions_ub[], COLUMN(AF$1)-COLUMN($A$1), FALSE), VLOOKUP($A340,raw_ub[],COLUMN(AF$1)-COLUMN($A$1),FALSE))</f>
        <v>1.0607811415952913E-3</v>
      </c>
      <c r="AF340" s="72">
        <f>IF(VLOOKUP($A340,raw_ub[],COLUMN(AG$1)-COLUMN($A$1),FALSE)=0, VLOOKUP($D340, regions_ub[], COLUMN(AG$1)-COLUMN($A$1), FALSE), VLOOKUP($A340,raw_ub[],COLUMN(AG$1)-COLUMN($A$1),FALSE))</f>
        <v>8.0879581016968097E-4</v>
      </c>
      <c r="AG340" s="72">
        <f>IF(VLOOKUP($A340,raw_ub[],COLUMN(AH$1)-COLUMN($A$1),FALSE)=0, VLOOKUP($D340, regions_ub[], COLUMN(AH$1)-COLUMN($A$1), FALSE), VLOOKUP($A340,raw_ub[],COLUMN(AH$1)-COLUMN($A$1),FALSE))</f>
        <v>1.4291986630934547E-3</v>
      </c>
      <c r="AH340" s="72">
        <f>IF(VLOOKUP($A340,raw_ub[],COLUMN(AI$1)-COLUMN($A$1),FALSE)=0, VLOOKUP($D340, regions_ub[], COLUMN(AI$1)-COLUMN($A$1), FALSE), VLOOKUP($A340,raw_ub[],COLUMN(AI$1)-COLUMN($A$1),FALSE))</f>
        <v>1.8991647855462841E-3</v>
      </c>
      <c r="AI340" s="72">
        <f>IF(VLOOKUP($A340,raw_ub[],COLUMN(AJ$1)-COLUMN($A$1),FALSE)=0, VLOOKUP($D340, regions_ub[], COLUMN(AJ$1)-COLUMN($A$1), FALSE), VLOOKUP($A340,raw_ub[],COLUMN(AJ$1)-COLUMN($A$1),FALSE))</f>
        <v>2.0286505147195824E-3</v>
      </c>
      <c r="AJ340" s="72">
        <f>IF(VLOOKUP($A340,raw_ub[],COLUMN(AK$1)-COLUMN($A$1),FALSE)=0, VLOOKUP($D340, regions_ub[], COLUMN(AK$1)-COLUMN($A$1), FALSE), VLOOKUP($A340,raw_ub[],COLUMN(AK$1)-COLUMN($A$1),FALSE))</f>
        <v>2.3780505603235888E-3</v>
      </c>
      <c r="AK340" s="72">
        <f>IF(VLOOKUP($A340,raw_ub[],COLUMN(AL$1)-COLUMN($A$1),FALSE)=0, VLOOKUP($D340, regions_ub[], COLUMN(AL$1)-COLUMN($A$1), FALSE), VLOOKUP($A340,raw_ub[],COLUMN(AL$1)-COLUMN($A$1),FALSE))</f>
        <v>3.1147434221824384E-3</v>
      </c>
      <c r="AL340" s="72">
        <f>IF(VLOOKUP($A340,raw_ub[],COLUMN(AM$1)-COLUMN($A$1),FALSE)=0, VLOOKUP($D340, regions_ub[], COLUMN(AM$1)-COLUMN($A$1), FALSE), VLOOKUP($A340,raw_ub[],COLUMN(AM$1)-COLUMN($A$1),FALSE))</f>
        <v>4.294821648474517E-3</v>
      </c>
      <c r="AM340" s="72">
        <f>IF(VLOOKUP($A340,raw_ub[],COLUMN(AN$1)-COLUMN($A$1),FALSE)=0, VLOOKUP($D340, regions_ub[], COLUMN(AN$1)-COLUMN($A$1), FALSE), VLOOKUP($A340,raw_ub[],COLUMN(AN$1)-COLUMN($A$1),FALSE))</f>
        <v>6.2427475049407427E-3</v>
      </c>
      <c r="AN340" s="72">
        <f>IF(VLOOKUP($A340,raw_ub[],COLUMN(AO$1)-COLUMN($A$1),FALSE)=0, VLOOKUP($D340, regions_ub[], COLUMN(AO$1)-COLUMN($A$1), FALSE), VLOOKUP($A340,raw_ub[],COLUMN(AO$1)-COLUMN($A$1),FALSE))</f>
        <v>9.3327919243927689E-3</v>
      </c>
      <c r="AO340" s="72">
        <f>IF(VLOOKUP($A340,raw_ub[],COLUMN(AP$1)-COLUMN($A$1),FALSE)=0, VLOOKUP($D340, regions_ub[], COLUMN(AP$1)-COLUMN($A$1), FALSE), VLOOKUP($A340,raw_ub[],COLUMN(AP$1)-COLUMN($A$1),FALSE))</f>
        <v>1.4011968006478049E-2</v>
      </c>
      <c r="AP340" s="72">
        <f>IF(VLOOKUP($A340,raw_ub[],COLUMN(AQ$1)-COLUMN($A$1),FALSE)=0, VLOOKUP($D340, regions_ub[], COLUMN(AQ$1)-COLUMN($A$1), FALSE), VLOOKUP($A340,raw_ub[],COLUMN(AQ$1)-COLUMN($A$1),FALSE))</f>
        <v>1.958283554472183E-2</v>
      </c>
      <c r="AQ340" s="72">
        <f>IF(VLOOKUP($A340,raw_ub[],COLUMN(AR$1)-COLUMN($A$1),FALSE)=0, VLOOKUP($D340, regions_ub[], COLUMN(AR$1)-COLUMN($A$1), FALSE), VLOOKUP($A340,raw_ub[],COLUMN(AR$1)-COLUMN($A$1),FALSE))</f>
        <v>2.708189270696983E-2</v>
      </c>
      <c r="AR340" s="72">
        <f>IF(VLOOKUP($A340,raw_ub[],COLUMN(AS$1)-COLUMN($A$1),FALSE)=0, VLOOKUP($D340, regions_ub[], COLUMN(AS$1)-COLUMN($A$1), FALSE), VLOOKUP($A340,raw_ub[],COLUMN(AS$1)-COLUMN($A$1),FALSE))</f>
        <v>3.9124771501632405E-2</v>
      </c>
      <c r="AS340" s="72">
        <f>IF(VLOOKUP($A340,raw_ub[],COLUMN(AT$1)-COLUMN($A$1),FALSE)=0, VLOOKUP($D340, regions_ub[], COLUMN(AT$1)-COLUMN($A$1), FALSE), VLOOKUP($A340,raw_ub[],COLUMN(AT$1)-COLUMN($A$1),FALSE))</f>
        <v>5.9057800496884423E-2</v>
      </c>
      <c r="AT340" s="82">
        <f>IF(VLOOKUP($A340,raw_ub[],COLUMN(AT$1),FALSE)=0, VLOOKUP($D340, regions_ub[], COLUMN(AT$1), FALSE), VLOOKUP($A340,raw_ub[],COLUMN(AT$1),FALSE))</f>
        <v>8.5765636920599422E-2</v>
      </c>
      <c r="AU340" s="82">
        <f>IF(VLOOKUP($A340,raw_ub[],COLUMN(AU$1),FALSE)=0, VLOOKUP($D340, regions_ub[], COLUMN(AU$1), FALSE), VLOOKUP($A340,raw_ub[],COLUMN(AU$1),FALSE))</f>
        <v>0.11442611318689742</v>
      </c>
      <c r="AV340" s="82">
        <f>IF(VLOOKUP($A340,raw_ub[],COLUMN(AV$1),FALSE)=0, VLOOKUP($D340, regions_ub[], COLUMN(AV$1), FALSE), VLOOKUP($A340,raw_ub[],COLUMN(AV$1),FALSE))</f>
        <v>0.13832044878009012</v>
      </c>
      <c r="AW340" s="82">
        <f>IF(VLOOKUP($A340,raw_ub[],COLUMN(AW$1),FALSE)=0, VLOOKUP($D340, regions_ub[], COLUMN(AW$1), FALSE), VLOOKUP($A340,raw_ub[],COLUMN(AW$1),FALSE))</f>
        <v>0.16108847733039983</v>
      </c>
      <c r="AX340" s="82">
        <f>IF(VLOOKUP($A340,raw_ub[],COLUMN(AX$1),FALSE)=0, VLOOKUP($D340, regions_ub[], COLUMN(AX$1), FALSE), VLOOKUP($A340,raw_ub[],COLUMN(AX$1),FALSE))</f>
        <v>71.389499999999998</v>
      </c>
      <c r="AY340" t="str">
        <f t="shared" si="11"/>
        <v>No</v>
      </c>
    </row>
    <row r="341" spans="1:51" x14ac:dyDescent="0.25">
      <c r="A341" s="55" t="s">
        <v>350</v>
      </c>
      <c r="B341" s="56" t="s">
        <v>351</v>
      </c>
      <c r="C341" s="56">
        <v>408</v>
      </c>
      <c r="D341" s="56" t="s">
        <v>225</v>
      </c>
      <c r="E341" s="56" t="s">
        <v>271</v>
      </c>
      <c r="F341" s="56" t="s">
        <v>262</v>
      </c>
      <c r="G341" s="56" t="s">
        <v>198</v>
      </c>
      <c r="H341" s="74"/>
      <c r="I341" s="74"/>
      <c r="J341" s="67">
        <f>IF(VLOOKUP($A341,raw_ub[],COLUMN(J$1),FALSE)=0, VLOOKUP($D341, regions_ub[], COLUMN(J$1), FALSE), VLOOKUP($A341,raw_ub[],COLUMN(J$1),FALSE))</f>
        <v>0.96810000000000007</v>
      </c>
      <c r="K341" s="77">
        <f>VLOOKUP($A341, raw_ub[], 11, FALSE)</f>
        <v>0.999</v>
      </c>
      <c r="L341" s="77">
        <f>VLOOKUP($A341, raw_ub[], 12, FALSE)</f>
        <v>0.999</v>
      </c>
      <c r="M341" s="77">
        <f>IF(VLOOKUP($A341,raw_ub[],COLUMN(M$1),FALSE)=0, VLOOKUP($D341, regions_ub[], COLUMN(M$1), FALSE), VLOOKUP($A341,raw_ub[],COLUMN(M$1),FALSE))</f>
        <v>0.49969999999999998</v>
      </c>
      <c r="N341" s="68">
        <f>IF(VLOOKUP($A341,raw_ub[],COLUMN(N$1),FALSE)=0, VLOOKUP($D341, regions_ub[], COLUMN(N$1), FALSE), VLOOKUP($A341,raw_ub[],COLUMN(N$1),FALSE))</f>
        <v>0.49159999999999998</v>
      </c>
      <c r="O341" s="67">
        <f>IF(VLOOKUP($A341,raw_ub[],COLUMN(O$1),FALSE)=0, VLOOKUP($D341, regions_ub[], COLUMN(O$1), FALSE), VLOOKUP($A341,raw_ub[],COLUMN(O$1),FALSE))</f>
        <v>0.9</v>
      </c>
      <c r="P341" s="68">
        <f>IF(VLOOKUP($A341,raw_ub[],COLUMN(P$1),FALSE)=0, VLOOKUP($D341, regions_ub[], COLUMN(P$1), FALSE), VLOOKUP($A341,raw_ub[],COLUMN(P$1),FALSE))</f>
        <v>0.3</v>
      </c>
      <c r="Q341" s="70">
        <f>IF(VLOOKUP($A341,raw_ub[],COLUMN(Q$1),FALSE)=0, VLOOKUP($D341, regions_ub[], COLUMN(Q$1), FALSE), VLOOKUP($A341,raw_ub[],COLUMN(Q$1),FALSE))</f>
        <v>9.9667002047596274</v>
      </c>
      <c r="R341" s="70">
        <f>IF(VLOOKUP($A341,raw_ub[],COLUMN(R$1),FALSE)=0, VLOOKUP($D341, regions_ub[], COLUMN(R$1), FALSE), VLOOKUP($A341,raw_ub[],COLUMN(R$1),FALSE))</f>
        <v>118.95250020475962</v>
      </c>
      <c r="S341" s="70">
        <f>IF(VLOOKUP($A341,raw_ub[],COLUMN(S$1),FALSE)=0, VLOOKUP($D341, regions_ub[], COLUMN(S$1), FALSE), VLOOKUP($A341,raw_ub[],COLUMN(S$1),FALSE))</f>
        <v>157.48588624128527</v>
      </c>
      <c r="T341" s="70">
        <f>IF(VLOOKUP($A341,raw_ub[],COLUMN(U$1)-COLUMN($A$1),FALSE)=0, VLOOKUP($D341, regions_ub[], COLUMN(U$1)-COLUMN($A$1), FALSE), VLOOKUP($A341,raw_ub[],COLUMN(U$1)-COLUMN($A$1),FALSE))</f>
        <v>162.33317815976801</v>
      </c>
      <c r="U341" s="70">
        <f>IF(VLOOKUP($A341,raw_ub[],COLUMN(V$1)-COLUMN($A$1),FALSE)=0, VLOOKUP($D341, regions_ub[], COLUMN(V$1)-COLUMN($A$1), FALSE), VLOOKUP($A341,raw_ub[],COLUMN(V$1)-COLUMN($A$1),FALSE))</f>
        <v>160.10740416949915</v>
      </c>
      <c r="V341" s="70">
        <f>IF(VLOOKUP($A341,raw_ub[],COLUMN(W$1)-COLUMN($A$1),FALSE)=0, VLOOKUP($D341, regions_ub[], COLUMN(W$1)-COLUMN($A$1), FALSE), VLOOKUP($A341,raw_ub[],COLUMN(W$1)-COLUMN($A$1),FALSE))</f>
        <v>3.4294681519146732</v>
      </c>
      <c r="W341" s="70">
        <f>IF(VLOOKUP($A341,raw_ub[],COLUMN(X$1)-COLUMN($A$1),FALSE)=0, VLOOKUP($D341, regions_ub[], COLUMN(X$1)-COLUMN($A$1), FALSE), VLOOKUP($A341,raw_ub[],COLUMN(X$1)-COLUMN($A$1),FALSE))</f>
        <v>5.0663763330427534</v>
      </c>
      <c r="X341" s="70">
        <f>IF(VLOOKUP($A341,raw_ub[],COLUMN(Y$1)-COLUMN($A$1),FALSE)=0, VLOOKUP($D341, regions_ub[], COLUMN(Y$1)-COLUMN($A$1), FALSE), VLOOKUP($A341,raw_ub[],COLUMN(Y$1)-COLUMN($A$1),FALSE))</f>
        <v>3.404206925558277</v>
      </c>
      <c r="Y341" s="70">
        <f>IF(VLOOKUP($A341,raw_ub[],COLUMN(Z$1)-COLUMN($A$1),FALSE)=0, VLOOKUP($D341, regions_ub[], COLUMN(Z$1)-COLUMN($A$1), FALSE), VLOOKUP($A341,raw_ub[],COLUMN(Z$1)-COLUMN($A$1),FALSE))</f>
        <v>5.041115106686358</v>
      </c>
      <c r="Z341" s="70">
        <f>IF(VLOOKUP($A341,raw_ub[],COLUMN(AA$1)-COLUMN($A$1),FALSE)=0, VLOOKUP($D341, regions_ub[], COLUMN(AA$1)-COLUMN($A$1), FALSE), VLOOKUP($A341,raw_ub[],COLUMN(AA$1)-COLUMN($A$1),FALSE))</f>
        <v>5.0268050729973526</v>
      </c>
      <c r="AA341" s="70">
        <f>IF(VLOOKUP($A341,raw_ub[],COLUMN(AB$1)-COLUMN($A$1),FALSE)=0, VLOOKUP($D341, regions_ub[], COLUMN(AB$1)-COLUMN($A$1), FALSE), VLOOKUP($A341,raw_ub[],COLUMN(AB$1)-COLUMN($A$1),FALSE))</f>
        <v>3.4352976656892262</v>
      </c>
      <c r="AB341" s="70">
        <f>IF(VLOOKUP($A341,raw_ub[],COLUMN(AC$1)-COLUMN($A$1),FALSE)=0, VLOOKUP($D341, regions_ub[], COLUMN(AC$1)-COLUMN($A$1), FALSE), VLOOKUP($A341,raw_ub[],COLUMN(AC$1)-COLUMN($A$1),FALSE))</f>
        <v>5.0722058468173064</v>
      </c>
      <c r="AC341" s="72">
        <f>IF(VLOOKUP($A341,raw_ub[],COLUMN(AD$1)-COLUMN($A$1),FALSE)=0, VLOOKUP($D341, regions_ub[], COLUMN(AD$1)-COLUMN($A$1), FALSE), VLOOKUP($A341,raw_ub[],COLUMN(AD$1)-COLUMN($A$1),FALSE))</f>
        <v>1.4593015500000016E-2</v>
      </c>
      <c r="AD341" s="72">
        <f>IF(VLOOKUP($A341,raw_ub[],COLUMN(AE$1)-COLUMN($A$1),FALSE)=0, VLOOKUP($D341, regions_ub[], COLUMN(AE$1)-COLUMN($A$1), FALSE), VLOOKUP($A341,raw_ub[],COLUMN(AE$1)-COLUMN($A$1),FALSE))</f>
        <v>1.2101996123341757E-3</v>
      </c>
      <c r="AE341" s="72">
        <f>IF(VLOOKUP($A341,raw_ub[],COLUMN(AF$1)-COLUMN($A$1),FALSE)=0, VLOOKUP($D341, regions_ub[], COLUMN(AF$1)-COLUMN($A$1), FALSE), VLOOKUP($A341,raw_ub[],COLUMN(AF$1)-COLUMN($A$1),FALSE))</f>
        <v>6.76976776294543E-4</v>
      </c>
      <c r="AF341" s="72">
        <f>IF(VLOOKUP($A341,raw_ub[],COLUMN(AG$1)-COLUMN($A$1),FALSE)=0, VLOOKUP($D341, regions_ub[], COLUMN(AG$1)-COLUMN($A$1), FALSE), VLOOKUP($A341,raw_ub[],COLUMN(AG$1)-COLUMN($A$1),FALSE))</f>
        <v>6.2885934488552894E-4</v>
      </c>
      <c r="AG341" s="72">
        <f>IF(VLOOKUP($A341,raw_ub[],COLUMN(AH$1)-COLUMN($A$1),FALSE)=0, VLOOKUP($D341, regions_ub[], COLUMN(AH$1)-COLUMN($A$1), FALSE), VLOOKUP($A341,raw_ub[],COLUMN(AH$1)-COLUMN($A$1),FALSE))</f>
        <v>9.0815714136070281E-4</v>
      </c>
      <c r="AH341" s="72">
        <f>IF(VLOOKUP($A341,raw_ub[],COLUMN(AI$1)-COLUMN($A$1),FALSE)=0, VLOOKUP($D341, regions_ub[], COLUMN(AI$1)-COLUMN($A$1), FALSE), VLOOKUP($A341,raw_ub[],COLUMN(AI$1)-COLUMN($A$1),FALSE))</f>
        <v>1.3023832528690972E-3</v>
      </c>
      <c r="AI341" s="72">
        <f>IF(VLOOKUP($A341,raw_ub[],COLUMN(AJ$1)-COLUMN($A$1),FALSE)=0, VLOOKUP($D341, regions_ub[], COLUMN(AJ$1)-COLUMN($A$1), FALSE), VLOOKUP($A341,raw_ub[],COLUMN(AJ$1)-COLUMN($A$1),FALSE))</f>
        <v>1.6166537677029858E-3</v>
      </c>
      <c r="AJ341" s="72">
        <f>IF(VLOOKUP($A341,raw_ub[],COLUMN(AK$1)-COLUMN($A$1),FALSE)=0, VLOOKUP($D341, regions_ub[], COLUMN(AK$1)-COLUMN($A$1), FALSE), VLOOKUP($A341,raw_ub[],COLUMN(AK$1)-COLUMN($A$1),FALSE))</f>
        <v>1.8361111788017307E-3</v>
      </c>
      <c r="AK341" s="72">
        <f>IF(VLOOKUP($A341,raw_ub[],COLUMN(AL$1)-COLUMN($A$1),FALSE)=0, VLOOKUP($D341, regions_ub[], COLUMN(AL$1)-COLUMN($A$1), FALSE), VLOOKUP($A341,raw_ub[],COLUMN(AL$1)-COLUMN($A$1),FALSE))</f>
        <v>2.1172400377942368E-3</v>
      </c>
      <c r="AL341" s="72">
        <f>IF(VLOOKUP($A341,raw_ub[],COLUMN(AM$1)-COLUMN($A$1),FALSE)=0, VLOOKUP($D341, regions_ub[], COLUMN(AM$1)-COLUMN($A$1), FALSE), VLOOKUP($A341,raw_ub[],COLUMN(AM$1)-COLUMN($A$1),FALSE))</f>
        <v>2.5719810651282891E-3</v>
      </c>
      <c r="AM341" s="72">
        <f>IF(VLOOKUP($A341,raw_ub[],COLUMN(AN$1)-COLUMN($A$1),FALSE)=0, VLOOKUP($D341, regions_ub[], COLUMN(AN$1)-COLUMN($A$1), FALSE), VLOOKUP($A341,raw_ub[],COLUMN(AN$1)-COLUMN($A$1),FALSE))</f>
        <v>3.5103247017580666E-3</v>
      </c>
      <c r="AN341" s="72">
        <f>IF(VLOOKUP($A341,raw_ub[],COLUMN(AO$1)-COLUMN($A$1),FALSE)=0, VLOOKUP($D341, regions_ub[], COLUMN(AO$1)-COLUMN($A$1), FALSE), VLOOKUP($A341,raw_ub[],COLUMN(AO$1)-COLUMN($A$1),FALSE))</f>
        <v>5.0374676525030866E-3</v>
      </c>
      <c r="AO341" s="72">
        <f>IF(VLOOKUP($A341,raw_ub[],COLUMN(AP$1)-COLUMN($A$1),FALSE)=0, VLOOKUP($D341, regions_ub[], COLUMN(AP$1)-COLUMN($A$1), FALSE), VLOOKUP($A341,raw_ub[],COLUMN(AP$1)-COLUMN($A$1),FALSE))</f>
        <v>1.0165478279454193E-2</v>
      </c>
      <c r="AP341" s="72">
        <f>IF(VLOOKUP($A341,raw_ub[],COLUMN(AQ$1)-COLUMN($A$1),FALSE)=0, VLOOKUP($D341, regions_ub[], COLUMN(AQ$1)-COLUMN($A$1), FALSE), VLOOKUP($A341,raw_ub[],COLUMN(AQ$1)-COLUMN($A$1),FALSE))</f>
        <v>2.0790417589432605E-2</v>
      </c>
      <c r="AQ341" s="72">
        <f>IF(VLOOKUP($A341,raw_ub[],COLUMN(AR$1)-COLUMN($A$1),FALSE)=0, VLOOKUP($D341, regions_ub[], COLUMN(AR$1)-COLUMN($A$1), FALSE), VLOOKUP($A341,raw_ub[],COLUMN(AR$1)-COLUMN($A$1),FALSE))</f>
        <v>3.0309721623997924E-2</v>
      </c>
      <c r="AR341" s="72">
        <f>IF(VLOOKUP($A341,raw_ub[],COLUMN(AS$1)-COLUMN($A$1),FALSE)=0, VLOOKUP($D341, regions_ub[], COLUMN(AS$1)-COLUMN($A$1), FALSE), VLOOKUP($A341,raw_ub[],COLUMN(AS$1)-COLUMN($A$1),FALSE))</f>
        <v>4.2492055300424152E-2</v>
      </c>
      <c r="AS341" s="72">
        <f>IF(VLOOKUP($A341,raw_ub[],COLUMN(AT$1)-COLUMN($A$1),FALSE)=0, VLOOKUP($D341, regions_ub[], COLUMN(AT$1)-COLUMN($A$1), FALSE), VLOOKUP($A341,raw_ub[],COLUMN(AT$1)-COLUMN($A$1),FALSE))</f>
        <v>6.61876684910776E-2</v>
      </c>
      <c r="AT341" s="82">
        <f>IF(VLOOKUP($A341,raw_ub[],COLUMN(AT$1),FALSE)=0, VLOOKUP($D341, regions_ub[], COLUMN(AT$1), FALSE), VLOOKUP($A341,raw_ub[],COLUMN(AT$1),FALSE))</f>
        <v>9.2448918733457508E-2</v>
      </c>
      <c r="AU341" s="82">
        <f>IF(VLOOKUP($A341,raw_ub[],COLUMN(AU$1),FALSE)=0, VLOOKUP($D341, regions_ub[], COLUMN(AU$1), FALSE), VLOOKUP($A341,raw_ub[],COLUMN(AU$1),FALSE))</f>
        <v>0.12486299875365534</v>
      </c>
      <c r="AV341" s="82">
        <f>IF(VLOOKUP($A341,raw_ub[],COLUMN(AV$1),FALSE)=0, VLOOKUP($D341, regions_ub[], COLUMN(AV$1), FALSE), VLOOKUP($A341,raw_ub[],COLUMN(AV$1),FALSE))</f>
        <v>0.15593217190328482</v>
      </c>
      <c r="AW341" s="82">
        <f>IF(VLOOKUP($A341,raw_ub[],COLUMN(AW$1),FALSE)=0, VLOOKUP($D341, regions_ub[], COLUMN(AW$1), FALSE), VLOOKUP($A341,raw_ub[],COLUMN(AW$1),FALSE))</f>
        <v>0.17882326697259843</v>
      </c>
      <c r="AX341" s="82">
        <f>IF(VLOOKUP($A341,raw_ub[],COLUMN(AX$1),FALSE)=0, VLOOKUP($D341, regions_ub[], COLUMN(AX$1), FALSE), VLOOKUP($A341,raw_ub[],COLUMN(AX$1),FALSE))</f>
        <v>75.562200000000004</v>
      </c>
      <c r="AY341" t="str">
        <f t="shared" si="11"/>
        <v>No</v>
      </c>
    </row>
    <row r="342" spans="1:51" x14ac:dyDescent="0.25">
      <c r="A342" s="53" t="s">
        <v>352</v>
      </c>
      <c r="B342" s="54" t="s">
        <v>353</v>
      </c>
      <c r="C342" s="54">
        <v>417</v>
      </c>
      <c r="D342" s="54" t="s">
        <v>201</v>
      </c>
      <c r="E342" s="54" t="s">
        <v>220</v>
      </c>
      <c r="F342" s="54" t="s">
        <v>203</v>
      </c>
      <c r="G342" s="54" t="s">
        <v>212</v>
      </c>
      <c r="H342" s="73"/>
      <c r="I342" s="73"/>
      <c r="J342" s="67">
        <f>IF(VLOOKUP($A342,raw_ub[],COLUMN(J$1),FALSE)=0, VLOOKUP($D342, regions_ub[], COLUMN(J$1), FALSE), VLOOKUP($A342,raw_ub[],COLUMN(J$1),FALSE))</f>
        <v>0.999</v>
      </c>
      <c r="K342" s="77">
        <f>VLOOKUP($A342, raw_ub[], 11, FALSE)</f>
        <v>0.99749999999999994</v>
      </c>
      <c r="L342" s="77">
        <f>VLOOKUP($A342, raw_ub[], 12, FALSE)</f>
        <v>0.90300000000000002</v>
      </c>
      <c r="M342" s="77">
        <f>IF(VLOOKUP($A342,raw_ub[],COLUMN(M$1),FALSE)=0, VLOOKUP($D342, regions_ub[], COLUMN(M$1), FALSE), VLOOKUP($A342,raw_ub[],COLUMN(M$1),FALSE))</f>
        <v>0.1469</v>
      </c>
      <c r="N342" s="68">
        <f>IF(VLOOKUP($A342,raw_ub[],COLUMN(N$1),FALSE)=0, VLOOKUP($D342, regions_ub[], COLUMN(N$1), FALSE), VLOOKUP($A342,raw_ub[],COLUMN(N$1),FALSE))</f>
        <v>0.43079999999999996</v>
      </c>
      <c r="O342" s="67">
        <f>IF(VLOOKUP($A342,raw_ub[],COLUMN(O$1),FALSE)=0, VLOOKUP($D342, regions_ub[], COLUMN(O$1), FALSE), VLOOKUP($A342,raw_ub[],COLUMN(O$1),FALSE))</f>
        <v>0.9</v>
      </c>
      <c r="P342" s="68">
        <f>IF(VLOOKUP($A342,raw_ub[],COLUMN(P$1),FALSE)=0, VLOOKUP($D342, regions_ub[], COLUMN(P$1), FALSE), VLOOKUP($A342,raw_ub[],COLUMN(P$1),FALSE))</f>
        <v>0.3</v>
      </c>
      <c r="Q342" s="70">
        <f>IF(VLOOKUP($A342,raw_ub[],COLUMN(Q$1),FALSE)=0, VLOOKUP($D342, regions_ub[], COLUMN(Q$1), FALSE), VLOOKUP($A342,raw_ub[],COLUMN(Q$1),FALSE))</f>
        <v>8.235186717267549</v>
      </c>
      <c r="R342" s="70">
        <f>IF(VLOOKUP($A342,raw_ub[],COLUMN(R$1),FALSE)=0, VLOOKUP($D342, regions_ub[], COLUMN(R$1), FALSE), VLOOKUP($A342,raw_ub[],COLUMN(R$1),FALSE))</f>
        <v>117.22098671726756</v>
      </c>
      <c r="S342" s="70">
        <f>IF(VLOOKUP($A342,raw_ub[],COLUMN(S$1),FALSE)=0, VLOOKUP($D342, regions_ub[], COLUMN(S$1), FALSE), VLOOKUP($A342,raw_ub[],COLUMN(S$1),FALSE))</f>
        <v>150.8027657422173</v>
      </c>
      <c r="T342" s="70">
        <f>IF(VLOOKUP($A342,raw_ub[],COLUMN(U$1)-COLUMN($A$1),FALSE)=0, VLOOKUP($D342, regions_ub[], COLUMN(U$1)-COLUMN($A$1), FALSE), VLOOKUP($A342,raw_ub[],COLUMN(U$1)-COLUMN($A$1),FALSE))</f>
        <v>153.07291927552171</v>
      </c>
      <c r="U342" s="70">
        <f>IF(VLOOKUP($A342,raw_ub[],COLUMN(V$1)-COLUMN($A$1),FALSE)=0, VLOOKUP($D342, regions_ub[], COLUMN(V$1)-COLUMN($A$1), FALSE), VLOOKUP($A342,raw_ub[],COLUMN(V$1)-COLUMN($A$1),FALSE))</f>
        <v>152.03051275796099</v>
      </c>
      <c r="V342" s="70">
        <f>IF(VLOOKUP($A342,raw_ub[],COLUMN(W$1)-COLUMN($A$1),FALSE)=0, VLOOKUP($D342, regions_ub[], COLUMN(W$1)-COLUMN($A$1), FALSE), VLOOKUP($A342,raw_ub[],COLUMN(W$1)-COLUMN($A$1),FALSE))</f>
        <v>7.3258252993504849</v>
      </c>
      <c r="W342" s="70">
        <f>IF(VLOOKUP($A342,raw_ub[],COLUMN(X$1)-COLUMN($A$1),FALSE)=0, VLOOKUP($D342, regions_ub[], COLUMN(X$1)-COLUMN($A$1), FALSE), VLOOKUP($A342,raw_ub[],COLUMN(X$1)-COLUMN($A$1),FALSE))</f>
        <v>11.599325299350486</v>
      </c>
      <c r="X342" s="70">
        <f>IF(VLOOKUP($A342,raw_ub[],COLUMN(Y$1)-COLUMN($A$1),FALSE)=0, VLOOKUP($D342, regions_ub[], COLUMN(Y$1)-COLUMN($A$1), FALSE), VLOOKUP($A342,raw_ub[],COLUMN(Y$1)-COLUMN($A$1),FALSE))</f>
        <v>7.3127458203313012</v>
      </c>
      <c r="Y342" s="70">
        <f>IF(VLOOKUP($A342,raw_ub[],COLUMN(Z$1)-COLUMN($A$1),FALSE)=0, VLOOKUP($D342, regions_ub[], COLUMN(Z$1)-COLUMN($A$1), FALSE), VLOOKUP($A342,raw_ub[],COLUMN(Z$1)-COLUMN($A$1),FALSE))</f>
        <v>11.586245820331301</v>
      </c>
      <c r="Z342" s="70">
        <f>IF(VLOOKUP($A342,raw_ub[],COLUMN(AA$1)-COLUMN($A$1),FALSE)=0, VLOOKUP($D342, regions_ub[], COLUMN(AA$1)-COLUMN($A$1), FALSE), VLOOKUP($A342,raw_ub[],COLUMN(AA$1)-COLUMN($A$1),FALSE))</f>
        <v>11.578841417068142</v>
      </c>
      <c r="AA342" s="70">
        <f>IF(VLOOKUP($A342,raw_ub[],COLUMN(AB$1)-COLUMN($A$1),FALSE)=0, VLOOKUP($D342, regions_ub[], COLUMN(AB$1)-COLUMN($A$1), FALSE), VLOOKUP($A342,raw_ub[],COLUMN(AB$1)-COLUMN($A$1),FALSE))</f>
        <v>7.3288436406626039</v>
      </c>
      <c r="AB342" s="70">
        <f>IF(VLOOKUP($A342,raw_ub[],COLUMN(AC$1)-COLUMN($A$1),FALSE)=0, VLOOKUP($D342, regions_ub[], COLUMN(AC$1)-COLUMN($A$1), FALSE), VLOOKUP($A342,raw_ub[],COLUMN(AC$1)-COLUMN($A$1),FALSE))</f>
        <v>11.602343640662603</v>
      </c>
      <c r="AC342" s="72">
        <f>IF(VLOOKUP($A342,raw_ub[],COLUMN(AD$1)-COLUMN($A$1),FALSE)=0, VLOOKUP($D342, regions_ub[], COLUMN(AD$1)-COLUMN($A$1), FALSE), VLOOKUP($A342,raw_ub[],COLUMN(AD$1)-COLUMN($A$1),FALSE))</f>
        <v>1.628155199999996E-2</v>
      </c>
      <c r="AD342" s="72">
        <f>IF(VLOOKUP($A342,raw_ub[],COLUMN(AE$1)-COLUMN($A$1),FALSE)=0, VLOOKUP($D342, regions_ub[], COLUMN(AE$1)-COLUMN($A$1), FALSE), VLOOKUP($A342,raw_ub[],COLUMN(AE$1)-COLUMN($A$1),FALSE))</f>
        <v>7.5270119030517336E-4</v>
      </c>
      <c r="AE342" s="72">
        <f>IF(VLOOKUP($A342,raw_ub[],COLUMN(AF$1)-COLUMN($A$1),FALSE)=0, VLOOKUP($D342, regions_ub[], COLUMN(AF$1)-COLUMN($A$1), FALSE), VLOOKUP($A342,raw_ub[],COLUMN(AF$1)-COLUMN($A$1),FALSE))</f>
        <v>3.1539870917416285E-4</v>
      </c>
      <c r="AF342" s="72">
        <f>IF(VLOOKUP($A342,raw_ub[],COLUMN(AG$1)-COLUMN($A$1),FALSE)=0, VLOOKUP($D342, regions_ub[], COLUMN(AG$1)-COLUMN($A$1), FALSE), VLOOKUP($A342,raw_ub[],COLUMN(AG$1)-COLUMN($A$1),FALSE))</f>
        <v>3.7906402473904309E-4</v>
      </c>
      <c r="AG342" s="72">
        <f>IF(VLOOKUP($A342,raw_ub[],COLUMN(AH$1)-COLUMN($A$1),FALSE)=0, VLOOKUP($D342, regions_ub[], COLUMN(AH$1)-COLUMN($A$1), FALSE), VLOOKUP($A342,raw_ub[],COLUMN(AH$1)-COLUMN($A$1),FALSE))</f>
        <v>5.9505577881071193E-4</v>
      </c>
      <c r="AH342" s="72">
        <f>IF(VLOOKUP($A342,raw_ub[],COLUMN(AI$1)-COLUMN($A$1),FALSE)=0, VLOOKUP($D342, regions_ub[], COLUMN(AI$1)-COLUMN($A$1), FALSE), VLOOKUP($A342,raw_ub[],COLUMN(AI$1)-COLUMN($A$1),FALSE))</f>
        <v>8.122687840880678E-4</v>
      </c>
      <c r="AI342" s="72">
        <f>IF(VLOOKUP($A342,raw_ub[],COLUMN(AJ$1)-COLUMN($A$1),FALSE)=0, VLOOKUP($D342, regions_ub[], COLUMN(AJ$1)-COLUMN($A$1), FALSE), VLOOKUP($A342,raw_ub[],COLUMN(AJ$1)-COLUMN($A$1),FALSE))</f>
        <v>1.0432618360573728E-3</v>
      </c>
      <c r="AJ342" s="72">
        <f>IF(VLOOKUP($A342,raw_ub[],COLUMN(AK$1)-COLUMN($A$1),FALSE)=0, VLOOKUP($D342, regions_ub[], COLUMN(AK$1)-COLUMN($A$1), FALSE), VLOOKUP($A342,raw_ub[],COLUMN(AK$1)-COLUMN($A$1),FALSE))</f>
        <v>1.674449300654941E-3</v>
      </c>
      <c r="AK342" s="72">
        <f>IF(VLOOKUP($A342,raw_ub[],COLUMN(AL$1)-COLUMN($A$1),FALSE)=0, VLOOKUP($D342, regions_ub[], COLUMN(AL$1)-COLUMN($A$1), FALSE), VLOOKUP($A342,raw_ub[],COLUMN(AL$1)-COLUMN($A$1),FALSE))</f>
        <v>2.4927663683402428E-3</v>
      </c>
      <c r="AL342" s="72">
        <f>IF(VLOOKUP($A342,raw_ub[],COLUMN(AM$1)-COLUMN($A$1),FALSE)=0, VLOOKUP($D342, regions_ub[], COLUMN(AM$1)-COLUMN($A$1), FALSE), VLOOKUP($A342,raw_ub[],COLUMN(AM$1)-COLUMN($A$1),FALSE))</f>
        <v>3.7826620251478855E-3</v>
      </c>
      <c r="AM342" s="72">
        <f>IF(VLOOKUP($A342,raw_ub[],COLUMN(AN$1)-COLUMN($A$1),FALSE)=0, VLOOKUP($D342, regions_ub[], COLUMN(AN$1)-COLUMN($A$1), FALSE), VLOOKUP($A342,raw_ub[],COLUMN(AN$1)-COLUMN($A$1),FALSE))</f>
        <v>5.2646878693317425E-3</v>
      </c>
      <c r="AN342" s="72">
        <f>IF(VLOOKUP($A342,raw_ub[],COLUMN(AO$1)-COLUMN($A$1),FALSE)=0, VLOOKUP($D342, regions_ub[], COLUMN(AO$1)-COLUMN($A$1), FALSE), VLOOKUP($A342,raw_ub[],COLUMN(AO$1)-COLUMN($A$1),FALSE))</f>
        <v>7.5888189658171144E-3</v>
      </c>
      <c r="AO342" s="72">
        <f>IF(VLOOKUP($A342,raw_ub[],COLUMN(AP$1)-COLUMN($A$1),FALSE)=0, VLOOKUP($D342, regions_ub[], COLUMN(AP$1)-COLUMN($A$1), FALSE), VLOOKUP($A342,raw_ub[],COLUMN(AP$1)-COLUMN($A$1),FALSE))</f>
        <v>1.111764474285647E-2</v>
      </c>
      <c r="AP342" s="72">
        <f>IF(VLOOKUP($A342,raw_ub[],COLUMN(AQ$1)-COLUMN($A$1),FALSE)=0, VLOOKUP($D342, regions_ub[], COLUMN(AQ$1)-COLUMN($A$1), FALSE), VLOOKUP($A342,raw_ub[],COLUMN(AQ$1)-COLUMN($A$1),FALSE))</f>
        <v>1.753368921691811E-2</v>
      </c>
      <c r="AQ342" s="72">
        <f>IF(VLOOKUP($A342,raw_ub[],COLUMN(AR$1)-COLUMN($A$1),FALSE)=0, VLOOKUP($D342, regions_ub[], COLUMN(AR$1)-COLUMN($A$1), FALSE), VLOOKUP($A342,raw_ub[],COLUMN(AR$1)-COLUMN($A$1),FALSE))</f>
        <v>2.5457327373950098E-2</v>
      </c>
      <c r="AR342" s="72">
        <f>IF(VLOOKUP($A342,raw_ub[],COLUMN(AS$1)-COLUMN($A$1),FALSE)=0, VLOOKUP($D342, regions_ub[], COLUMN(AS$1)-COLUMN($A$1), FALSE), VLOOKUP($A342,raw_ub[],COLUMN(AS$1)-COLUMN($A$1),FALSE))</f>
        <v>5.1205562214903702E-2</v>
      </c>
      <c r="AS342" s="72">
        <f>IF(VLOOKUP($A342,raw_ub[],COLUMN(AT$1)-COLUMN($A$1),FALSE)=0, VLOOKUP($D342, regions_ub[], COLUMN(AT$1)-COLUMN($A$1), FALSE), VLOOKUP($A342,raw_ub[],COLUMN(AT$1)-COLUMN($A$1),FALSE))</f>
        <v>8.6698002377892214E-2</v>
      </c>
      <c r="AT342" s="82">
        <f>IF(VLOOKUP($A342,raw_ub[],COLUMN(AT$1),FALSE)=0, VLOOKUP($D342, regions_ub[], COLUMN(AT$1), FALSE), VLOOKUP($A342,raw_ub[],COLUMN(AT$1),FALSE))</f>
        <v>0.11178643556031874</v>
      </c>
      <c r="AU342" s="82">
        <f>IF(VLOOKUP($A342,raw_ub[],COLUMN(AU$1),FALSE)=0, VLOOKUP($D342, regions_ub[], COLUMN(AU$1), FALSE), VLOOKUP($A342,raw_ub[],COLUMN(AU$1),FALSE))</f>
        <v>0.13259937524973842</v>
      </c>
      <c r="AV342" s="82">
        <f>IF(VLOOKUP($A342,raw_ub[],COLUMN(AV$1),FALSE)=0, VLOOKUP($D342, regions_ub[], COLUMN(AV$1), FALSE), VLOOKUP($A342,raw_ub[],COLUMN(AV$1),FALSE))</f>
        <v>0.1485332001961612</v>
      </c>
      <c r="AW342" s="82">
        <f>IF(VLOOKUP($A342,raw_ub[],COLUMN(AW$1),FALSE)=0, VLOOKUP($D342, regions_ub[], COLUMN(AW$1), FALSE), VLOOKUP($A342,raw_ub[],COLUMN(AW$1),FALSE))</f>
        <v>0.16686400871486226</v>
      </c>
      <c r="AX342" s="82">
        <f>IF(VLOOKUP($A342,raw_ub[],COLUMN(AX$1),FALSE)=0, VLOOKUP($D342, regions_ub[], COLUMN(AX$1), FALSE), VLOOKUP($A342,raw_ub[],COLUMN(AX$1),FALSE))</f>
        <v>74.741100000000003</v>
      </c>
      <c r="AY342" t="str">
        <f t="shared" ref="AY342:AY373" si="12">IF($K342=0,"Yes", "No")</f>
        <v>No</v>
      </c>
    </row>
    <row r="343" spans="1:51" x14ac:dyDescent="0.25">
      <c r="A343" s="55" t="s">
        <v>354</v>
      </c>
      <c r="B343" s="56" t="s">
        <v>355</v>
      </c>
      <c r="C343" s="56">
        <v>418</v>
      </c>
      <c r="D343" s="56" t="s">
        <v>260</v>
      </c>
      <c r="E343" s="56" t="s">
        <v>261</v>
      </c>
      <c r="F343" s="56" t="s">
        <v>262</v>
      </c>
      <c r="G343" s="56" t="s">
        <v>212</v>
      </c>
      <c r="H343" s="74"/>
      <c r="I343" s="74"/>
      <c r="J343" s="67">
        <f>IF(VLOOKUP($A343,raw_ub[],COLUMN(J$1),FALSE)=0, VLOOKUP($D343, regions_ub[], COLUMN(J$1), FALSE), VLOOKUP($A343,raw_ub[],COLUMN(J$1),FALSE))</f>
        <v>0.67725000000000002</v>
      </c>
      <c r="K343" s="77">
        <f>VLOOKUP($A343, raw_ub[], 11, FALSE)</f>
        <v>0.60899999999999999</v>
      </c>
      <c r="L343" s="77">
        <f>VLOOKUP($A343, raw_ub[], 12, FALSE)</f>
        <v>0.82950000000000013</v>
      </c>
      <c r="M343" s="77">
        <f>IF(VLOOKUP($A343,raw_ub[],COLUMN(M$1),FALSE)=0, VLOOKUP($D343, regions_ub[], COLUMN(M$1), FALSE), VLOOKUP($A343,raw_ub[],COLUMN(M$1),FALSE))</f>
        <v>4.9500000000000002E-2</v>
      </c>
      <c r="N343" s="68">
        <f>IF(VLOOKUP($A343,raw_ub[],COLUMN(N$1),FALSE)=0, VLOOKUP($D343, regions_ub[], COLUMN(N$1), FALSE), VLOOKUP($A343,raw_ub[],COLUMN(N$1),FALSE))</f>
        <v>0.47729999999999995</v>
      </c>
      <c r="O343" s="67">
        <f>IF(VLOOKUP($A343,raw_ub[],COLUMN(O$1),FALSE)=0, VLOOKUP($D343, regions_ub[], COLUMN(O$1), FALSE), VLOOKUP($A343,raw_ub[],COLUMN(O$1),FALSE))</f>
        <v>0.9</v>
      </c>
      <c r="P343" s="68">
        <f>IF(VLOOKUP($A343,raw_ub[],COLUMN(P$1),FALSE)=0, VLOOKUP($D343, regions_ub[], COLUMN(P$1), FALSE), VLOOKUP($A343,raw_ub[],COLUMN(P$1),FALSE))</f>
        <v>0.3</v>
      </c>
      <c r="Q343" s="70">
        <f>IF(VLOOKUP($A343,raw_ub[],COLUMN(Q$1),FALSE)=0, VLOOKUP($D343, regions_ub[], COLUMN(Q$1), FALSE), VLOOKUP($A343,raw_ub[],COLUMN(Q$1),FALSE))</f>
        <v>17.984509276229382</v>
      </c>
      <c r="R343" s="70">
        <f>IF(VLOOKUP($A343,raw_ub[],COLUMN(R$1),FALSE)=0, VLOOKUP($D343, regions_ub[], COLUMN(R$1), FALSE), VLOOKUP($A343,raw_ub[],COLUMN(R$1),FALSE))</f>
        <v>126.97030927622939</v>
      </c>
      <c r="S343" s="70">
        <f>IF(VLOOKUP($A343,raw_ub[],COLUMN(S$1),FALSE)=0, VLOOKUP($D343, regions_ub[], COLUMN(S$1), FALSE), VLOOKUP($A343,raw_ub[],COLUMN(S$1),FALSE))</f>
        <v>184.47073962327983</v>
      </c>
      <c r="T343" s="70">
        <f>IF(VLOOKUP($A343,raw_ub[],COLUMN(U$1)-COLUMN($A$1),FALSE)=0, VLOOKUP($D343, regions_ub[], COLUMN(U$1)-COLUMN($A$1), FALSE), VLOOKUP($A343,raw_ub[],COLUMN(U$1)-COLUMN($A$1),FALSE))</f>
        <v>199.1897151854279</v>
      </c>
      <c r="U343" s="70">
        <f>IF(VLOOKUP($A343,raw_ub[],COLUMN(V$1)-COLUMN($A$1),FALSE)=0, VLOOKUP($D343, regions_ub[], COLUMN(V$1)-COLUMN($A$1), FALSE), VLOOKUP($A343,raw_ub[],COLUMN(V$1)-COLUMN($A$1),FALSE))</f>
        <v>192.43107272679777</v>
      </c>
      <c r="V343" s="70">
        <f>IF(VLOOKUP($A343,raw_ub[],COLUMN(W$1)-COLUMN($A$1),FALSE)=0, VLOOKUP($D343, regions_ub[], COLUMN(W$1)-COLUMN($A$1), FALSE), VLOOKUP($A343,raw_ub[],COLUMN(W$1)-COLUMN($A$1),FALSE))</f>
        <v>4.6104592699067215</v>
      </c>
      <c r="W343" s="70">
        <f>IF(VLOOKUP($A343,raw_ub[],COLUMN(X$1)-COLUMN($A$1),FALSE)=0, VLOOKUP($D343, regions_ub[], COLUMN(X$1)-COLUMN($A$1), FALSE), VLOOKUP($A343,raw_ub[],COLUMN(X$1)-COLUMN($A$1),FALSE))</f>
        <v>5.2719592699067217</v>
      </c>
      <c r="X343" s="70">
        <f>IF(VLOOKUP($A343,raw_ub[],COLUMN(Y$1)-COLUMN($A$1),FALSE)=0, VLOOKUP($D343, regions_ub[], COLUMN(Y$1)-COLUMN($A$1), FALSE), VLOOKUP($A343,raw_ub[],COLUMN(Y$1)-COLUMN($A$1),FALSE))</f>
        <v>4.5810912523623291</v>
      </c>
      <c r="Y343" s="70">
        <f>IF(VLOOKUP($A343,raw_ub[],COLUMN(Z$1)-COLUMN($A$1),FALSE)=0, VLOOKUP($D343, regions_ub[], COLUMN(Z$1)-COLUMN($A$1), FALSE), VLOOKUP($A343,raw_ub[],COLUMN(Z$1)-COLUMN($A$1),FALSE))</f>
        <v>5.2425912523623293</v>
      </c>
      <c r="Z343" s="70">
        <f>IF(VLOOKUP($A343,raw_ub[],COLUMN(AA$1)-COLUMN($A$1),FALSE)=0, VLOOKUP($D343, regions_ub[], COLUMN(AA$1)-COLUMN($A$1), FALSE), VLOOKUP($A343,raw_ub[],COLUMN(AA$1)-COLUMN($A$1),FALSE))</f>
        <v>5.2259253672805279</v>
      </c>
      <c r="AA343" s="70">
        <f>IF(VLOOKUP($A343,raw_ub[],COLUMN(AB$1)-COLUMN($A$1),FALSE)=0, VLOOKUP($D343, regions_ub[], COLUMN(AB$1)-COLUMN($A$1), FALSE), VLOOKUP($A343,raw_ub[],COLUMN(AB$1)-COLUMN($A$1),FALSE))</f>
        <v>4.6172365047246577</v>
      </c>
      <c r="AB343" s="70">
        <f>IF(VLOOKUP($A343,raw_ub[],COLUMN(AC$1)-COLUMN($A$1),FALSE)=0, VLOOKUP($D343, regions_ub[], COLUMN(AC$1)-COLUMN($A$1), FALSE), VLOOKUP($A343,raw_ub[],COLUMN(AC$1)-COLUMN($A$1),FALSE))</f>
        <v>5.2787365047246579</v>
      </c>
      <c r="AC343" s="72">
        <f>IF(VLOOKUP($A343,raw_ub[],COLUMN(AD$1)-COLUMN($A$1),FALSE)=0, VLOOKUP($D343, regions_ub[], COLUMN(AD$1)-COLUMN($A$1), FALSE), VLOOKUP($A343,raw_ub[],COLUMN(AD$1)-COLUMN($A$1),FALSE))</f>
        <v>4.071667949999995E-2</v>
      </c>
      <c r="AD343" s="72">
        <f>IF(VLOOKUP($A343,raw_ub[],COLUMN(AE$1)-COLUMN($A$1),FALSE)=0, VLOOKUP($D343, regions_ub[], COLUMN(AE$1)-COLUMN($A$1), FALSE), VLOOKUP($A343,raw_ub[],COLUMN(AE$1)-COLUMN($A$1),FALSE))</f>
        <v>2.6114405169643281E-3</v>
      </c>
      <c r="AE343" s="72">
        <f>IF(VLOOKUP($A343,raw_ub[],COLUMN(AF$1)-COLUMN($A$1),FALSE)=0, VLOOKUP($D343, regions_ub[], COLUMN(AF$1)-COLUMN($A$1), FALSE), VLOOKUP($A343,raw_ub[],COLUMN(AF$1)-COLUMN($A$1),FALSE))</f>
        <v>9.4481279042160854E-4</v>
      </c>
      <c r="AF343" s="72">
        <f>IF(VLOOKUP($A343,raw_ub[],COLUMN(AG$1)-COLUMN($A$1),FALSE)=0, VLOOKUP($D343, regions_ub[], COLUMN(AG$1)-COLUMN($A$1), FALSE), VLOOKUP($A343,raw_ub[],COLUMN(AG$1)-COLUMN($A$1),FALSE))</f>
        <v>7.5670469956648555E-4</v>
      </c>
      <c r="AG343" s="72">
        <f>IF(VLOOKUP($A343,raw_ub[],COLUMN(AH$1)-COLUMN($A$1),FALSE)=0, VLOOKUP($D343, regions_ub[], COLUMN(AH$1)-COLUMN($A$1), FALSE), VLOOKUP($A343,raw_ub[],COLUMN(AH$1)-COLUMN($A$1),FALSE))</f>
        <v>1.2800006584995065E-3</v>
      </c>
      <c r="AH343" s="72">
        <f>IF(VLOOKUP($A343,raw_ub[],COLUMN(AI$1)-COLUMN($A$1),FALSE)=0, VLOOKUP($D343, regions_ub[], COLUMN(AI$1)-COLUMN($A$1), FALSE), VLOOKUP($A343,raw_ub[],COLUMN(AI$1)-COLUMN($A$1),FALSE))</f>
        <v>1.7990252060574058E-3</v>
      </c>
      <c r="AI343" s="72">
        <f>IF(VLOOKUP($A343,raw_ub[],COLUMN(AJ$1)-COLUMN($A$1),FALSE)=0, VLOOKUP($D343, regions_ub[], COLUMN(AJ$1)-COLUMN($A$1), FALSE), VLOOKUP($A343,raw_ub[],COLUMN(AJ$1)-COLUMN($A$1),FALSE))</f>
        <v>1.9514286340282963E-3</v>
      </c>
      <c r="AJ343" s="72">
        <f>IF(VLOOKUP($A343,raw_ub[],COLUMN(AK$1)-COLUMN($A$1),FALSE)=0, VLOOKUP($D343, regions_ub[], COLUMN(AK$1)-COLUMN($A$1), FALSE), VLOOKUP($A343,raw_ub[],COLUMN(AK$1)-COLUMN($A$1),FALSE))</f>
        <v>2.2511120072782487E-3</v>
      </c>
      <c r="AK343" s="72">
        <f>IF(VLOOKUP($A343,raw_ub[],COLUMN(AL$1)-COLUMN($A$1),FALSE)=0, VLOOKUP($D343, regions_ub[], COLUMN(AL$1)-COLUMN($A$1), FALSE), VLOOKUP($A343,raw_ub[],COLUMN(AL$1)-COLUMN($A$1),FALSE))</f>
        <v>2.8694675598914341E-3</v>
      </c>
      <c r="AL343" s="72">
        <f>IF(VLOOKUP($A343,raw_ub[],COLUMN(AM$1)-COLUMN($A$1),FALSE)=0, VLOOKUP($D343, regions_ub[], COLUMN(AM$1)-COLUMN($A$1), FALSE), VLOOKUP($A343,raw_ub[],COLUMN(AM$1)-COLUMN($A$1),FALSE))</f>
        <v>3.956764799273157E-3</v>
      </c>
      <c r="AM343" s="72">
        <f>IF(VLOOKUP($A343,raw_ub[],COLUMN(AN$1)-COLUMN($A$1),FALSE)=0, VLOOKUP($D343, regions_ub[], COLUMN(AN$1)-COLUMN($A$1), FALSE), VLOOKUP($A343,raw_ub[],COLUMN(AN$1)-COLUMN($A$1),FALSE))</f>
        <v>5.8447124923907681E-3</v>
      </c>
      <c r="AN343" s="72">
        <f>IF(VLOOKUP($A343,raw_ub[],COLUMN(AO$1)-COLUMN($A$1),FALSE)=0, VLOOKUP($D343, regions_ub[], COLUMN(AO$1)-COLUMN($A$1), FALSE), VLOOKUP($A343,raw_ub[],COLUMN(AO$1)-COLUMN($A$1),FALSE))</f>
        <v>8.7902754420331655E-3</v>
      </c>
      <c r="AO343" s="72">
        <f>IF(VLOOKUP($A343,raw_ub[],COLUMN(AP$1)-COLUMN($A$1),FALSE)=0, VLOOKUP($D343, regions_ub[], COLUMN(AP$1)-COLUMN($A$1), FALSE), VLOOKUP($A343,raw_ub[],COLUMN(AP$1)-COLUMN($A$1),FALSE))</f>
        <v>1.3384758519675298E-2</v>
      </c>
      <c r="AP343" s="72">
        <f>IF(VLOOKUP($A343,raw_ub[],COLUMN(AQ$1)-COLUMN($A$1),FALSE)=0, VLOOKUP($D343, regions_ub[], COLUMN(AQ$1)-COLUMN($A$1), FALSE), VLOOKUP($A343,raw_ub[],COLUMN(AQ$1)-COLUMN($A$1),FALSE))</f>
        <v>2.0513437587241438E-2</v>
      </c>
      <c r="AQ343" s="72">
        <f>IF(VLOOKUP($A343,raw_ub[],COLUMN(AR$1)-COLUMN($A$1),FALSE)=0, VLOOKUP($D343, regions_ub[], COLUMN(AR$1)-COLUMN($A$1), FALSE), VLOOKUP($A343,raw_ub[],COLUMN(AR$1)-COLUMN($A$1),FALSE))</f>
        <v>3.1501236997853267E-2</v>
      </c>
      <c r="AR343" s="72">
        <f>IF(VLOOKUP($A343,raw_ub[],COLUMN(AS$1)-COLUMN($A$1),FALSE)=0, VLOOKUP($D343, regions_ub[], COLUMN(AS$1)-COLUMN($A$1), FALSE), VLOOKUP($A343,raw_ub[],COLUMN(AS$1)-COLUMN($A$1),FALSE))</f>
        <v>4.8728482236234875E-2</v>
      </c>
      <c r="AS343" s="72">
        <f>IF(VLOOKUP($A343,raw_ub[],COLUMN(AT$1)-COLUMN($A$1),FALSE)=0, VLOOKUP($D343, regions_ub[], COLUMN(AT$1)-COLUMN($A$1), FALSE), VLOOKUP($A343,raw_ub[],COLUMN(AT$1)-COLUMN($A$1),FALSE))</f>
        <v>7.3808312644546611E-2</v>
      </c>
      <c r="AT343" s="82">
        <f>IF(VLOOKUP($A343,raw_ub[],COLUMN(AT$1),FALSE)=0, VLOOKUP($D343, regions_ub[], COLUMN(AT$1), FALSE), VLOOKUP($A343,raw_ub[],COLUMN(AT$1),FALSE))</f>
        <v>0.10694102726243172</v>
      </c>
      <c r="AU343" s="82">
        <f>IF(VLOOKUP($A343,raw_ub[],COLUMN(AU$1),FALSE)=0, VLOOKUP($D343, regions_ub[], COLUMN(AU$1), FALSE), VLOOKUP($A343,raw_ub[],COLUMN(AU$1),FALSE))</f>
        <v>0.142001863062029</v>
      </c>
      <c r="AV343" s="82">
        <f>IF(VLOOKUP($A343,raw_ub[],COLUMN(AV$1),FALSE)=0, VLOOKUP($D343, regions_ub[], COLUMN(AV$1), FALSE), VLOOKUP($A343,raw_ub[],COLUMN(AV$1),FALSE))</f>
        <v>0.17041945171940051</v>
      </c>
      <c r="AW343" s="82">
        <f>IF(VLOOKUP($A343,raw_ub[],COLUMN(AW$1),FALSE)=0, VLOOKUP($D343, regions_ub[], COLUMN(AW$1), FALSE), VLOOKUP($A343,raw_ub[],COLUMN(AW$1),FALSE))</f>
        <v>0.18869006566019356</v>
      </c>
      <c r="AX343" s="82">
        <f>IF(VLOOKUP($A343,raw_ub[],COLUMN(AX$1),FALSE)=0, VLOOKUP($D343, regions_ub[], COLUMN(AX$1), FALSE), VLOOKUP($A343,raw_ub[],COLUMN(AX$1),FALSE))</f>
        <v>70.813050000000004</v>
      </c>
      <c r="AY343" t="str">
        <f t="shared" si="12"/>
        <v>No</v>
      </c>
    </row>
    <row r="344" spans="1:51" x14ac:dyDescent="0.25">
      <c r="A344" s="53" t="s">
        <v>356</v>
      </c>
      <c r="B344" s="54" t="s">
        <v>357</v>
      </c>
      <c r="C344" s="54">
        <v>422</v>
      </c>
      <c r="D344" s="54" t="s">
        <v>196</v>
      </c>
      <c r="E344" s="54" t="s">
        <v>197</v>
      </c>
      <c r="F344" s="54" t="s">
        <v>197</v>
      </c>
      <c r="G344" s="54" t="s">
        <v>204</v>
      </c>
      <c r="H344" s="73"/>
      <c r="I344" s="73"/>
      <c r="J344" s="67">
        <f>IF(VLOOKUP($A344,raw_ub[],COLUMN(J$1),FALSE)=0, VLOOKUP($D344, regions_ub[], COLUMN(J$1), FALSE), VLOOKUP($A344,raw_ub[],COLUMN(J$1),FALSE))</f>
        <v>0.999</v>
      </c>
      <c r="K344" s="77">
        <f>VLOOKUP($A344, raw_ub[], 11, FALSE)</f>
        <v>0.80850000000000011</v>
      </c>
      <c r="L344" s="77">
        <f>VLOOKUP($A344, raw_ub[], 12, FALSE)</f>
        <v>0.74549999999999994</v>
      </c>
      <c r="M344" s="77">
        <f>IF(VLOOKUP($A344,raw_ub[],COLUMN(M$1),FALSE)=0, VLOOKUP($D344, regions_ub[], COLUMN(M$1), FALSE), VLOOKUP($A344,raw_ub[],COLUMN(M$1),FALSE))</f>
        <v>1.21E-2</v>
      </c>
      <c r="N344" s="68">
        <f>IF(VLOOKUP($A344,raw_ub[],COLUMN(N$1),FALSE)=0, VLOOKUP($D344, regions_ub[], COLUMN(N$1), FALSE), VLOOKUP($A344,raw_ub[],COLUMN(N$1),FALSE))</f>
        <v>0.37619999999999998</v>
      </c>
      <c r="O344" s="67">
        <f>IF(VLOOKUP($A344,raw_ub[],COLUMN(O$1),FALSE)=0, VLOOKUP($D344, regions_ub[], COLUMN(O$1), FALSE), VLOOKUP($A344,raw_ub[],COLUMN(O$1),FALSE))</f>
        <v>0.9</v>
      </c>
      <c r="P344" s="68">
        <f>IF(VLOOKUP($A344,raw_ub[],COLUMN(P$1),FALSE)=0, VLOOKUP($D344, regions_ub[], COLUMN(P$1), FALSE), VLOOKUP($A344,raw_ub[],COLUMN(P$1),FALSE))</f>
        <v>0.3</v>
      </c>
      <c r="Q344" s="70">
        <f>IF(VLOOKUP($A344,raw_ub[],COLUMN(Q$1),FALSE)=0, VLOOKUP($D344, regions_ub[], COLUMN(Q$1), FALSE), VLOOKUP($A344,raw_ub[],COLUMN(Q$1),FALSE))</f>
        <v>33.267707039055395</v>
      </c>
      <c r="R344" s="70">
        <f>IF(VLOOKUP($A344,raw_ub[],COLUMN(R$1),FALSE)=0, VLOOKUP($D344, regions_ub[], COLUMN(R$1), FALSE), VLOOKUP($A344,raw_ub[],COLUMN(R$1),FALSE))</f>
        <v>142.25350703905542</v>
      </c>
      <c r="S344" s="70">
        <f>IF(VLOOKUP($A344,raw_ub[],COLUMN(S$1),FALSE)=0, VLOOKUP($D344, regions_ub[], COLUMN(S$1), FALSE), VLOOKUP($A344,raw_ub[],COLUMN(S$1),FALSE))</f>
        <v>253.12910936756421</v>
      </c>
      <c r="T344" s="70">
        <f>IF(VLOOKUP($A344,raw_ub[],COLUMN(U$1)-COLUMN($A$1),FALSE)=0, VLOOKUP($D344, regions_ub[], COLUMN(U$1)-COLUMN($A$1), FALSE), VLOOKUP($A344,raw_ub[],COLUMN(U$1)-COLUMN($A$1),FALSE))</f>
        <v>295.62799642255425</v>
      </c>
      <c r="U344" s="70">
        <f>IF(VLOOKUP($A344,raw_ub[],COLUMN(V$1)-COLUMN($A$1),FALSE)=0, VLOOKUP($D344, regions_ub[], COLUMN(V$1)-COLUMN($A$1), FALSE), VLOOKUP($A344,raw_ub[],COLUMN(V$1)-COLUMN($A$1),FALSE))</f>
        <v>276.11340579893454</v>
      </c>
      <c r="V344" s="70">
        <f>IF(VLOOKUP($A344,raw_ub[],COLUMN(W$1)-COLUMN($A$1),FALSE)=0, VLOOKUP($D344, regions_ub[], COLUMN(W$1)-COLUMN($A$1), FALSE), VLOOKUP($A344,raw_ub[],COLUMN(W$1)-COLUMN($A$1),FALSE))</f>
        <v>9.3398650920159181</v>
      </c>
      <c r="W344" s="70">
        <f>IF(VLOOKUP($A344,raw_ub[],COLUMN(X$1)-COLUMN($A$1),FALSE)=0, VLOOKUP($D344, regions_ub[], COLUMN(X$1)-COLUMN($A$1), FALSE), VLOOKUP($A344,raw_ub[],COLUMN(X$1)-COLUMN($A$1),FALSE))</f>
        <v>9.8438650920159176</v>
      </c>
      <c r="X344" s="70">
        <f>IF(VLOOKUP($A344,raw_ub[],COLUMN(Y$1)-COLUMN($A$1),FALSE)=0, VLOOKUP($D344, regions_ub[], COLUMN(Y$1)-COLUMN($A$1), FALSE), VLOOKUP($A344,raw_ub[],COLUMN(Y$1)-COLUMN($A$1),FALSE))</f>
        <v>9.3109669473191268</v>
      </c>
      <c r="Y344" s="70">
        <f>IF(VLOOKUP($A344,raw_ub[],COLUMN(Z$1)-COLUMN($A$1),FALSE)=0, VLOOKUP($D344, regions_ub[], COLUMN(Z$1)-COLUMN($A$1), FALSE), VLOOKUP($A344,raw_ub[],COLUMN(Z$1)-COLUMN($A$1),FALSE))</f>
        <v>9.8149669473191263</v>
      </c>
      <c r="Z344" s="70">
        <f>IF(VLOOKUP($A344,raw_ub[],COLUMN(AA$1)-COLUMN($A$1),FALSE)=0, VLOOKUP($D344, regions_ub[], COLUMN(AA$1)-COLUMN($A$1), FALSE), VLOOKUP($A344,raw_ub[],COLUMN(AA$1)-COLUMN($A$1),FALSE))</f>
        <v>9.7980555924071044</v>
      </c>
      <c r="AA344" s="70">
        <f>IF(VLOOKUP($A344,raw_ub[],COLUMN(AB$1)-COLUMN($A$1),FALSE)=0, VLOOKUP($D344, regions_ub[], COLUMN(AB$1)-COLUMN($A$1), FALSE), VLOOKUP($A344,raw_ub[],COLUMN(AB$1)-COLUMN($A$1),FALSE))</f>
        <v>9.3465338946382559</v>
      </c>
      <c r="AB344" s="70">
        <f>IF(VLOOKUP($A344,raw_ub[],COLUMN(AC$1)-COLUMN($A$1),FALSE)=0, VLOOKUP($D344, regions_ub[], COLUMN(AC$1)-COLUMN($A$1), FALSE), VLOOKUP($A344,raw_ub[],COLUMN(AC$1)-COLUMN($A$1),FALSE))</f>
        <v>9.8505338946382555</v>
      </c>
      <c r="AC344" s="72">
        <f>IF(VLOOKUP($A344,raw_ub[],COLUMN(AD$1)-COLUMN($A$1),FALSE)=0, VLOOKUP($D344, regions_ub[], COLUMN(AD$1)-COLUMN($A$1), FALSE), VLOOKUP($A344,raw_ub[],COLUMN(AD$1)-COLUMN($A$1),FALSE))</f>
        <v>9.8854559999999401E-3</v>
      </c>
      <c r="AD344" s="72">
        <f>IF(VLOOKUP($A344,raw_ub[],COLUMN(AE$1)-COLUMN($A$1),FALSE)=0, VLOOKUP($D344, regions_ub[], COLUMN(AE$1)-COLUMN($A$1), FALSE), VLOOKUP($A344,raw_ub[],COLUMN(AE$1)-COLUMN($A$1),FALSE))</f>
        <v>3.9537231968562119E-4</v>
      </c>
      <c r="AE344" s="72">
        <f>IF(VLOOKUP($A344,raw_ub[],COLUMN(AF$1)-COLUMN($A$1),FALSE)=0, VLOOKUP($D344, regions_ub[], COLUMN(AF$1)-COLUMN($A$1), FALSE), VLOOKUP($A344,raw_ub[],COLUMN(AF$1)-COLUMN($A$1),FALSE))</f>
        <v>1.9237498004231218E-4</v>
      </c>
      <c r="AF344" s="72">
        <f>IF(VLOOKUP($A344,raw_ub[],COLUMN(AG$1)-COLUMN($A$1),FALSE)=0, VLOOKUP($D344, regions_ub[], COLUMN(AG$1)-COLUMN($A$1), FALSE), VLOOKUP($A344,raw_ub[],COLUMN(AG$1)-COLUMN($A$1),FALSE))</f>
        <v>1.611380920538153E-4</v>
      </c>
      <c r="AG344" s="72">
        <f>IF(VLOOKUP($A344,raw_ub[],COLUMN(AH$1)-COLUMN($A$1),FALSE)=0, VLOOKUP($D344, regions_ub[], COLUMN(AH$1)-COLUMN($A$1), FALSE), VLOOKUP($A344,raw_ub[],COLUMN(AH$1)-COLUMN($A$1),FALSE))</f>
        <v>3.0210700528991149E-4</v>
      </c>
      <c r="AH344" s="72">
        <f>IF(VLOOKUP($A344,raw_ub[],COLUMN(AI$1)-COLUMN($A$1),FALSE)=0, VLOOKUP($D344, regions_ub[], COLUMN(AI$1)-COLUMN($A$1), FALSE), VLOOKUP($A344,raw_ub[],COLUMN(AI$1)-COLUMN($A$1),FALSE))</f>
        <v>4.2116993280849271E-4</v>
      </c>
      <c r="AI344" s="72">
        <f>IF(VLOOKUP($A344,raw_ub[],COLUMN(AJ$1)-COLUMN($A$1),FALSE)=0, VLOOKUP($D344, regions_ub[], COLUMN(AJ$1)-COLUMN($A$1), FALSE), VLOOKUP($A344,raw_ub[],COLUMN(AJ$1)-COLUMN($A$1),FALSE))</f>
        <v>4.5084559386451492E-4</v>
      </c>
      <c r="AJ344" s="72">
        <f>IF(VLOOKUP($A344,raw_ub[],COLUMN(AK$1)-COLUMN($A$1),FALSE)=0, VLOOKUP($D344, regions_ub[], COLUMN(AK$1)-COLUMN($A$1), FALSE), VLOOKUP($A344,raw_ub[],COLUMN(AK$1)-COLUMN($A$1),FALSE))</f>
        <v>5.3084589083587518E-4</v>
      </c>
      <c r="AK344" s="72">
        <f>IF(VLOOKUP($A344,raw_ub[],COLUMN(AL$1)-COLUMN($A$1),FALSE)=0, VLOOKUP($D344, regions_ub[], COLUMN(AL$1)-COLUMN($A$1), FALSE), VLOOKUP($A344,raw_ub[],COLUMN(AL$1)-COLUMN($A$1),FALSE))</f>
        <v>7.1459112323173448E-4</v>
      </c>
      <c r="AL344" s="72">
        <f>IF(VLOOKUP($A344,raw_ub[],COLUMN(AM$1)-COLUMN($A$1),FALSE)=0, VLOOKUP($D344, regions_ub[], COLUMN(AM$1)-COLUMN($A$1), FALSE), VLOOKUP($A344,raw_ub[],COLUMN(AM$1)-COLUMN($A$1),FALSE))</f>
        <v>1.0989625340284102E-3</v>
      </c>
      <c r="AM344" s="72">
        <f>IF(VLOOKUP($A344,raw_ub[],COLUMN(AN$1)-COLUMN($A$1),FALSE)=0, VLOOKUP($D344, regions_ub[], COLUMN(AN$1)-COLUMN($A$1), FALSE), VLOOKUP($A344,raw_ub[],COLUMN(AN$1)-COLUMN($A$1),FALSE))</f>
        <v>1.9167579029532864E-3</v>
      </c>
      <c r="AN344" s="72">
        <f>IF(VLOOKUP($A344,raw_ub[],COLUMN(AO$1)-COLUMN($A$1),FALSE)=0, VLOOKUP($D344, regions_ub[], COLUMN(AO$1)-COLUMN($A$1), FALSE), VLOOKUP($A344,raw_ub[],COLUMN(AO$1)-COLUMN($A$1),FALSE))</f>
        <v>3.2754766141580129E-3</v>
      </c>
      <c r="AO344" s="72">
        <f>IF(VLOOKUP($A344,raw_ub[],COLUMN(AP$1)-COLUMN($A$1),FALSE)=0, VLOOKUP($D344, regions_ub[], COLUMN(AP$1)-COLUMN($A$1), FALSE), VLOOKUP($A344,raw_ub[],COLUMN(AP$1)-COLUMN($A$1),FALSE))</f>
        <v>5.712357247959367E-3</v>
      </c>
      <c r="AP344" s="72">
        <f>IF(VLOOKUP($A344,raw_ub[],COLUMN(AQ$1)-COLUMN($A$1),FALSE)=0, VLOOKUP($D344, regions_ub[], COLUMN(AQ$1)-COLUMN($A$1), FALSE), VLOOKUP($A344,raw_ub[],COLUMN(AQ$1)-COLUMN($A$1),FALSE))</f>
        <v>9.0740217642515351E-3</v>
      </c>
      <c r="AQ344" s="72">
        <f>IF(VLOOKUP($A344,raw_ub[],COLUMN(AR$1)-COLUMN($A$1),FALSE)=0, VLOOKUP($D344, regions_ub[], COLUMN(AR$1)-COLUMN($A$1), FALSE), VLOOKUP($A344,raw_ub[],COLUMN(AR$1)-COLUMN($A$1),FALSE))</f>
        <v>1.5470855250114201E-2</v>
      </c>
      <c r="AR344" s="72">
        <f>IF(VLOOKUP($A344,raw_ub[],COLUMN(AS$1)-COLUMN($A$1),FALSE)=0, VLOOKUP($D344, regions_ub[], COLUMN(AS$1)-COLUMN($A$1), FALSE), VLOOKUP($A344,raw_ub[],COLUMN(AS$1)-COLUMN($A$1),FALSE))</f>
        <v>2.6779589659180345E-2</v>
      </c>
      <c r="AS344" s="72">
        <f>IF(VLOOKUP($A344,raw_ub[],COLUMN(AT$1)-COLUMN($A$1),FALSE)=0, VLOOKUP($D344, regions_ub[], COLUMN(AT$1)-COLUMN($A$1), FALSE), VLOOKUP($A344,raw_ub[],COLUMN(AT$1)-COLUMN($A$1),FALSE))</f>
        <v>4.4277967182773804E-2</v>
      </c>
      <c r="AT344" s="82">
        <f>IF(VLOOKUP($A344,raw_ub[],COLUMN(AT$1),FALSE)=0, VLOOKUP($D344, regions_ub[], COLUMN(AT$1), FALSE), VLOOKUP($A344,raw_ub[],COLUMN(AT$1),FALSE))</f>
        <v>7.1534992416606005E-2</v>
      </c>
      <c r="AU344" s="82">
        <f>IF(VLOOKUP($A344,raw_ub[],COLUMN(AU$1),FALSE)=0, VLOOKUP($D344, regions_ub[], COLUMN(AU$1), FALSE), VLOOKUP($A344,raw_ub[],COLUMN(AU$1),FALSE))</f>
        <v>0.10708152530942154</v>
      </c>
      <c r="AV344" s="82">
        <f>IF(VLOOKUP($A344,raw_ub[],COLUMN(AV$1),FALSE)=0, VLOOKUP($D344, regions_ub[], COLUMN(AV$1), FALSE), VLOOKUP($A344,raw_ub[],COLUMN(AV$1),FALSE))</f>
        <v>0.14285618867874683</v>
      </c>
      <c r="AW344" s="82">
        <f>IF(VLOOKUP($A344,raw_ub[],COLUMN(AW$1),FALSE)=0, VLOOKUP($D344, regions_ub[], COLUMN(AW$1), FALSE), VLOOKUP($A344,raw_ub[],COLUMN(AW$1),FALSE))</f>
        <v>0.17122684905651381</v>
      </c>
      <c r="AX344" s="82">
        <f>IF(VLOOKUP($A344,raw_ub[],COLUMN(AX$1),FALSE)=0, VLOOKUP($D344, regions_ub[], COLUMN(AX$1), FALSE), VLOOKUP($A344,raw_ub[],COLUMN(AX$1),FALSE))</f>
        <v>82.764150000000001</v>
      </c>
      <c r="AY344" t="str">
        <f t="shared" si="12"/>
        <v>No</v>
      </c>
    </row>
    <row r="345" spans="1:51" x14ac:dyDescent="0.25">
      <c r="A345" s="55" t="s">
        <v>358</v>
      </c>
      <c r="B345" s="56" t="s">
        <v>359</v>
      </c>
      <c r="C345" s="56">
        <v>426</v>
      </c>
      <c r="D345" s="56" t="s">
        <v>207</v>
      </c>
      <c r="E345" s="56" t="s">
        <v>245</v>
      </c>
      <c r="F345" s="56" t="s">
        <v>211</v>
      </c>
      <c r="G345" s="56" t="s">
        <v>212</v>
      </c>
      <c r="H345" s="74"/>
      <c r="I345" s="74"/>
      <c r="J345" s="67">
        <f>IF(VLOOKUP($A345,raw_ub[],COLUMN(J$1),FALSE)=0, VLOOKUP($D345, regions_ub[], COLUMN(J$1), FALSE), VLOOKUP($A345,raw_ub[],COLUMN(J$1),FALSE))</f>
        <v>0.93870000000000009</v>
      </c>
      <c r="K345" s="77">
        <f>VLOOKUP($A345, raw_ub[], 11, FALSE)</f>
        <v>0</v>
      </c>
      <c r="L345" s="77">
        <f>VLOOKUP($A345, raw_ub[], 12, FALSE)</f>
        <v>0.91349999999999998</v>
      </c>
      <c r="M345" s="77">
        <f>IF(VLOOKUP($A345,raw_ub[],COLUMN(M$1),FALSE)=0, VLOOKUP($D345, regions_ub[], COLUMN(M$1), FALSE), VLOOKUP($A345,raw_ub[],COLUMN(M$1),FALSE))</f>
        <v>0.30809999999999998</v>
      </c>
      <c r="N345" s="68">
        <f>IF(VLOOKUP($A345,raw_ub[],COLUMN(N$1),FALSE)=0, VLOOKUP($D345, regions_ub[], COLUMN(N$1), FALSE), VLOOKUP($A345,raw_ub[],COLUMN(N$1),FALSE))</f>
        <v>0.3679</v>
      </c>
      <c r="O345" s="67">
        <f>IF(VLOOKUP($A345,raw_ub[],COLUMN(O$1),FALSE)=0, VLOOKUP($D345, regions_ub[], COLUMN(O$1), FALSE), VLOOKUP($A345,raw_ub[],COLUMN(O$1),FALSE))</f>
        <v>0.74399999999999999</v>
      </c>
      <c r="P345" s="68">
        <f>IF(VLOOKUP($A345,raw_ub[],COLUMN(P$1),FALSE)=0, VLOOKUP($D345, regions_ub[], COLUMN(P$1), FALSE), VLOOKUP($A345,raw_ub[],COLUMN(P$1),FALSE))</f>
        <v>0.13300000000000001</v>
      </c>
      <c r="Q345" s="70">
        <f>IF(VLOOKUP($A345,raw_ub[],COLUMN(Q$1),FALSE)=0, VLOOKUP($D345, regions_ub[], COLUMN(Q$1), FALSE), VLOOKUP($A345,raw_ub[],COLUMN(Q$1),FALSE))</f>
        <v>8.554650450450449</v>
      </c>
      <c r="R345" s="70">
        <f>IF(VLOOKUP($A345,raw_ub[],COLUMN(R$1),FALSE)=0, VLOOKUP($D345, regions_ub[], COLUMN(R$1), FALSE), VLOOKUP($A345,raw_ub[],COLUMN(R$1),FALSE))</f>
        <v>117.54045045045046</v>
      </c>
      <c r="S345" s="70">
        <f>IF(VLOOKUP($A345,raw_ub[],COLUMN(S$1),FALSE)=0, VLOOKUP($D345, regions_ub[], COLUMN(S$1), FALSE), VLOOKUP($A345,raw_ub[],COLUMN(S$1),FALSE))</f>
        <v>152.69343580221445</v>
      </c>
      <c r="T345" s="70">
        <f>IF(VLOOKUP($A345,raw_ub[],COLUMN(U$1)-COLUMN($A$1),FALSE)=0, VLOOKUP($D345, regions_ub[], COLUMN(U$1)-COLUMN($A$1), FALSE), VLOOKUP($A345,raw_ub[],COLUMN(U$1)-COLUMN($A$1),FALSE))</f>
        <v>155.78134731316166</v>
      </c>
      <c r="U345" s="70">
        <f>IF(VLOOKUP($A345,raw_ub[],COLUMN(V$1)-COLUMN($A$1),FALSE)=0, VLOOKUP($D345, regions_ub[], COLUMN(V$1)-COLUMN($A$1), FALSE), VLOOKUP($A345,raw_ub[],COLUMN(V$1)-COLUMN($A$1),FALSE))</f>
        <v>154.36344361746893</v>
      </c>
      <c r="V345" s="70">
        <f>IF(VLOOKUP($A345,raw_ub[],COLUMN(W$1)-COLUMN($A$1),FALSE)=0, VLOOKUP($D345, regions_ub[], COLUMN(W$1)-COLUMN($A$1), FALSE), VLOOKUP($A345,raw_ub[],COLUMN(W$1)-COLUMN($A$1),FALSE))</f>
        <v>8.7292281824976996</v>
      </c>
      <c r="W345" s="70">
        <f>IF(VLOOKUP($A345,raw_ub[],COLUMN(X$1)-COLUMN($A$1),FALSE)=0, VLOOKUP($D345, regions_ub[], COLUMN(X$1)-COLUMN($A$1), FALSE), VLOOKUP($A345,raw_ub[],COLUMN(X$1)-COLUMN($A$1),FALSE))</f>
        <v>13.8007281824977</v>
      </c>
      <c r="X345" s="70">
        <f>IF(VLOOKUP($A345,raw_ub[],COLUMN(Y$1)-COLUMN($A$1),FALSE)=0, VLOOKUP($D345, regions_ub[], COLUMN(Y$1)-COLUMN($A$1), FALSE), VLOOKUP($A345,raw_ub[],COLUMN(Y$1)-COLUMN($A$1),FALSE))</f>
        <v>8.7199676179297647</v>
      </c>
      <c r="Y345" s="70">
        <f>IF(VLOOKUP($A345,raw_ub[],COLUMN(Z$1)-COLUMN($A$1),FALSE)=0, VLOOKUP($D345, regions_ub[], COLUMN(Z$1)-COLUMN($A$1), FALSE), VLOOKUP($A345,raw_ub[],COLUMN(Z$1)-COLUMN($A$1),FALSE))</f>
        <v>13.791467617929765</v>
      </c>
      <c r="Z345" s="70">
        <f>IF(VLOOKUP($A345,raw_ub[],COLUMN(AA$1)-COLUMN($A$1),FALSE)=0, VLOOKUP($D345, regions_ub[], COLUMN(AA$1)-COLUMN($A$1), FALSE), VLOOKUP($A345,raw_ub[],COLUMN(AA$1)-COLUMN($A$1),FALSE))</f>
        <v>13.786554099503435</v>
      </c>
      <c r="AA345" s="70">
        <f>IF(VLOOKUP($A345,raw_ub[],COLUMN(AB$1)-COLUMN($A$1),FALSE)=0, VLOOKUP($D345, regions_ub[], COLUMN(AB$1)-COLUMN($A$1), FALSE), VLOOKUP($A345,raw_ub[],COLUMN(AB$1)-COLUMN($A$1),FALSE))</f>
        <v>8.7313652358595313</v>
      </c>
      <c r="AB345" s="70">
        <f>IF(VLOOKUP($A345,raw_ub[],COLUMN(AC$1)-COLUMN($A$1),FALSE)=0, VLOOKUP($D345, regions_ub[], COLUMN(AC$1)-COLUMN($A$1), FALSE), VLOOKUP($A345,raw_ub[],COLUMN(AC$1)-COLUMN($A$1),FALSE))</f>
        <v>13.802865235859532</v>
      </c>
      <c r="AC345" s="72">
        <f>IF(VLOOKUP($A345,raw_ub[],COLUMN(AD$1)-COLUMN($A$1),FALSE)=0, VLOOKUP($D345, regions_ub[], COLUMN(AD$1)-COLUMN($A$1), FALSE), VLOOKUP($A345,raw_ub[],COLUMN(AD$1)-COLUMN($A$1),FALSE))</f>
        <v>6.5371634999999956E-2</v>
      </c>
      <c r="AD345" s="72">
        <f>IF(VLOOKUP($A345,raw_ub[],COLUMN(AE$1)-COLUMN($A$1),FALSE)=0, VLOOKUP($D345, regions_ub[], COLUMN(AE$1)-COLUMN($A$1), FALSE), VLOOKUP($A345,raw_ub[],COLUMN(AE$1)-COLUMN($A$1),FALSE))</f>
        <v>6.9438927345953673E-3</v>
      </c>
      <c r="AE345" s="72">
        <f>IF(VLOOKUP($A345,raw_ub[],COLUMN(AF$1)-COLUMN($A$1),FALSE)=0, VLOOKUP($D345, regions_ub[], COLUMN(AF$1)-COLUMN($A$1), FALSE), VLOOKUP($A345,raw_ub[],COLUMN(AF$1)-COLUMN($A$1),FALSE))</f>
        <v>1.8130058066546408E-3</v>
      </c>
      <c r="AF345" s="72">
        <f>IF(VLOOKUP($A345,raw_ub[],COLUMN(AG$1)-COLUMN($A$1),FALSE)=0, VLOOKUP($D345, regions_ub[], COLUMN(AG$1)-COLUMN($A$1), FALSE), VLOOKUP($A345,raw_ub[],COLUMN(AG$1)-COLUMN($A$1),FALSE))</f>
        <v>1.4998843162438145E-3</v>
      </c>
      <c r="AG345" s="72">
        <f>IF(VLOOKUP($A345,raw_ub[],COLUMN(AH$1)-COLUMN($A$1),FALSE)=0, VLOOKUP($D345, regions_ub[], COLUMN(AH$1)-COLUMN($A$1), FALSE), VLOOKUP($A345,raw_ub[],COLUMN(AH$1)-COLUMN($A$1),FALSE))</f>
        <v>2.3037219567561633E-3</v>
      </c>
      <c r="AH345" s="72">
        <f>IF(VLOOKUP($A345,raw_ub[],COLUMN(AI$1)-COLUMN($A$1),FALSE)=0, VLOOKUP($D345, regions_ub[], COLUMN(AI$1)-COLUMN($A$1), FALSE), VLOOKUP($A345,raw_ub[],COLUMN(AI$1)-COLUMN($A$1),FALSE))</f>
        <v>4.226148943627884E-3</v>
      </c>
      <c r="AI345" s="72">
        <f>IF(VLOOKUP($A345,raw_ub[],COLUMN(AJ$1)-COLUMN($A$1),FALSE)=0, VLOOKUP($D345, regions_ub[], COLUMN(AJ$1)-COLUMN($A$1), FALSE), VLOOKUP($A345,raw_ub[],COLUMN(AJ$1)-COLUMN($A$1),FALSE))</f>
        <v>7.8084261944162698E-3</v>
      </c>
      <c r="AJ345" s="72">
        <f>IF(VLOOKUP($A345,raw_ub[],COLUMN(AK$1)-COLUMN($A$1),FALSE)=0, VLOOKUP($D345, regions_ub[], COLUMN(AK$1)-COLUMN($A$1), FALSE), VLOOKUP($A345,raw_ub[],COLUMN(AK$1)-COLUMN($A$1),FALSE))</f>
        <v>1.1782298966407518E-2</v>
      </c>
      <c r="AK345" s="72">
        <f>IF(VLOOKUP($A345,raw_ub[],COLUMN(AL$1)-COLUMN($A$1),FALSE)=0, VLOOKUP($D345, regions_ub[], COLUMN(AL$1)-COLUMN($A$1), FALSE), VLOOKUP($A345,raw_ub[],COLUMN(AL$1)-COLUMN($A$1),FALSE))</f>
        <v>1.7280235144121206E-2</v>
      </c>
      <c r="AL345" s="72">
        <f>IF(VLOOKUP($A345,raw_ub[],COLUMN(AM$1)-COLUMN($A$1),FALSE)=0, VLOOKUP($D345, regions_ub[], COLUMN(AM$1)-COLUMN($A$1), FALSE), VLOOKUP($A345,raw_ub[],COLUMN(AM$1)-COLUMN($A$1),FALSE))</f>
        <v>1.9498657061440449E-2</v>
      </c>
      <c r="AM345" s="72">
        <f>IF(VLOOKUP($A345,raw_ub[],COLUMN(AN$1)-COLUMN($A$1),FALSE)=0, VLOOKUP($D345, regions_ub[], COLUMN(AN$1)-COLUMN($A$1), FALSE), VLOOKUP($A345,raw_ub[],COLUMN(AN$1)-COLUMN($A$1),FALSE))</f>
        <v>2.1646491515274768E-2</v>
      </c>
      <c r="AN345" s="72">
        <f>IF(VLOOKUP($A345,raw_ub[],COLUMN(AO$1)-COLUMN($A$1),FALSE)=0, VLOOKUP($D345, regions_ub[], COLUMN(AO$1)-COLUMN($A$1), FALSE), VLOOKUP($A345,raw_ub[],COLUMN(AO$1)-COLUMN($A$1),FALSE))</f>
        <v>2.3306011544348752E-2</v>
      </c>
      <c r="AO345" s="72">
        <f>IF(VLOOKUP($A345,raw_ub[],COLUMN(AP$1)-COLUMN($A$1),FALSE)=0, VLOOKUP($D345, regions_ub[], COLUMN(AP$1)-COLUMN($A$1), FALSE), VLOOKUP($A345,raw_ub[],COLUMN(AP$1)-COLUMN($A$1),FALSE))</f>
        <v>2.6219331219291257E-2</v>
      </c>
      <c r="AP345" s="72">
        <f>IF(VLOOKUP($A345,raw_ub[],COLUMN(AQ$1)-COLUMN($A$1),FALSE)=0, VLOOKUP($D345, regions_ub[], COLUMN(AQ$1)-COLUMN($A$1), FALSE), VLOOKUP($A345,raw_ub[],COLUMN(AQ$1)-COLUMN($A$1),FALSE))</f>
        <v>3.1734836468947612E-2</v>
      </c>
      <c r="AQ345" s="72">
        <f>IF(VLOOKUP($A345,raw_ub[],COLUMN(AR$1)-COLUMN($A$1),FALSE)=0, VLOOKUP($D345, regions_ub[], COLUMN(AR$1)-COLUMN($A$1), FALSE), VLOOKUP($A345,raw_ub[],COLUMN(AR$1)-COLUMN($A$1),FALSE))</f>
        <v>4.162382723737873E-2</v>
      </c>
      <c r="AR345" s="72">
        <f>IF(VLOOKUP($A345,raw_ub[],COLUMN(AS$1)-COLUMN($A$1),FALSE)=0, VLOOKUP($D345, regions_ub[], COLUMN(AS$1)-COLUMN($A$1), FALSE), VLOOKUP($A345,raw_ub[],COLUMN(AS$1)-COLUMN($A$1),FALSE))</f>
        <v>5.7192219718902364E-2</v>
      </c>
      <c r="AS345" s="72">
        <f>IF(VLOOKUP($A345,raw_ub[],COLUMN(AT$1)-COLUMN($A$1),FALSE)=0, VLOOKUP($D345, regions_ub[], COLUMN(AT$1)-COLUMN($A$1), FALSE), VLOOKUP($A345,raw_ub[],COLUMN(AT$1)-COLUMN($A$1),FALSE))</f>
        <v>7.8321724003774518E-2</v>
      </c>
      <c r="AT345" s="82">
        <f>IF(VLOOKUP($A345,raw_ub[],COLUMN(AT$1),FALSE)=0, VLOOKUP($D345, regions_ub[], COLUMN(AT$1), FALSE), VLOOKUP($A345,raw_ub[],COLUMN(AT$1),FALSE))</f>
        <v>0.1110280466320467</v>
      </c>
      <c r="AU345" s="82">
        <f>IF(VLOOKUP($A345,raw_ub[],COLUMN(AU$1),FALSE)=0, VLOOKUP($D345, regions_ub[], COLUMN(AU$1), FALSE), VLOOKUP($A345,raw_ub[],COLUMN(AU$1),FALSE))</f>
        <v>0.15016929221910463</v>
      </c>
      <c r="AV345" s="82">
        <f>IF(VLOOKUP($A345,raw_ub[],COLUMN(AV$1),FALSE)=0, VLOOKUP($D345, regions_ub[], COLUMN(AV$1), FALSE), VLOOKUP($A345,raw_ub[],COLUMN(AV$1),FALSE))</f>
        <v>0.17957523400921999</v>
      </c>
      <c r="AW345" s="82">
        <f>IF(VLOOKUP($A345,raw_ub[],COLUMN(AW$1),FALSE)=0, VLOOKUP($D345, regions_ub[], COLUMN(AW$1), FALSE), VLOOKUP($A345,raw_ub[],COLUMN(AW$1),FALSE))</f>
        <v>0.19150976801715297</v>
      </c>
      <c r="AX345" s="82">
        <f>IF(VLOOKUP($A345,raw_ub[],COLUMN(AX$1),FALSE)=0, VLOOKUP($D345, regions_ub[], COLUMN(AX$1), FALSE), VLOOKUP($A345,raw_ub[],COLUMN(AX$1),FALSE))</f>
        <v>56.186550000000004</v>
      </c>
      <c r="AY345" t="str">
        <f t="shared" si="12"/>
        <v>Yes</v>
      </c>
    </row>
    <row r="346" spans="1:51" x14ac:dyDescent="0.25">
      <c r="A346" s="53" t="s">
        <v>360</v>
      </c>
      <c r="B346" s="54" t="s">
        <v>361</v>
      </c>
      <c r="C346" s="54">
        <v>430</v>
      </c>
      <c r="D346" s="54" t="s">
        <v>207</v>
      </c>
      <c r="E346" s="54" t="s">
        <v>235</v>
      </c>
      <c r="F346" s="54" t="s">
        <v>211</v>
      </c>
      <c r="G346" s="54" t="s">
        <v>198</v>
      </c>
      <c r="H346" s="73"/>
      <c r="I346" s="73"/>
      <c r="J346" s="67">
        <f>IF(VLOOKUP($A346,raw_ub[],COLUMN(J$1),FALSE)=0, VLOOKUP($D346, regions_ub[], COLUMN(J$1), FALSE), VLOOKUP($A346,raw_ub[],COLUMN(J$1),FALSE))</f>
        <v>0.83789999999999998</v>
      </c>
      <c r="K346" s="77">
        <f>VLOOKUP($A346, raw_ub[], 11, FALSE)</f>
        <v>0</v>
      </c>
      <c r="L346" s="77">
        <f>VLOOKUP($A346, raw_ub[], 12, FALSE)</f>
        <v>0.68250000000000011</v>
      </c>
      <c r="M346" s="77">
        <f>IF(VLOOKUP($A346,raw_ub[],COLUMN(M$1),FALSE)=0, VLOOKUP($D346, regions_ub[], COLUMN(M$1), FALSE), VLOOKUP($A346,raw_ub[],COLUMN(M$1),FALSE))</f>
        <v>0.15509999999999999</v>
      </c>
      <c r="N346" s="68">
        <f>IF(VLOOKUP($A346,raw_ub[],COLUMN(N$1),FALSE)=0, VLOOKUP($D346, regions_ub[], COLUMN(N$1), FALSE), VLOOKUP($A346,raw_ub[],COLUMN(N$1),FALSE))</f>
        <v>0.41070000000000001</v>
      </c>
      <c r="O346" s="67">
        <f>IF(VLOOKUP($A346,raw_ub[],COLUMN(O$1),FALSE)=0, VLOOKUP($D346, regions_ub[], COLUMN(O$1), FALSE), VLOOKUP($A346,raw_ub[],COLUMN(O$1),FALSE))</f>
        <v>0.74399999999999999</v>
      </c>
      <c r="P346" s="68">
        <f>IF(VLOOKUP($A346,raw_ub[],COLUMN(P$1),FALSE)=0, VLOOKUP($D346, regions_ub[], COLUMN(P$1), FALSE), VLOOKUP($A346,raw_ub[],COLUMN(P$1),FALSE))</f>
        <v>0.13300000000000001</v>
      </c>
      <c r="Q346" s="70">
        <f>IF(VLOOKUP($A346,raw_ub[],COLUMN(Q$1),FALSE)=0, VLOOKUP($D346, regions_ub[], COLUMN(Q$1), FALSE), VLOOKUP($A346,raw_ub[],COLUMN(Q$1),FALSE))</f>
        <v>5.8268771653543299</v>
      </c>
      <c r="R346" s="70">
        <f>IF(VLOOKUP($A346,raw_ub[],COLUMN(R$1),FALSE)=0, VLOOKUP($D346, regions_ub[], COLUMN(R$1), FALSE), VLOOKUP($A346,raw_ub[],COLUMN(R$1),FALSE))</f>
        <v>114.81267716535434</v>
      </c>
      <c r="S346" s="70">
        <f>IF(VLOOKUP($A346,raw_ub[],COLUMN(S$1),FALSE)=0, VLOOKUP($D346, regions_ub[], COLUMN(S$1), FALSE), VLOOKUP($A346,raw_ub[],COLUMN(S$1),FALSE))</f>
        <v>145.21178450004646</v>
      </c>
      <c r="T346" s="70">
        <f>IF(VLOOKUP($A346,raw_ub[],COLUMN(U$1)-COLUMN($A$1),FALSE)=0, VLOOKUP($D346, regions_ub[], COLUMN(U$1)-COLUMN($A$1), FALSE), VLOOKUP($A346,raw_ub[],COLUMN(U$1)-COLUMN($A$1),FALSE))</f>
        <v>145.82546865659936</v>
      </c>
      <c r="U346" s="70">
        <f>IF(VLOOKUP($A346,raw_ub[],COLUMN(V$1)-COLUMN($A$1),FALSE)=0, VLOOKUP($D346, regions_ub[], COLUMN(V$1)-COLUMN($A$1), FALSE), VLOOKUP($A346,raw_ub[],COLUMN(V$1)-COLUMN($A$1),FALSE))</f>
        <v>145.54367786354084</v>
      </c>
      <c r="V346" s="70">
        <f>IF(VLOOKUP($A346,raw_ub[],COLUMN(W$1)-COLUMN($A$1),FALSE)=0, VLOOKUP($D346, regions_ub[], COLUMN(W$1)-COLUMN($A$1), FALSE), VLOOKUP($A346,raw_ub[],COLUMN(W$1)-COLUMN($A$1),FALSE))</f>
        <v>4.7843631537399016</v>
      </c>
      <c r="W346" s="70">
        <f>IF(VLOOKUP($A346,raw_ub[],COLUMN(X$1)-COLUMN($A$1),FALSE)=0, VLOOKUP($D346, regions_ub[], COLUMN(X$1)-COLUMN($A$1), FALSE), VLOOKUP($A346,raw_ub[],COLUMN(X$1)-COLUMN($A$1),FALSE))</f>
        <v>9.855863153739902</v>
      </c>
      <c r="X346" s="70">
        <f>IF(VLOOKUP($A346,raw_ub[],COLUMN(Y$1)-COLUMN($A$1),FALSE)=0, VLOOKUP($D346, regions_ub[], COLUMN(Y$1)-COLUMN($A$1), FALSE), VLOOKUP($A346,raw_ub[],COLUMN(Y$1)-COLUMN($A$1),FALSE))</f>
        <v>4.7740567744771871</v>
      </c>
      <c r="Y346" s="70">
        <f>IF(VLOOKUP($A346,raw_ub[],COLUMN(Z$1)-COLUMN($A$1),FALSE)=0, VLOOKUP($D346, regions_ub[], COLUMN(Z$1)-COLUMN($A$1), FALSE), VLOOKUP($A346,raw_ub[],COLUMN(Z$1)-COLUMN($A$1),FALSE))</f>
        <v>9.8455567744771884</v>
      </c>
      <c r="Z346" s="70">
        <f>IF(VLOOKUP($A346,raw_ub[],COLUMN(AA$1)-COLUMN($A$1),FALSE)=0, VLOOKUP($D346, regions_ub[], COLUMN(AA$1)-COLUMN($A$1), FALSE), VLOOKUP($A346,raw_ub[],COLUMN(AA$1)-COLUMN($A$1),FALSE))</f>
        <v>9.8400999772431614</v>
      </c>
      <c r="AA346" s="70">
        <f>IF(VLOOKUP($A346,raw_ub[],COLUMN(AB$1)-COLUMN($A$1),FALSE)=0, VLOOKUP($D346, regions_ub[], COLUMN(AB$1)-COLUMN($A$1), FALSE), VLOOKUP($A346,raw_ub[],COLUMN(AB$1)-COLUMN($A$1),FALSE))</f>
        <v>4.7867415489543745</v>
      </c>
      <c r="AB346" s="70">
        <f>IF(VLOOKUP($A346,raw_ub[],COLUMN(AC$1)-COLUMN($A$1),FALSE)=0, VLOOKUP($D346, regions_ub[], COLUMN(AC$1)-COLUMN($A$1), FALSE), VLOOKUP($A346,raw_ub[],COLUMN(AC$1)-COLUMN($A$1),FALSE))</f>
        <v>9.8582415489543749</v>
      </c>
      <c r="AC346" s="72">
        <f>IF(VLOOKUP($A346,raw_ub[],COLUMN(AD$1)-COLUMN($A$1),FALSE)=0, VLOOKUP($D346, regions_ub[], COLUMN(AD$1)-COLUMN($A$1), FALSE), VLOOKUP($A346,raw_ub[],COLUMN(AD$1)-COLUMN($A$1),FALSE))</f>
        <v>5.6777657999999932E-2</v>
      </c>
      <c r="AD346" s="72">
        <f>IF(VLOOKUP($A346,raw_ub[],COLUMN(AE$1)-COLUMN($A$1),FALSE)=0, VLOOKUP($D346, regions_ub[], COLUMN(AE$1)-COLUMN($A$1), FALSE), VLOOKUP($A346,raw_ub[],COLUMN(AE$1)-COLUMN($A$1),FALSE))</f>
        <v>5.5605426878829051E-3</v>
      </c>
      <c r="AE346" s="72">
        <f>IF(VLOOKUP($A346,raw_ub[],COLUMN(AF$1)-COLUMN($A$1),FALSE)=0, VLOOKUP($D346, regions_ub[], COLUMN(AF$1)-COLUMN($A$1), FALSE), VLOOKUP($A346,raw_ub[],COLUMN(AF$1)-COLUMN($A$1),FALSE))</f>
        <v>1.6006808033801341E-3</v>
      </c>
      <c r="AF346" s="72">
        <f>IF(VLOOKUP($A346,raw_ub[],COLUMN(AG$1)-COLUMN($A$1),FALSE)=0, VLOOKUP($D346, regions_ub[], COLUMN(AG$1)-COLUMN($A$1), FALSE), VLOOKUP($A346,raw_ub[],COLUMN(AG$1)-COLUMN($A$1),FALSE))</f>
        <v>1.1372596364502296E-3</v>
      </c>
      <c r="AG346" s="72">
        <f>IF(VLOOKUP($A346,raw_ub[],COLUMN(AH$1)-COLUMN($A$1),FALSE)=0, VLOOKUP($D346, regions_ub[], COLUMN(AH$1)-COLUMN($A$1), FALSE), VLOOKUP($A346,raw_ub[],COLUMN(AH$1)-COLUMN($A$1),FALSE))</f>
        <v>1.787523477599781E-3</v>
      </c>
      <c r="AH346" s="72">
        <f>IF(VLOOKUP($A346,raw_ub[],COLUMN(AI$1)-COLUMN($A$1),FALSE)=0, VLOOKUP($D346, regions_ub[], COLUMN(AI$1)-COLUMN($A$1), FALSE), VLOOKUP($A346,raw_ub[],COLUMN(AI$1)-COLUMN($A$1),FALSE))</f>
        <v>2.630380564605384E-3</v>
      </c>
      <c r="AI346" s="72">
        <f>IF(VLOOKUP($A346,raw_ub[],COLUMN(AJ$1)-COLUMN($A$1),FALSE)=0, VLOOKUP($D346, regions_ub[], COLUMN(AJ$1)-COLUMN($A$1), FALSE), VLOOKUP($A346,raw_ub[],COLUMN(AJ$1)-COLUMN($A$1),FALSE))</f>
        <v>3.196867009331277E-3</v>
      </c>
      <c r="AJ346" s="72">
        <f>IF(VLOOKUP($A346,raw_ub[],COLUMN(AK$1)-COLUMN($A$1),FALSE)=0, VLOOKUP($D346, regions_ub[], COLUMN(AK$1)-COLUMN($A$1), FALSE), VLOOKUP($A346,raw_ub[],COLUMN(AK$1)-COLUMN($A$1),FALSE))</f>
        <v>3.8493728488840596E-3</v>
      </c>
      <c r="AK346" s="72">
        <f>IF(VLOOKUP($A346,raw_ub[],COLUMN(AL$1)-COLUMN($A$1),FALSE)=0, VLOOKUP($D346, regions_ub[], COLUMN(AL$1)-COLUMN($A$1), FALSE), VLOOKUP($A346,raw_ub[],COLUMN(AL$1)-COLUMN($A$1),FALSE))</f>
        <v>4.7957914326772801E-3</v>
      </c>
      <c r="AL346" s="72">
        <f>IF(VLOOKUP($A346,raw_ub[],COLUMN(AM$1)-COLUMN($A$1),FALSE)=0, VLOOKUP($D346, regions_ub[], COLUMN(AM$1)-COLUMN($A$1), FALSE), VLOOKUP($A346,raw_ub[],COLUMN(AM$1)-COLUMN($A$1),FALSE))</f>
        <v>6.0127251154176112E-3</v>
      </c>
      <c r="AM346" s="72">
        <f>IF(VLOOKUP($A346,raw_ub[],COLUMN(AN$1)-COLUMN($A$1),FALSE)=0, VLOOKUP($D346, regions_ub[], COLUMN(AN$1)-COLUMN($A$1), FALSE), VLOOKUP($A346,raw_ub[],COLUMN(AN$1)-COLUMN($A$1),FALSE))</f>
        <v>7.4806768294510663E-3</v>
      </c>
      <c r="AN346" s="72">
        <f>IF(VLOOKUP($A346,raw_ub[],COLUMN(AO$1)-COLUMN($A$1),FALSE)=0, VLOOKUP($D346, regions_ub[], COLUMN(AO$1)-COLUMN($A$1), FALSE), VLOOKUP($A346,raw_ub[],COLUMN(AO$1)-COLUMN($A$1),FALSE))</f>
        <v>1.0341593442258287E-2</v>
      </c>
      <c r="AO346" s="72">
        <f>IF(VLOOKUP($A346,raw_ub[],COLUMN(AP$1)-COLUMN($A$1),FALSE)=0, VLOOKUP($D346, regions_ub[], COLUMN(AP$1)-COLUMN($A$1), FALSE), VLOOKUP($A346,raw_ub[],COLUMN(AP$1)-COLUMN($A$1),FALSE))</f>
        <v>1.371576265568066E-2</v>
      </c>
      <c r="AP346" s="72">
        <f>IF(VLOOKUP($A346,raw_ub[],COLUMN(AQ$1)-COLUMN($A$1),FALSE)=0, VLOOKUP($D346, regions_ub[], COLUMN(AQ$1)-COLUMN($A$1), FALSE), VLOOKUP($A346,raw_ub[],COLUMN(AQ$1)-COLUMN($A$1),FALSE))</f>
        <v>2.0362061952819886E-2</v>
      </c>
      <c r="AQ346" s="72">
        <f>IF(VLOOKUP($A346,raw_ub[],COLUMN(AR$1)-COLUMN($A$1),FALSE)=0, VLOOKUP($D346, regions_ub[], COLUMN(AR$1)-COLUMN($A$1), FALSE), VLOOKUP($A346,raw_ub[],COLUMN(AR$1)-COLUMN($A$1),FALSE))</f>
        <v>3.1260673647582851E-2</v>
      </c>
      <c r="AR346" s="72">
        <f>IF(VLOOKUP($A346,raw_ub[],COLUMN(AS$1)-COLUMN($A$1),FALSE)=0, VLOOKUP($D346, regions_ub[], COLUMN(AS$1)-COLUMN($A$1), FALSE), VLOOKUP($A346,raw_ub[],COLUMN(AS$1)-COLUMN($A$1),FALSE))</f>
        <v>4.8580482035958383E-2</v>
      </c>
      <c r="AS346" s="72">
        <f>IF(VLOOKUP($A346,raw_ub[],COLUMN(AT$1)-COLUMN($A$1),FALSE)=0, VLOOKUP($D346, regions_ub[], COLUMN(AT$1)-COLUMN($A$1), FALSE), VLOOKUP($A346,raw_ub[],COLUMN(AT$1)-COLUMN($A$1),FALSE))</f>
        <v>7.4348108738983468E-2</v>
      </c>
      <c r="AT346" s="82">
        <f>IF(VLOOKUP($A346,raw_ub[],COLUMN(AT$1),FALSE)=0, VLOOKUP($D346, regions_ub[], COLUMN(AT$1), FALSE), VLOOKUP($A346,raw_ub[],COLUMN(AT$1),FALSE))</f>
        <v>0.11104142354365279</v>
      </c>
      <c r="AU346" s="82">
        <f>IF(VLOOKUP($A346,raw_ub[],COLUMN(AU$1),FALSE)=0, VLOOKUP($D346, regions_ub[], COLUMN(AU$1), FALSE), VLOOKUP($A346,raw_ub[],COLUMN(AU$1),FALSE))</f>
        <v>0.15289855993902712</v>
      </c>
      <c r="AV346" s="82">
        <f>IF(VLOOKUP($A346,raw_ub[],COLUMN(AV$1),FALSE)=0, VLOOKUP($D346, regions_ub[], COLUMN(AV$1), FALSE), VLOOKUP($A346,raw_ub[],COLUMN(AV$1),FALSE))</f>
        <v>0.1872988568813603</v>
      </c>
      <c r="AW346" s="82">
        <f>IF(VLOOKUP($A346,raw_ub[],COLUMN(AW$1),FALSE)=0, VLOOKUP($D346, regions_ub[], COLUMN(AW$1), FALSE), VLOOKUP($A346,raw_ub[],COLUMN(AW$1),FALSE))</f>
        <v>0.19849894004217569</v>
      </c>
      <c r="AX346" s="82">
        <f>IF(VLOOKUP($A346,raw_ub[],COLUMN(AX$1),FALSE)=0, VLOOKUP($D346, regions_ub[], COLUMN(AX$1), FALSE), VLOOKUP($A346,raw_ub[],COLUMN(AX$1),FALSE))</f>
        <v>66.775800000000004</v>
      </c>
      <c r="AY346" t="str">
        <f t="shared" si="12"/>
        <v>Yes</v>
      </c>
    </row>
    <row r="347" spans="1:51" x14ac:dyDescent="0.25">
      <c r="A347" s="55" t="s">
        <v>362</v>
      </c>
      <c r="B347" s="56" t="s">
        <v>363</v>
      </c>
      <c r="C347" s="56">
        <v>434</v>
      </c>
      <c r="D347" s="56" t="s">
        <v>196</v>
      </c>
      <c r="E347" s="56" t="s">
        <v>197</v>
      </c>
      <c r="F347" s="56" t="s">
        <v>197</v>
      </c>
      <c r="G347" s="56" t="s">
        <v>204</v>
      </c>
      <c r="H347" s="74"/>
      <c r="I347" s="74"/>
      <c r="J347" s="67">
        <f>IF(VLOOKUP($A347,raw_ub[],COLUMN(J$1),FALSE)=0, VLOOKUP($D347, regions_ub[], COLUMN(J$1), FALSE), VLOOKUP($A347,raw_ub[],COLUMN(J$1),FALSE))</f>
        <v>0.999</v>
      </c>
      <c r="K347" s="77">
        <f>VLOOKUP($A347, raw_ub[], 11, FALSE)</f>
        <v>0</v>
      </c>
      <c r="L347" s="77">
        <f>VLOOKUP($A347, raw_ub[], 12, FALSE)</f>
        <v>0.76649999999999996</v>
      </c>
      <c r="M347" s="77">
        <f>IF(VLOOKUP($A347,raw_ub[],COLUMN(M$1),FALSE)=0, VLOOKUP($D347, regions_ub[], COLUMN(M$1), FALSE), VLOOKUP($A347,raw_ub[],COLUMN(M$1),FALSE))</f>
        <v>2.0400000000000001E-2</v>
      </c>
      <c r="N347" s="68">
        <f>IF(VLOOKUP($A347,raw_ub[],COLUMN(N$1),FALSE)=0, VLOOKUP($D347, regions_ub[], COLUMN(N$1), FALSE), VLOOKUP($A347,raw_ub[],COLUMN(N$1),FALSE))</f>
        <v>0.37619999999999998</v>
      </c>
      <c r="O347" s="67">
        <f>IF(VLOOKUP($A347,raw_ub[],COLUMN(O$1),FALSE)=0, VLOOKUP($D347, regions_ub[], COLUMN(O$1), FALSE), VLOOKUP($A347,raw_ub[],COLUMN(O$1),FALSE))</f>
        <v>0.9</v>
      </c>
      <c r="P347" s="68">
        <f>IF(VLOOKUP($A347,raw_ub[],COLUMN(P$1),FALSE)=0, VLOOKUP($D347, regions_ub[], COLUMN(P$1), FALSE), VLOOKUP($A347,raw_ub[],COLUMN(P$1),FALSE))</f>
        <v>0.3</v>
      </c>
      <c r="Q347" s="70">
        <f>IF(VLOOKUP($A347,raw_ub[],COLUMN(Q$1),FALSE)=0, VLOOKUP($D347, regions_ub[], COLUMN(Q$1), FALSE), VLOOKUP($A347,raw_ub[],COLUMN(Q$1),FALSE))</f>
        <v>30.571658292443601</v>
      </c>
      <c r="R347" s="70">
        <f>IF(VLOOKUP($A347,raw_ub[],COLUMN(R$1),FALSE)=0, VLOOKUP($D347, regions_ub[], COLUMN(R$1), FALSE), VLOOKUP($A347,raw_ub[],COLUMN(R$1),FALSE))</f>
        <v>139.55745829244358</v>
      </c>
      <c r="S347" s="70">
        <f>IF(VLOOKUP($A347,raw_ub[],COLUMN(S$1),FALSE)=0, VLOOKUP($D347, regions_ub[], COLUMN(S$1), FALSE), VLOOKUP($A347,raw_ub[],COLUMN(S$1),FALSE))</f>
        <v>250.49246985186281</v>
      </c>
      <c r="T347" s="70">
        <f>IF(VLOOKUP($A347,raw_ub[],COLUMN(U$1)-COLUMN($A$1),FALSE)=0, VLOOKUP($D347, regions_ub[], COLUMN(U$1)-COLUMN($A$1), FALSE), VLOOKUP($A347,raw_ub[],COLUMN(U$1)-COLUMN($A$1),FALSE))</f>
        <v>293.02227733512098</v>
      </c>
      <c r="U347" s="70">
        <f>IF(VLOOKUP($A347,raw_ub[],COLUMN(V$1)-COLUMN($A$1),FALSE)=0, VLOOKUP($D347, regions_ub[], COLUMN(V$1)-COLUMN($A$1), FALSE), VLOOKUP($A347,raw_ub[],COLUMN(V$1)-COLUMN($A$1),FALSE))</f>
        <v>273.49348870441509</v>
      </c>
      <c r="V347" s="70">
        <f>IF(VLOOKUP($A347,raw_ub[],COLUMN(W$1)-COLUMN($A$1),FALSE)=0, VLOOKUP($D347, regions_ub[], COLUMN(W$1)-COLUMN($A$1), FALSE), VLOOKUP($A347,raw_ub[],COLUMN(W$1)-COLUMN($A$1),FALSE))</f>
        <v>11.910242974873324</v>
      </c>
      <c r="W347" s="70">
        <f>IF(VLOOKUP($A347,raw_ub[],COLUMN(X$1)-COLUMN($A$1),FALSE)=0, VLOOKUP($D347, regions_ub[], COLUMN(X$1)-COLUMN($A$1), FALSE), VLOOKUP($A347,raw_ub[],COLUMN(X$1)-COLUMN($A$1),FALSE))</f>
        <v>12.414242974873323</v>
      </c>
      <c r="X347" s="70">
        <f>IF(VLOOKUP($A347,raw_ub[],COLUMN(Y$1)-COLUMN($A$1),FALSE)=0, VLOOKUP($D347, regions_ub[], COLUMN(Y$1)-COLUMN($A$1), FALSE), VLOOKUP($A347,raw_ub[],COLUMN(Y$1)-COLUMN($A$1),FALSE))</f>
        <v>11.888709158550798</v>
      </c>
      <c r="Y347" s="70">
        <f>IF(VLOOKUP($A347,raw_ub[],COLUMN(Z$1)-COLUMN($A$1),FALSE)=0, VLOOKUP($D347, regions_ub[], COLUMN(Z$1)-COLUMN($A$1), FALSE), VLOOKUP($A347,raw_ub[],COLUMN(Z$1)-COLUMN($A$1),FALSE))</f>
        <v>12.392709158550797</v>
      </c>
      <c r="Z347" s="70">
        <f>IF(VLOOKUP($A347,raw_ub[],COLUMN(AA$1)-COLUMN($A$1),FALSE)=0, VLOOKUP($D347, regions_ub[], COLUMN(AA$1)-COLUMN($A$1), FALSE), VLOOKUP($A347,raw_ub[],COLUMN(AA$1)-COLUMN($A$1),FALSE))</f>
        <v>12.381048849366314</v>
      </c>
      <c r="AA347" s="70">
        <f>IF(VLOOKUP($A347,raw_ub[],COLUMN(AB$1)-COLUMN($A$1),FALSE)=0, VLOOKUP($D347, regions_ub[], COLUMN(AB$1)-COLUMN($A$1), FALSE), VLOOKUP($A347,raw_ub[],COLUMN(AB$1)-COLUMN($A$1),FALSE))</f>
        <v>11.915212317101599</v>
      </c>
      <c r="AB347" s="70">
        <f>IF(VLOOKUP($A347,raw_ub[],COLUMN(AC$1)-COLUMN($A$1),FALSE)=0, VLOOKUP($D347, regions_ub[], COLUMN(AC$1)-COLUMN($A$1), FALSE), VLOOKUP($A347,raw_ub[],COLUMN(AC$1)-COLUMN($A$1),FALSE))</f>
        <v>12.419212317101598</v>
      </c>
      <c r="AC347" s="72">
        <f>IF(VLOOKUP($A347,raw_ub[],COLUMN(AD$1)-COLUMN($A$1),FALSE)=0, VLOOKUP($D347, regions_ub[], COLUMN(AD$1)-COLUMN($A$1), FALSE), VLOOKUP($A347,raw_ub[],COLUMN(AD$1)-COLUMN($A$1),FALSE))</f>
        <v>1.1057991000000074E-2</v>
      </c>
      <c r="AD347" s="72">
        <f>IF(VLOOKUP($A347,raw_ub[],COLUMN(AE$1)-COLUMN($A$1),FALSE)=0, VLOOKUP($D347, regions_ub[], COLUMN(AE$1)-COLUMN($A$1), FALSE), VLOOKUP($A347,raw_ub[],COLUMN(AE$1)-COLUMN($A$1),FALSE))</f>
        <v>5.7611228039193628E-4</v>
      </c>
      <c r="AE347" s="72">
        <f>IF(VLOOKUP($A347,raw_ub[],COLUMN(AF$1)-COLUMN($A$1),FALSE)=0, VLOOKUP($D347, regions_ub[], COLUMN(AF$1)-COLUMN($A$1), FALSE), VLOOKUP($A347,raw_ub[],COLUMN(AF$1)-COLUMN($A$1),FALSE))</f>
        <v>4.0556945692268414E-4</v>
      </c>
      <c r="AF347" s="72">
        <f>IF(VLOOKUP($A347,raw_ub[],COLUMN(AG$1)-COLUMN($A$1),FALSE)=0, VLOOKUP($D347, regions_ub[], COLUMN(AG$1)-COLUMN($A$1), FALSE), VLOOKUP($A347,raw_ub[],COLUMN(AG$1)-COLUMN($A$1),FALSE))</f>
        <v>4.1296928628974686E-4</v>
      </c>
      <c r="AG347" s="72">
        <f>IF(VLOOKUP($A347,raw_ub[],COLUMN(AH$1)-COLUMN($A$1),FALSE)=0, VLOOKUP($D347, regions_ub[], COLUMN(AH$1)-COLUMN($A$1), FALSE), VLOOKUP($A347,raw_ub[],COLUMN(AH$1)-COLUMN($A$1),FALSE))</f>
        <v>1.0399356983648474E-3</v>
      </c>
      <c r="AH347" s="72">
        <f>IF(VLOOKUP($A347,raw_ub[],COLUMN(AI$1)-COLUMN($A$1),FALSE)=0, VLOOKUP($D347, regions_ub[], COLUMN(AI$1)-COLUMN($A$1), FALSE), VLOOKUP($A347,raw_ub[],COLUMN(AI$1)-COLUMN($A$1),FALSE))</f>
        <v>1.4072421766954005E-3</v>
      </c>
      <c r="AI347" s="72">
        <f>IF(VLOOKUP($A347,raw_ub[],COLUMN(AJ$1)-COLUMN($A$1),FALSE)=0, VLOOKUP($D347, regions_ub[], COLUMN(AJ$1)-COLUMN($A$1), FALSE), VLOOKUP($A347,raw_ub[],COLUMN(AJ$1)-COLUMN($A$1),FALSE))</f>
        <v>1.4954083264634803E-3</v>
      </c>
      <c r="AJ347" s="72">
        <f>IF(VLOOKUP($A347,raw_ub[],COLUMN(AK$1)-COLUMN($A$1),FALSE)=0, VLOOKUP($D347, regions_ub[], COLUMN(AK$1)-COLUMN($A$1), FALSE), VLOOKUP($A347,raw_ub[],COLUMN(AK$1)-COLUMN($A$1),FALSE))</f>
        <v>1.6480413642938781E-3</v>
      </c>
      <c r="AK347" s="72">
        <f>IF(VLOOKUP($A347,raw_ub[],COLUMN(AL$1)-COLUMN($A$1),FALSE)=0, VLOOKUP($D347, regions_ub[], COLUMN(AL$1)-COLUMN($A$1), FALSE), VLOOKUP($A347,raw_ub[],COLUMN(AL$1)-COLUMN($A$1),FALSE))</f>
        <v>2.0688662207027759E-3</v>
      </c>
      <c r="AL347" s="72">
        <f>IF(VLOOKUP($A347,raw_ub[],COLUMN(AM$1)-COLUMN($A$1),FALSE)=0, VLOOKUP($D347, regions_ub[], COLUMN(AM$1)-COLUMN($A$1), FALSE), VLOOKUP($A347,raw_ub[],COLUMN(AM$1)-COLUMN($A$1),FALSE))</f>
        <v>2.914867067944072E-3</v>
      </c>
      <c r="AM347" s="72">
        <f>IF(VLOOKUP($A347,raw_ub[],COLUMN(AN$1)-COLUMN($A$1),FALSE)=0, VLOOKUP($D347, regions_ub[], COLUMN(AN$1)-COLUMN($A$1), FALSE), VLOOKUP($A347,raw_ub[],COLUMN(AN$1)-COLUMN($A$1),FALSE))</f>
        <v>4.1552332339414586E-3</v>
      </c>
      <c r="AN347" s="72">
        <f>IF(VLOOKUP($A347,raw_ub[],COLUMN(AO$1)-COLUMN($A$1),FALSE)=0, VLOOKUP($D347, regions_ub[], COLUMN(AO$1)-COLUMN($A$1), FALSE), VLOOKUP($A347,raw_ub[],COLUMN(AO$1)-COLUMN($A$1),FALSE))</f>
        <v>6.5295036205133619E-3</v>
      </c>
      <c r="AO347" s="72">
        <f>IF(VLOOKUP($A347,raw_ub[],COLUMN(AP$1)-COLUMN($A$1),FALSE)=0, VLOOKUP($D347, regions_ub[], COLUMN(AP$1)-COLUMN($A$1), FALSE), VLOOKUP($A347,raw_ub[],COLUMN(AP$1)-COLUMN($A$1),FALSE))</f>
        <v>1.0423991800362553E-2</v>
      </c>
      <c r="AP347" s="72">
        <f>IF(VLOOKUP($A347,raw_ub[],COLUMN(AQ$1)-COLUMN($A$1),FALSE)=0, VLOOKUP($D347, regions_ub[], COLUMN(AQ$1)-COLUMN($A$1), FALSE), VLOOKUP($A347,raw_ub[],COLUMN(AQ$1)-COLUMN($A$1),FALSE))</f>
        <v>1.6432730315002649E-2</v>
      </c>
      <c r="AQ347" s="72">
        <f>IF(VLOOKUP($A347,raw_ub[],COLUMN(AR$1)-COLUMN($A$1),FALSE)=0, VLOOKUP($D347, regions_ub[], COLUMN(AR$1)-COLUMN($A$1), FALSE), VLOOKUP($A347,raw_ub[],COLUMN(AR$1)-COLUMN($A$1),FALSE))</f>
        <v>2.6464399998889204E-2</v>
      </c>
      <c r="AR347" s="72">
        <f>IF(VLOOKUP($A347,raw_ub[],COLUMN(AS$1)-COLUMN($A$1),FALSE)=0, VLOOKUP($D347, regions_ub[], COLUMN(AS$1)-COLUMN($A$1), FALSE), VLOOKUP($A347,raw_ub[],COLUMN(AS$1)-COLUMN($A$1),FALSE))</f>
        <v>4.0790869516712749E-2</v>
      </c>
      <c r="AS347" s="72">
        <f>IF(VLOOKUP($A347,raw_ub[],COLUMN(AT$1)-COLUMN($A$1),FALSE)=0, VLOOKUP($D347, regions_ub[], COLUMN(AT$1)-COLUMN($A$1), FALSE), VLOOKUP($A347,raw_ub[],COLUMN(AT$1)-COLUMN($A$1),FALSE))</f>
        <v>6.3988747880077121E-2</v>
      </c>
      <c r="AT347" s="82">
        <f>IF(VLOOKUP($A347,raw_ub[],COLUMN(AT$1),FALSE)=0, VLOOKUP($D347, regions_ub[], COLUMN(AT$1), FALSE), VLOOKUP($A347,raw_ub[],COLUMN(AT$1),FALSE))</f>
        <v>9.6810251473444714E-2</v>
      </c>
      <c r="AU347" s="82">
        <f>IF(VLOOKUP($A347,raw_ub[],COLUMN(AU$1),FALSE)=0, VLOOKUP($D347, regions_ub[], COLUMN(AU$1), FALSE), VLOOKUP($A347,raw_ub[],COLUMN(AU$1),FALSE))</f>
        <v>0.13331595559857973</v>
      </c>
      <c r="AV347" s="82">
        <f>IF(VLOOKUP($A347,raw_ub[],COLUMN(AV$1),FALSE)=0, VLOOKUP($D347, regions_ub[], COLUMN(AV$1), FALSE), VLOOKUP($A347,raw_ub[],COLUMN(AV$1),FALSE))</f>
        <v>0.16558602022800026</v>
      </c>
      <c r="AW347" s="82">
        <f>IF(VLOOKUP($A347,raw_ub[],COLUMN(AW$1),FALSE)=0, VLOOKUP($D347, regions_ub[], COLUMN(AW$1), FALSE), VLOOKUP($A347,raw_ub[],COLUMN(AW$1),FALSE))</f>
        <v>0.18520871936399233</v>
      </c>
      <c r="AX347" s="82">
        <f>IF(VLOOKUP($A347,raw_ub[],COLUMN(AX$1),FALSE)=0, VLOOKUP($D347, regions_ub[], COLUMN(AX$1), FALSE), VLOOKUP($A347,raw_ub[],COLUMN(AX$1),FALSE))</f>
        <v>76.33605</v>
      </c>
      <c r="AY347" t="str">
        <f t="shared" si="12"/>
        <v>Yes</v>
      </c>
    </row>
    <row r="348" spans="1:51" x14ac:dyDescent="0.25">
      <c r="A348" s="53" t="s">
        <v>364</v>
      </c>
      <c r="B348" s="54" t="s">
        <v>365</v>
      </c>
      <c r="C348" s="54">
        <v>450</v>
      </c>
      <c r="D348" s="54" t="s">
        <v>207</v>
      </c>
      <c r="E348" s="54" t="s">
        <v>255</v>
      </c>
      <c r="F348" s="54" t="s">
        <v>211</v>
      </c>
      <c r="G348" s="54" t="s">
        <v>198</v>
      </c>
      <c r="H348" s="73"/>
      <c r="I348" s="73"/>
      <c r="J348" s="67">
        <f>IF(VLOOKUP($A348,raw_ub[],COLUMN(J$1),FALSE)=0, VLOOKUP($D348, regions_ub[], COLUMN(J$1), FALSE), VLOOKUP($A348,raw_ub[],COLUMN(J$1),FALSE))</f>
        <v>0.40635000000000004</v>
      </c>
      <c r="K348" s="77">
        <f>VLOOKUP($A348, raw_ub[], 11, FALSE)</f>
        <v>0</v>
      </c>
      <c r="L348" s="77">
        <f>VLOOKUP($A348, raw_ub[], 12, FALSE)</f>
        <v>0.73499999999999999</v>
      </c>
      <c r="M348" s="77">
        <f>IF(VLOOKUP($A348,raw_ub[],COLUMN(M$1),FALSE)=0, VLOOKUP($D348, regions_ub[], COLUMN(M$1), FALSE), VLOOKUP($A348,raw_ub[],COLUMN(M$1),FALSE))</f>
        <v>7.17E-2</v>
      </c>
      <c r="N348" s="68">
        <f>IF(VLOOKUP($A348,raw_ub[],COLUMN(N$1),FALSE)=0, VLOOKUP($D348, regions_ub[], COLUMN(N$1), FALSE), VLOOKUP($A348,raw_ub[],COLUMN(N$1),FALSE))</f>
        <v>0.39960000000000001</v>
      </c>
      <c r="O348" s="67">
        <f>IF(VLOOKUP($A348,raw_ub[],COLUMN(O$1),FALSE)=0, VLOOKUP($D348, regions_ub[], COLUMN(O$1), FALSE), VLOOKUP($A348,raw_ub[],COLUMN(O$1),FALSE))</f>
        <v>0.74399999999999999</v>
      </c>
      <c r="P348" s="68">
        <f>IF(VLOOKUP($A348,raw_ub[],COLUMN(P$1),FALSE)=0, VLOOKUP($D348, regions_ub[], COLUMN(P$1), FALSE), VLOOKUP($A348,raw_ub[],COLUMN(P$1),FALSE))</f>
        <v>0.13300000000000001</v>
      </c>
      <c r="Q348" s="70">
        <f>IF(VLOOKUP($A348,raw_ub[],COLUMN(Q$1),FALSE)=0, VLOOKUP($D348, regions_ub[], COLUMN(Q$1), FALSE), VLOOKUP($A348,raw_ub[],COLUMN(Q$1),FALSE))</f>
        <v>5.7505143254520199</v>
      </c>
      <c r="R348" s="70">
        <f>IF(VLOOKUP($A348,raw_ub[],COLUMN(R$1),FALSE)=0, VLOOKUP($D348, regions_ub[], COLUMN(R$1), FALSE), VLOOKUP($A348,raw_ub[],COLUMN(R$1),FALSE))</f>
        <v>114.73631432545203</v>
      </c>
      <c r="S348" s="70">
        <f>IF(VLOOKUP($A348,raw_ub[],COLUMN(S$1),FALSE)=0, VLOOKUP($D348, regions_ub[], COLUMN(S$1), FALSE), VLOOKUP($A348,raw_ub[],COLUMN(S$1),FALSE))</f>
        <v>145.34234522077952</v>
      </c>
      <c r="T348" s="70">
        <f>IF(VLOOKUP($A348,raw_ub[],COLUMN(U$1)-COLUMN($A$1),FALSE)=0, VLOOKUP($D348, regions_ub[], COLUMN(U$1)-COLUMN($A$1), FALSE), VLOOKUP($A348,raw_ub[],COLUMN(U$1)-COLUMN($A$1),FALSE))</f>
        <v>146.06372585842723</v>
      </c>
      <c r="U348" s="70">
        <f>IF(VLOOKUP($A348,raw_ub[],COLUMN(V$1)-COLUMN($A$1),FALSE)=0, VLOOKUP($D348, regions_ub[], COLUMN(V$1)-COLUMN($A$1), FALSE), VLOOKUP($A348,raw_ub[],COLUMN(V$1)-COLUMN($A$1),FALSE))</f>
        <v>145.73248311766355</v>
      </c>
      <c r="V348" s="70">
        <f>IF(VLOOKUP($A348,raw_ub[],COLUMN(W$1)-COLUMN($A$1),FALSE)=0, VLOOKUP($D348, regions_ub[], COLUMN(W$1)-COLUMN($A$1), FALSE), VLOOKUP($A348,raw_ub[],COLUMN(W$1)-COLUMN($A$1),FALSE))</f>
        <v>2.5851184883751759</v>
      </c>
      <c r="W348" s="70">
        <f>IF(VLOOKUP($A348,raw_ub[],COLUMN(X$1)-COLUMN($A$1),FALSE)=0, VLOOKUP($D348, regions_ub[], COLUMN(X$1)-COLUMN($A$1), FALSE), VLOOKUP($A348,raw_ub[],COLUMN(X$1)-COLUMN($A$1),FALSE))</f>
        <v>7.6566184883751767</v>
      </c>
      <c r="X348" s="70">
        <f>IF(VLOOKUP($A348,raw_ub[],COLUMN(Y$1)-COLUMN($A$1),FALSE)=0, VLOOKUP($D348, regions_ub[], COLUMN(Y$1)-COLUMN($A$1), FALSE), VLOOKUP($A348,raw_ub[],COLUMN(Y$1)-COLUMN($A$1),FALSE))</f>
        <v>2.5766350970345799</v>
      </c>
      <c r="Y348" s="70">
        <f>IF(VLOOKUP($A348,raw_ub[],COLUMN(Z$1)-COLUMN($A$1),FALSE)=0, VLOOKUP($D348, regions_ub[], COLUMN(Z$1)-COLUMN($A$1), FALSE), VLOOKUP($A348,raw_ub[],COLUMN(Z$1)-COLUMN($A$1),FALSE))</f>
        <v>7.6481350970345803</v>
      </c>
      <c r="Z348" s="70">
        <f>IF(VLOOKUP($A348,raw_ub[],COLUMN(AA$1)-COLUMN($A$1),FALSE)=0, VLOOKUP($D348, regions_ub[], COLUMN(AA$1)-COLUMN($A$1), FALSE), VLOOKUP($A348,raw_ub[],COLUMN(AA$1)-COLUMN($A$1),FALSE))</f>
        <v>7.6430783164700955</v>
      </c>
      <c r="AA348" s="70">
        <f>IF(VLOOKUP($A348,raw_ub[],COLUMN(AB$1)-COLUMN($A$1),FALSE)=0, VLOOKUP($D348, regions_ub[], COLUMN(AB$1)-COLUMN($A$1), FALSE), VLOOKUP($A348,raw_ub[],COLUMN(AB$1)-COLUMN($A$1),FALSE))</f>
        <v>2.5870761940691596</v>
      </c>
      <c r="AB348" s="70">
        <f>IF(VLOOKUP($A348,raw_ub[],COLUMN(AC$1)-COLUMN($A$1),FALSE)=0, VLOOKUP($D348, regions_ub[], COLUMN(AC$1)-COLUMN($A$1), FALSE), VLOOKUP($A348,raw_ub[],COLUMN(AC$1)-COLUMN($A$1),FALSE))</f>
        <v>7.6585761940691599</v>
      </c>
      <c r="AC348" s="72">
        <f>IF(VLOOKUP($A348,raw_ub[],COLUMN(AD$1)-COLUMN($A$1),FALSE)=0, VLOOKUP($D348, regions_ub[], COLUMN(AD$1)-COLUMN($A$1), FALSE), VLOOKUP($A348,raw_ub[],COLUMN(AD$1)-COLUMN($A$1),FALSE))</f>
        <v>3.049434149999998E-2</v>
      </c>
      <c r="AD348" s="72">
        <f>IF(VLOOKUP($A348,raw_ub[],COLUMN(AE$1)-COLUMN($A$1),FALSE)=0, VLOOKUP($D348, regions_ub[], COLUMN(AE$1)-COLUMN($A$1), FALSE), VLOOKUP($A348,raw_ub[],COLUMN(AE$1)-COLUMN($A$1),FALSE))</f>
        <v>3.8261647311396583E-3</v>
      </c>
      <c r="AE348" s="72">
        <f>IF(VLOOKUP($A348,raw_ub[],COLUMN(AF$1)-COLUMN($A$1),FALSE)=0, VLOOKUP($D348, regions_ub[], COLUMN(AF$1)-COLUMN($A$1), FALSE), VLOOKUP($A348,raw_ub[],COLUMN(AF$1)-COLUMN($A$1),FALSE))</f>
        <v>1.7676249717784825E-3</v>
      </c>
      <c r="AF348" s="72">
        <f>IF(VLOOKUP($A348,raw_ub[],COLUMN(AG$1)-COLUMN($A$1),FALSE)=0, VLOOKUP($D348, regions_ub[], COLUMN(AG$1)-COLUMN($A$1), FALSE), VLOOKUP($A348,raw_ub[],COLUMN(AG$1)-COLUMN($A$1),FALSE))</f>
        <v>1.389727388479392E-3</v>
      </c>
      <c r="AG348" s="72">
        <f>IF(VLOOKUP($A348,raw_ub[],COLUMN(AH$1)-COLUMN($A$1),FALSE)=0, VLOOKUP($D348, regions_ub[], COLUMN(AH$1)-COLUMN($A$1), FALSE), VLOOKUP($A348,raw_ub[],COLUMN(AH$1)-COLUMN($A$1),FALSE))</f>
        <v>1.9325835498258436E-3</v>
      </c>
      <c r="AH348" s="72">
        <f>IF(VLOOKUP($A348,raw_ub[],COLUMN(AI$1)-COLUMN($A$1),FALSE)=0, VLOOKUP($D348, regions_ub[], COLUMN(AI$1)-COLUMN($A$1), FALSE), VLOOKUP($A348,raw_ub[],COLUMN(AI$1)-COLUMN($A$1),FALSE))</f>
        <v>2.2361929337791422E-3</v>
      </c>
      <c r="AI348" s="72">
        <f>IF(VLOOKUP($A348,raw_ub[],COLUMN(AJ$1)-COLUMN($A$1),FALSE)=0, VLOOKUP($D348, regions_ub[], COLUMN(AJ$1)-COLUMN($A$1), FALSE), VLOOKUP($A348,raw_ub[],COLUMN(AJ$1)-COLUMN($A$1),FALSE))</f>
        <v>2.4777430404005433E-3</v>
      </c>
      <c r="AJ348" s="72">
        <f>IF(VLOOKUP($A348,raw_ub[],COLUMN(AK$1)-COLUMN($A$1),FALSE)=0, VLOOKUP($D348, regions_ub[], COLUMN(AK$1)-COLUMN($A$1), FALSE), VLOOKUP($A348,raw_ub[],COLUMN(AK$1)-COLUMN($A$1),FALSE))</f>
        <v>3.1985958572355493E-3</v>
      </c>
      <c r="AK348" s="72">
        <f>IF(VLOOKUP($A348,raw_ub[],COLUMN(AL$1)-COLUMN($A$1),FALSE)=0, VLOOKUP($D348, regions_ub[], COLUMN(AL$1)-COLUMN($A$1), FALSE), VLOOKUP($A348,raw_ub[],COLUMN(AL$1)-COLUMN($A$1),FALSE))</f>
        <v>4.111629720260291E-3</v>
      </c>
      <c r="AL348" s="72">
        <f>IF(VLOOKUP($A348,raw_ub[],COLUMN(AM$1)-COLUMN($A$1),FALSE)=0, VLOOKUP($D348, regions_ub[], COLUMN(AM$1)-COLUMN($A$1), FALSE), VLOOKUP($A348,raw_ub[],COLUMN(AM$1)-COLUMN($A$1),FALSE))</f>
        <v>5.3088980370500334E-3</v>
      </c>
      <c r="AM348" s="72">
        <f>IF(VLOOKUP($A348,raw_ub[],COLUMN(AN$1)-COLUMN($A$1),FALSE)=0, VLOOKUP($D348, regions_ub[], COLUMN(AN$1)-COLUMN($A$1), FALSE), VLOOKUP($A348,raw_ub[],COLUMN(AN$1)-COLUMN($A$1),FALSE))</f>
        <v>6.9939926365390863E-3</v>
      </c>
      <c r="AN348" s="72">
        <f>IF(VLOOKUP($A348,raw_ub[],COLUMN(AO$1)-COLUMN($A$1),FALSE)=0, VLOOKUP($D348, regions_ub[], COLUMN(AO$1)-COLUMN($A$1), FALSE), VLOOKUP($A348,raw_ub[],COLUMN(AO$1)-COLUMN($A$1),FALSE))</f>
        <v>9.3546050362235643E-3</v>
      </c>
      <c r="AO348" s="72">
        <f>IF(VLOOKUP($A348,raw_ub[],COLUMN(AP$1)-COLUMN($A$1),FALSE)=0, VLOOKUP($D348, regions_ub[], COLUMN(AP$1)-COLUMN($A$1), FALSE), VLOOKUP($A348,raw_ub[],COLUMN(AP$1)-COLUMN($A$1),FALSE))</f>
        <v>1.3166942653531079E-2</v>
      </c>
      <c r="AP348" s="72">
        <f>IF(VLOOKUP($A348,raw_ub[],COLUMN(AQ$1)-COLUMN($A$1),FALSE)=0, VLOOKUP($D348, regions_ub[], COLUMN(AQ$1)-COLUMN($A$1), FALSE), VLOOKUP($A348,raw_ub[],COLUMN(AQ$1)-COLUMN($A$1),FALSE))</f>
        <v>2.0121992600801251E-2</v>
      </c>
      <c r="AQ348" s="72">
        <f>IF(VLOOKUP($A348,raw_ub[],COLUMN(AR$1)-COLUMN($A$1),FALSE)=0, VLOOKUP($D348, regions_ub[], COLUMN(AR$1)-COLUMN($A$1), FALSE), VLOOKUP($A348,raw_ub[],COLUMN(AR$1)-COLUMN($A$1),FALSE))</f>
        <v>3.2412171688959095E-2</v>
      </c>
      <c r="AR348" s="72">
        <f>IF(VLOOKUP($A348,raw_ub[],COLUMN(AS$1)-COLUMN($A$1),FALSE)=0, VLOOKUP($D348, regions_ub[], COLUMN(AS$1)-COLUMN($A$1), FALSE), VLOOKUP($A348,raw_ub[],COLUMN(AS$1)-COLUMN($A$1),FALSE))</f>
        <v>4.9511488481258158E-2</v>
      </c>
      <c r="AS348" s="72">
        <f>IF(VLOOKUP($A348,raw_ub[],COLUMN(AT$1)-COLUMN($A$1),FALSE)=0, VLOOKUP($D348, regions_ub[], COLUMN(AT$1)-COLUMN($A$1), FALSE), VLOOKUP($A348,raw_ub[],COLUMN(AT$1)-COLUMN($A$1),FALSE))</f>
        <v>7.2026864807722635E-2</v>
      </c>
      <c r="AT348" s="82">
        <f>IF(VLOOKUP($A348,raw_ub[],COLUMN(AT$1),FALSE)=0, VLOOKUP($D348, regions_ub[], COLUMN(AT$1), FALSE), VLOOKUP($A348,raw_ub[],COLUMN(AT$1),FALSE))</f>
        <v>9.9714300462043562E-2</v>
      </c>
      <c r="AU348" s="82">
        <f>IF(VLOOKUP($A348,raw_ub[],COLUMN(AU$1),FALSE)=0, VLOOKUP($D348, regions_ub[], COLUMN(AU$1), FALSE), VLOOKUP($A348,raw_ub[],COLUMN(AU$1),FALSE))</f>
        <v>0.12971919476502042</v>
      </c>
      <c r="AV348" s="82">
        <f>IF(VLOOKUP($A348,raw_ub[],COLUMN(AV$1),FALSE)=0, VLOOKUP($D348, regions_ub[], COLUMN(AV$1), FALSE), VLOOKUP($A348,raw_ub[],COLUMN(AV$1),FALSE))</f>
        <v>0.1573983054368441</v>
      </c>
      <c r="AW348" s="82">
        <f>IF(VLOOKUP($A348,raw_ub[],COLUMN(AW$1),FALSE)=0, VLOOKUP($D348, regions_ub[], COLUMN(AW$1), FALSE), VLOOKUP($A348,raw_ub[],COLUMN(AW$1),FALSE))</f>
        <v>0.17827446458116308</v>
      </c>
      <c r="AX348" s="82">
        <f>IF(VLOOKUP($A348,raw_ub[],COLUMN(AX$1),FALSE)=0, VLOOKUP($D348, regions_ub[], COLUMN(AX$1), FALSE), VLOOKUP($A348,raw_ub[],COLUMN(AX$1),FALSE))</f>
        <v>69.811350000000004</v>
      </c>
      <c r="AY348" t="str">
        <f t="shared" si="12"/>
        <v>Yes</v>
      </c>
    </row>
    <row r="349" spans="1:51" x14ac:dyDescent="0.25">
      <c r="A349" s="55" t="s">
        <v>366</v>
      </c>
      <c r="B349" s="56" t="s">
        <v>367</v>
      </c>
      <c r="C349" s="56">
        <v>454</v>
      </c>
      <c r="D349" s="56" t="s">
        <v>207</v>
      </c>
      <c r="E349" s="56" t="s">
        <v>255</v>
      </c>
      <c r="F349" s="56" t="s">
        <v>211</v>
      </c>
      <c r="G349" s="56" t="s">
        <v>198</v>
      </c>
      <c r="H349" s="74"/>
      <c r="I349" s="74"/>
      <c r="J349" s="67">
        <f>IF(VLOOKUP($A349,raw_ub[],COLUMN(J$1),FALSE)=0, VLOOKUP($D349, regions_ub[], COLUMN(J$1), FALSE), VLOOKUP($A349,raw_ub[],COLUMN(J$1),FALSE))</f>
        <v>0.95970000000000011</v>
      </c>
      <c r="K349" s="77">
        <f>VLOOKUP($A349, raw_ub[], 11, FALSE)</f>
        <v>0</v>
      </c>
      <c r="L349" s="77">
        <f>VLOOKUP($A349, raw_ub[], 12, FALSE)</f>
        <v>0.94500000000000006</v>
      </c>
      <c r="M349" s="77">
        <f>IF(VLOOKUP($A349,raw_ub[],COLUMN(M$1),FALSE)=0, VLOOKUP($D349, regions_ub[], COLUMN(M$1), FALSE), VLOOKUP($A349,raw_ub[],COLUMN(M$1),FALSE))</f>
        <v>6.3299999999999995E-2</v>
      </c>
      <c r="N349" s="68">
        <f>IF(VLOOKUP($A349,raw_ub[],COLUMN(N$1),FALSE)=0, VLOOKUP($D349, regions_ub[], COLUMN(N$1), FALSE), VLOOKUP($A349,raw_ub[],COLUMN(N$1),FALSE))</f>
        <v>0.39960000000000001</v>
      </c>
      <c r="O349" s="67">
        <f>IF(VLOOKUP($A349,raw_ub[],COLUMN(O$1),FALSE)=0, VLOOKUP($D349, regions_ub[], COLUMN(O$1), FALSE), VLOOKUP($A349,raw_ub[],COLUMN(O$1),FALSE))</f>
        <v>0.74399999999999999</v>
      </c>
      <c r="P349" s="68">
        <f>IF(VLOOKUP($A349,raw_ub[],COLUMN(P$1),FALSE)=0, VLOOKUP($D349, regions_ub[], COLUMN(P$1), FALSE), VLOOKUP($A349,raw_ub[],COLUMN(P$1),FALSE))</f>
        <v>0.13300000000000001</v>
      </c>
      <c r="Q349" s="70">
        <f>IF(VLOOKUP($A349,raw_ub[],COLUMN(Q$1),FALSE)=0, VLOOKUP($D349, regions_ub[], COLUMN(Q$1), FALSE), VLOOKUP($A349,raw_ub[],COLUMN(Q$1),FALSE))</f>
        <v>6.8171402756508401</v>
      </c>
      <c r="R349" s="70">
        <f>IF(VLOOKUP($A349,raw_ub[],COLUMN(R$1),FALSE)=0, VLOOKUP($D349, regions_ub[], COLUMN(R$1), FALSE), VLOOKUP($A349,raw_ub[],COLUMN(R$1),FALSE))</f>
        <v>115.80294027565085</v>
      </c>
      <c r="S349" s="70">
        <f>IF(VLOOKUP($A349,raw_ub[],COLUMN(S$1),FALSE)=0, VLOOKUP($D349, regions_ub[], COLUMN(S$1), FALSE), VLOOKUP($A349,raw_ub[],COLUMN(S$1),FALSE))</f>
        <v>146.93615861454049</v>
      </c>
      <c r="T349" s="70">
        <f>IF(VLOOKUP($A349,raw_ub[],COLUMN(U$1)-COLUMN($A$1),FALSE)=0, VLOOKUP($D349, regions_ub[], COLUMN(U$1)-COLUMN($A$1), FALSE), VLOOKUP($A349,raw_ub[],COLUMN(U$1)-COLUMN($A$1),FALSE))</f>
        <v>147.93192189075626</v>
      </c>
      <c r="U349" s="70">
        <f>IF(VLOOKUP($A349,raw_ub[],COLUMN(V$1)-COLUMN($A$1),FALSE)=0, VLOOKUP($D349, regions_ub[], COLUMN(V$1)-COLUMN($A$1), FALSE), VLOOKUP($A349,raw_ub[],COLUMN(V$1)-COLUMN($A$1),FALSE))</f>
        <v>147.47468844207225</v>
      </c>
      <c r="V349" s="70">
        <f>IF(VLOOKUP($A349,raw_ub[],COLUMN(W$1)-COLUMN($A$1),FALSE)=0, VLOOKUP($D349, regions_ub[], COLUMN(W$1)-COLUMN($A$1), FALSE), VLOOKUP($A349,raw_ub[],COLUMN(W$1)-COLUMN($A$1),FALSE))</f>
        <v>5.1555657434307625</v>
      </c>
      <c r="W349" s="70">
        <f>IF(VLOOKUP($A349,raw_ub[],COLUMN(X$1)-COLUMN($A$1),FALSE)=0, VLOOKUP($D349, regions_ub[], COLUMN(X$1)-COLUMN($A$1), FALSE), VLOOKUP($A349,raw_ub[],COLUMN(X$1)-COLUMN($A$1),FALSE))</f>
        <v>10.227065743430764</v>
      </c>
      <c r="X349" s="70">
        <f>IF(VLOOKUP($A349,raw_ub[],COLUMN(Y$1)-COLUMN($A$1),FALSE)=0, VLOOKUP($D349, regions_ub[], COLUMN(Y$1)-COLUMN($A$1), FALSE), VLOOKUP($A349,raw_ub[],COLUMN(Y$1)-COLUMN($A$1),FALSE))</f>
        <v>5.1451757205135245</v>
      </c>
      <c r="Y349" s="70">
        <f>IF(VLOOKUP($A349,raw_ub[],COLUMN(Z$1)-COLUMN($A$1),FALSE)=0, VLOOKUP($D349, regions_ub[], COLUMN(Z$1)-COLUMN($A$1), FALSE), VLOOKUP($A349,raw_ub[],COLUMN(Z$1)-COLUMN($A$1),FALSE))</f>
        <v>10.216675720513525</v>
      </c>
      <c r="Z349" s="70">
        <f>IF(VLOOKUP($A349,raw_ub[],COLUMN(AA$1)-COLUMN($A$1),FALSE)=0, VLOOKUP($D349, regions_ub[], COLUMN(AA$1)-COLUMN($A$1), FALSE), VLOOKUP($A349,raw_ub[],COLUMN(AA$1)-COLUMN($A$1),FALSE))</f>
        <v>10.211160333291005</v>
      </c>
      <c r="AA349" s="70">
        <f>IF(VLOOKUP($A349,raw_ub[],COLUMN(AB$1)-COLUMN($A$1),FALSE)=0, VLOOKUP($D349, regions_ub[], COLUMN(AB$1)-COLUMN($A$1), FALSE), VLOOKUP($A349,raw_ub[],COLUMN(AB$1)-COLUMN($A$1),FALSE))</f>
        <v>5.1579634410270483</v>
      </c>
      <c r="AB349" s="70">
        <f>IF(VLOOKUP($A349,raw_ub[],COLUMN(AC$1)-COLUMN($A$1),FALSE)=0, VLOOKUP($D349, regions_ub[], COLUMN(AC$1)-COLUMN($A$1), FALSE), VLOOKUP($A349,raw_ub[],COLUMN(AC$1)-COLUMN($A$1),FALSE))</f>
        <v>10.229463441027049</v>
      </c>
      <c r="AC349" s="72">
        <f>IF(VLOOKUP($A349,raw_ub[],COLUMN(AD$1)-COLUMN($A$1),FALSE)=0, VLOOKUP($D349, regions_ub[], COLUMN(AD$1)-COLUMN($A$1), FALSE), VLOOKUP($A349,raw_ub[],COLUMN(AD$1)-COLUMN($A$1),FALSE))</f>
        <v>4.3402243500000069E-2</v>
      </c>
      <c r="AD349" s="72">
        <f>IF(VLOOKUP($A349,raw_ub[],COLUMN(AE$1)-COLUMN($A$1),FALSE)=0, VLOOKUP($D349, regions_ub[], COLUMN(AE$1)-COLUMN($A$1), FALSE), VLOOKUP($A349,raw_ub[],COLUMN(AE$1)-COLUMN($A$1),FALSE))</f>
        <v>3.8655109624218358E-3</v>
      </c>
      <c r="AE349" s="72">
        <f>IF(VLOOKUP($A349,raw_ub[],COLUMN(AF$1)-COLUMN($A$1),FALSE)=0, VLOOKUP($D349, regions_ub[], COLUMN(AF$1)-COLUMN($A$1), FALSE), VLOOKUP($A349,raw_ub[],COLUMN(AF$1)-COLUMN($A$1),FALSE))</f>
        <v>1.3093136547176389E-3</v>
      </c>
      <c r="AF349" s="72">
        <f>IF(VLOOKUP($A349,raw_ub[],COLUMN(AG$1)-COLUMN($A$1),FALSE)=0, VLOOKUP($D349, regions_ub[], COLUMN(AG$1)-COLUMN($A$1), FALSE), VLOOKUP($A349,raw_ub[],COLUMN(AG$1)-COLUMN($A$1),FALSE))</f>
        <v>1.0212689945835432E-3</v>
      </c>
      <c r="AG349" s="72">
        <f>IF(VLOOKUP($A349,raw_ub[],COLUMN(AH$1)-COLUMN($A$1),FALSE)=0, VLOOKUP($D349, regions_ub[], COLUMN(AH$1)-COLUMN($A$1), FALSE), VLOOKUP($A349,raw_ub[],COLUMN(AH$1)-COLUMN($A$1),FALSE))</f>
        <v>1.6793574553365677E-3</v>
      </c>
      <c r="AH349" s="72">
        <f>IF(VLOOKUP($A349,raw_ub[],COLUMN(AI$1)-COLUMN($A$1),FALSE)=0, VLOOKUP($D349, regions_ub[], COLUMN(AI$1)-COLUMN($A$1), FALSE), VLOOKUP($A349,raw_ub[],COLUMN(AI$1)-COLUMN($A$1),FALSE))</f>
        <v>2.6538985699500897E-3</v>
      </c>
      <c r="AI349" s="72">
        <f>IF(VLOOKUP($A349,raw_ub[],COLUMN(AJ$1)-COLUMN($A$1),FALSE)=0, VLOOKUP($D349, regions_ub[], COLUMN(AJ$1)-COLUMN($A$1), FALSE), VLOOKUP($A349,raw_ub[],COLUMN(AJ$1)-COLUMN($A$1),FALSE))</f>
        <v>3.6450112415568879E-3</v>
      </c>
      <c r="AJ349" s="72">
        <f>IF(VLOOKUP($A349,raw_ub[],COLUMN(AK$1)-COLUMN($A$1),FALSE)=0, VLOOKUP($D349, regions_ub[], COLUMN(AK$1)-COLUMN($A$1), FALSE), VLOOKUP($A349,raw_ub[],COLUMN(AK$1)-COLUMN($A$1),FALSE))</f>
        <v>4.7524783796029108E-3</v>
      </c>
      <c r="AK349" s="72">
        <f>IF(VLOOKUP($A349,raw_ub[],COLUMN(AL$1)-COLUMN($A$1),FALSE)=0, VLOOKUP($D349, regions_ub[], COLUMN(AL$1)-COLUMN($A$1), FALSE), VLOOKUP($A349,raw_ub[],COLUMN(AL$1)-COLUMN($A$1),FALSE))</f>
        <v>6.3401261950926787E-3</v>
      </c>
      <c r="AL349" s="72">
        <f>IF(VLOOKUP($A349,raw_ub[],COLUMN(AM$1)-COLUMN($A$1),FALSE)=0, VLOOKUP($D349, regions_ub[], COLUMN(AM$1)-COLUMN($A$1), FALSE), VLOOKUP($A349,raw_ub[],COLUMN(AM$1)-COLUMN($A$1),FALSE))</f>
        <v>7.8729405285933706E-3</v>
      </c>
      <c r="AM349" s="72">
        <f>IF(VLOOKUP($A349,raw_ub[],COLUMN(AN$1)-COLUMN($A$1),FALSE)=0, VLOOKUP($D349, regions_ub[], COLUMN(AN$1)-COLUMN($A$1), FALSE), VLOOKUP($A349,raw_ub[],COLUMN(AN$1)-COLUMN($A$1),FALSE))</f>
        <v>9.6962730321831971E-3</v>
      </c>
      <c r="AN349" s="72">
        <f>IF(VLOOKUP($A349,raw_ub[],COLUMN(AO$1)-COLUMN($A$1),FALSE)=0, VLOOKUP($D349, regions_ub[], COLUMN(AO$1)-COLUMN($A$1), FALSE), VLOOKUP($A349,raw_ub[],COLUMN(AO$1)-COLUMN($A$1),FALSE))</f>
        <v>1.2705744341568693E-2</v>
      </c>
      <c r="AO349" s="72">
        <f>IF(VLOOKUP($A349,raw_ub[],COLUMN(AP$1)-COLUMN($A$1),FALSE)=0, VLOOKUP($D349, regions_ub[], COLUMN(AP$1)-COLUMN($A$1), FALSE), VLOOKUP($A349,raw_ub[],COLUMN(AP$1)-COLUMN($A$1),FALSE))</f>
        <v>1.6233762940212792E-2</v>
      </c>
      <c r="AP349" s="72">
        <f>IF(VLOOKUP($A349,raw_ub[],COLUMN(AQ$1)-COLUMN($A$1),FALSE)=0, VLOOKUP($D349, regions_ub[], COLUMN(AQ$1)-COLUMN($A$1), FALSE), VLOOKUP($A349,raw_ub[],COLUMN(AQ$1)-COLUMN($A$1),FALSE))</f>
        <v>2.2889751512680773E-2</v>
      </c>
      <c r="AQ349" s="72">
        <f>IF(VLOOKUP($A349,raw_ub[],COLUMN(AR$1)-COLUMN($A$1),FALSE)=0, VLOOKUP($D349, regions_ub[], COLUMN(AR$1)-COLUMN($A$1), FALSE), VLOOKUP($A349,raw_ub[],COLUMN(AR$1)-COLUMN($A$1),FALSE))</f>
        <v>3.360905759304314E-2</v>
      </c>
      <c r="AR349" s="72">
        <f>IF(VLOOKUP($A349,raw_ub[],COLUMN(AS$1)-COLUMN($A$1),FALSE)=0, VLOOKUP($D349, regions_ub[], COLUMN(AS$1)-COLUMN($A$1), FALSE), VLOOKUP($A349,raw_ub[],COLUMN(AS$1)-COLUMN($A$1),FALSE))</f>
        <v>5.0168379027146298E-2</v>
      </c>
      <c r="AS349" s="72">
        <f>IF(VLOOKUP($A349,raw_ub[],COLUMN(AT$1)-COLUMN($A$1),FALSE)=0, VLOOKUP($D349, regions_ub[], COLUMN(AT$1)-COLUMN($A$1), FALSE), VLOOKUP($A349,raw_ub[],COLUMN(AT$1)-COLUMN($A$1),FALSE))</f>
        <v>7.4587495320058317E-2</v>
      </c>
      <c r="AT349" s="82">
        <f>IF(VLOOKUP($A349,raw_ub[],COLUMN(AT$1),FALSE)=0, VLOOKUP($D349, regions_ub[], COLUMN(AT$1), FALSE), VLOOKUP($A349,raw_ub[],COLUMN(AT$1),FALSE))</f>
        <v>0.11036182619908703</v>
      </c>
      <c r="AU349" s="82">
        <f>IF(VLOOKUP($A349,raw_ub[],COLUMN(AU$1),FALSE)=0, VLOOKUP($D349, regions_ub[], COLUMN(AU$1), FALSE), VLOOKUP($A349,raw_ub[],COLUMN(AU$1),FALSE))</f>
        <v>0.15195296143927808</v>
      </c>
      <c r="AV349" s="82">
        <f>IF(VLOOKUP($A349,raw_ub[],COLUMN(AV$1),FALSE)=0, VLOOKUP($D349, regions_ub[], COLUMN(AV$1), FALSE), VLOOKUP($A349,raw_ub[],COLUMN(AV$1),FALSE))</f>
        <v>0.18606155347322251</v>
      </c>
      <c r="AW349" s="82">
        <f>IF(VLOOKUP($A349,raw_ub[],COLUMN(AW$1),FALSE)=0, VLOOKUP($D349, regions_ub[], COLUMN(AW$1), FALSE), VLOOKUP($A349,raw_ub[],COLUMN(AW$1),FALSE))</f>
        <v>0.19798151720308915</v>
      </c>
      <c r="AX349" s="82">
        <f>IF(VLOOKUP($A349,raw_ub[],COLUMN(AX$1),FALSE)=0, VLOOKUP($D349, regions_ub[], COLUMN(AX$1), FALSE), VLOOKUP($A349,raw_ub[],COLUMN(AX$1),FALSE))</f>
        <v>66.6036</v>
      </c>
      <c r="AY349" t="str">
        <f t="shared" si="12"/>
        <v>Yes</v>
      </c>
    </row>
    <row r="350" spans="1:51" x14ac:dyDescent="0.25">
      <c r="A350" s="53" t="s">
        <v>368</v>
      </c>
      <c r="B350" s="54" t="s">
        <v>369</v>
      </c>
      <c r="C350" s="54">
        <v>458</v>
      </c>
      <c r="D350" s="54" t="s">
        <v>260</v>
      </c>
      <c r="E350" s="54" t="s">
        <v>261</v>
      </c>
      <c r="F350" s="54" t="s">
        <v>262</v>
      </c>
      <c r="G350" s="54" t="s">
        <v>204</v>
      </c>
      <c r="H350" s="73"/>
      <c r="I350" s="73"/>
      <c r="J350" s="67">
        <f>IF(VLOOKUP($A350,raw_ub[],COLUMN(J$1),FALSE)=0, VLOOKUP($D350, regions_ub[], COLUMN(J$1), FALSE), VLOOKUP($A350,raw_ub[],COLUMN(J$1),FALSE))</f>
        <v>0.999</v>
      </c>
      <c r="K350" s="77">
        <f>VLOOKUP($A350, raw_ub[], 11, FALSE)</f>
        <v>0.999</v>
      </c>
      <c r="L350" s="77">
        <f>VLOOKUP($A350, raw_ub[], 12, FALSE)</f>
        <v>0.999</v>
      </c>
      <c r="M350" s="77">
        <f>IF(VLOOKUP($A350,raw_ub[],COLUMN(M$1),FALSE)=0, VLOOKUP($D350, regions_ub[], COLUMN(M$1), FALSE), VLOOKUP($A350,raw_ub[],COLUMN(M$1),FALSE))</f>
        <v>1.38E-2</v>
      </c>
      <c r="N350" s="68">
        <f>IF(VLOOKUP($A350,raw_ub[],COLUMN(N$1),FALSE)=0, VLOOKUP($D350, regions_ub[], COLUMN(N$1), FALSE), VLOOKUP($A350,raw_ub[],COLUMN(N$1),FALSE))</f>
        <v>0.47729999999999995</v>
      </c>
      <c r="O350" s="67">
        <f>IF(VLOOKUP($A350,raw_ub[],COLUMN(O$1),FALSE)=0, VLOOKUP($D350, regions_ub[], COLUMN(O$1), FALSE), VLOOKUP($A350,raw_ub[],COLUMN(O$1),FALSE))</f>
        <v>0.9</v>
      </c>
      <c r="P350" s="68">
        <f>IF(VLOOKUP($A350,raw_ub[],COLUMN(P$1),FALSE)=0, VLOOKUP($D350, regions_ub[], COLUMN(P$1), FALSE), VLOOKUP($A350,raw_ub[],COLUMN(P$1),FALSE))</f>
        <v>0.3</v>
      </c>
      <c r="Q350" s="70">
        <f>IF(VLOOKUP($A350,raw_ub[],COLUMN(Q$1),FALSE)=0, VLOOKUP($D350, regions_ub[], COLUMN(Q$1), FALSE), VLOOKUP($A350,raw_ub[],COLUMN(Q$1),FALSE))</f>
        <v>31.678815232050802</v>
      </c>
      <c r="R350" s="70">
        <f>IF(VLOOKUP($A350,raw_ub[],COLUMN(R$1),FALSE)=0, VLOOKUP($D350, regions_ub[], COLUMN(R$1), FALSE), VLOOKUP($A350,raw_ub[],COLUMN(R$1),FALSE))</f>
        <v>140.66461523205083</v>
      </c>
      <c r="S350" s="70">
        <f>IF(VLOOKUP($A350,raw_ub[],COLUMN(S$1),FALSE)=0, VLOOKUP($D350, regions_ub[], COLUMN(S$1), FALSE), VLOOKUP($A350,raw_ub[],COLUMN(S$1),FALSE))</f>
        <v>244.25556723274661</v>
      </c>
      <c r="T350" s="70">
        <f>IF(VLOOKUP($A350,raw_ub[],COLUMN(U$1)-COLUMN($A$1),FALSE)=0, VLOOKUP($D350, regions_ub[], COLUMN(U$1)-COLUMN($A$1), FALSE), VLOOKUP($A350,raw_ub[],COLUMN(U$1)-COLUMN($A$1),FALSE))</f>
        <v>282.96304839899801</v>
      </c>
      <c r="U350" s="70">
        <f>IF(VLOOKUP($A350,raw_ub[],COLUMN(V$1)-COLUMN($A$1),FALSE)=0, VLOOKUP($D350, regions_ub[], COLUMN(V$1)-COLUMN($A$1), FALSE), VLOOKUP($A350,raw_ub[],COLUMN(V$1)-COLUMN($A$1),FALSE))</f>
        <v>265.18939121937603</v>
      </c>
      <c r="V350" s="70">
        <f>IF(VLOOKUP($A350,raw_ub[],COLUMN(W$1)-COLUMN($A$1),FALSE)=0, VLOOKUP($D350, regions_ub[], COLUMN(W$1)-COLUMN($A$1), FALSE), VLOOKUP($A350,raw_ub[],COLUMN(W$1)-COLUMN($A$1),FALSE))</f>
        <v>11.7210295627896</v>
      </c>
      <c r="W350" s="70">
        <f>IF(VLOOKUP($A350,raw_ub[],COLUMN(X$1)-COLUMN($A$1),FALSE)=0, VLOOKUP($D350, regions_ub[], COLUMN(X$1)-COLUMN($A$1), FALSE), VLOOKUP($A350,raw_ub[],COLUMN(X$1)-COLUMN($A$1),FALSE))</f>
        <v>12.3825295627896</v>
      </c>
      <c r="X350" s="70">
        <f>IF(VLOOKUP($A350,raw_ub[],COLUMN(Y$1)-COLUMN($A$1),FALSE)=0, VLOOKUP($D350, regions_ub[], COLUMN(Y$1)-COLUMN($A$1), FALSE), VLOOKUP($A350,raw_ub[],COLUMN(Y$1)-COLUMN($A$1),FALSE))</f>
        <v>11.659577413952881</v>
      </c>
      <c r="Y350" s="70">
        <f>IF(VLOOKUP($A350,raw_ub[],COLUMN(Z$1)-COLUMN($A$1),FALSE)=0, VLOOKUP($D350, regions_ub[], COLUMN(Z$1)-COLUMN($A$1), FALSE), VLOOKUP($A350,raw_ub[],COLUMN(Z$1)-COLUMN($A$1),FALSE))</f>
        <v>12.321077413952882</v>
      </c>
      <c r="Z350" s="70">
        <f>IF(VLOOKUP($A350,raw_ub[],COLUMN(AA$1)-COLUMN($A$1),FALSE)=0, VLOOKUP($D350, regions_ub[], COLUMN(AA$1)-COLUMN($A$1), FALSE), VLOOKUP($A350,raw_ub[],COLUMN(AA$1)-COLUMN($A$1),FALSE))</f>
        <v>12.287221943452066</v>
      </c>
      <c r="AA350" s="70">
        <f>IF(VLOOKUP($A350,raw_ub[],COLUMN(AB$1)-COLUMN($A$1),FALSE)=0, VLOOKUP($D350, regions_ub[], COLUMN(AB$1)-COLUMN($A$1), FALSE), VLOOKUP($A350,raw_ub[],COLUMN(AB$1)-COLUMN($A$1),FALSE))</f>
        <v>11.735210827905766</v>
      </c>
      <c r="AB350" s="70">
        <f>IF(VLOOKUP($A350,raw_ub[],COLUMN(AC$1)-COLUMN($A$1),FALSE)=0, VLOOKUP($D350, regions_ub[], COLUMN(AC$1)-COLUMN($A$1), FALSE), VLOOKUP($A350,raw_ub[],COLUMN(AC$1)-COLUMN($A$1),FALSE))</f>
        <v>12.396710827905766</v>
      </c>
      <c r="AC350" s="72">
        <f>IF(VLOOKUP($A350,raw_ub[],COLUMN(AD$1)-COLUMN($A$1),FALSE)=0, VLOOKUP($D350, regions_ub[], COLUMN(AD$1)-COLUMN($A$1), FALSE), VLOOKUP($A350,raw_ub[],COLUMN(AD$1)-COLUMN($A$1),FALSE))</f>
        <v>6.1928685000000629E-3</v>
      </c>
      <c r="AD350" s="72">
        <f>IF(VLOOKUP($A350,raw_ub[],COLUMN(AE$1)-COLUMN($A$1),FALSE)=0, VLOOKUP($D350, regions_ub[], COLUMN(AE$1)-COLUMN($A$1), FALSE), VLOOKUP($A350,raw_ub[],COLUMN(AE$1)-COLUMN($A$1),FALSE))</f>
        <v>2.8255198311988376E-4</v>
      </c>
      <c r="AE350" s="72">
        <f>IF(VLOOKUP($A350,raw_ub[],COLUMN(AF$1)-COLUMN($A$1),FALSE)=0, VLOOKUP($D350, regions_ub[], COLUMN(AF$1)-COLUMN($A$1), FALSE), VLOOKUP($A350,raw_ub[],COLUMN(AF$1)-COLUMN($A$1),FALSE))</f>
        <v>1.8270891756465131E-4</v>
      </c>
      <c r="AF350" s="72">
        <f>IF(VLOOKUP($A350,raw_ub[],COLUMN(AG$1)-COLUMN($A$1),FALSE)=0, VLOOKUP($D350, regions_ub[], COLUMN(AG$1)-COLUMN($A$1), FALSE), VLOOKUP($A350,raw_ub[],COLUMN(AG$1)-COLUMN($A$1),FALSE))</f>
        <v>2.5361460706640635E-4</v>
      </c>
      <c r="AG350" s="72">
        <f>IF(VLOOKUP($A350,raw_ub[],COLUMN(AH$1)-COLUMN($A$1),FALSE)=0, VLOOKUP($D350, regions_ub[], COLUMN(AH$1)-COLUMN($A$1), FALSE), VLOOKUP($A350,raw_ub[],COLUMN(AH$1)-COLUMN($A$1),FALSE))</f>
        <v>5.9285380024404492E-4</v>
      </c>
      <c r="AH350" s="72">
        <f>IF(VLOOKUP($A350,raw_ub[],COLUMN(AI$1)-COLUMN($A$1),FALSE)=0, VLOOKUP($D350, regions_ub[], COLUMN(AI$1)-COLUMN($A$1), FALSE), VLOOKUP($A350,raw_ub[],COLUMN(AI$1)-COLUMN($A$1),FALSE))</f>
        <v>6.2162983826625237E-4</v>
      </c>
      <c r="AI350" s="72">
        <f>IF(VLOOKUP($A350,raw_ub[],COLUMN(AJ$1)-COLUMN($A$1),FALSE)=0, VLOOKUP($D350, regions_ub[], COLUMN(AJ$1)-COLUMN($A$1), FALSE), VLOOKUP($A350,raw_ub[],COLUMN(AJ$1)-COLUMN($A$1),FALSE))</f>
        <v>6.5354797364877704E-4</v>
      </c>
      <c r="AJ350" s="72">
        <f>IF(VLOOKUP($A350,raw_ub[],COLUMN(AK$1)-COLUMN($A$1),FALSE)=0, VLOOKUP($D350, regions_ub[], COLUMN(AK$1)-COLUMN($A$1), FALSE), VLOOKUP($A350,raw_ub[],COLUMN(AK$1)-COLUMN($A$1),FALSE))</f>
        <v>1.1300602584569E-3</v>
      </c>
      <c r="AK350" s="72">
        <f>IF(VLOOKUP($A350,raw_ub[],COLUMN(AL$1)-COLUMN($A$1),FALSE)=0, VLOOKUP($D350, regions_ub[], COLUMN(AL$1)-COLUMN($A$1), FALSE), VLOOKUP($A350,raw_ub[],COLUMN(AL$1)-COLUMN($A$1),FALSE))</f>
        <v>1.6824584280492076E-3</v>
      </c>
      <c r="AL350" s="72">
        <f>IF(VLOOKUP($A350,raw_ub[],COLUMN(AM$1)-COLUMN($A$1),FALSE)=0, VLOOKUP($D350, regions_ub[], COLUMN(AM$1)-COLUMN($A$1), FALSE), VLOOKUP($A350,raw_ub[],COLUMN(AM$1)-COLUMN($A$1),FALSE))</f>
        <v>2.499329511011214E-3</v>
      </c>
      <c r="AM350" s="72">
        <f>IF(VLOOKUP($A350,raw_ub[],COLUMN(AN$1)-COLUMN($A$1),FALSE)=0, VLOOKUP($D350, regions_ub[], COLUMN(AN$1)-COLUMN($A$1), FALSE), VLOOKUP($A350,raw_ub[],COLUMN(AN$1)-COLUMN($A$1),FALSE))</f>
        <v>4.3646496126482888E-3</v>
      </c>
      <c r="AN350" s="72">
        <f>IF(VLOOKUP($A350,raw_ub[],COLUMN(AO$1)-COLUMN($A$1),FALSE)=0, VLOOKUP($D350, regions_ub[], COLUMN(AO$1)-COLUMN($A$1), FALSE), VLOOKUP($A350,raw_ub[],COLUMN(AO$1)-COLUMN($A$1),FALSE))</f>
        <v>6.6162968329346542E-3</v>
      </c>
      <c r="AO350" s="72">
        <f>IF(VLOOKUP($A350,raw_ub[],COLUMN(AP$1)-COLUMN($A$1),FALSE)=0, VLOOKUP($D350, regions_ub[], COLUMN(AP$1)-COLUMN($A$1), FALSE), VLOOKUP($A350,raw_ub[],COLUMN(AP$1)-COLUMN($A$1),FALSE))</f>
        <v>9.629126629913453E-3</v>
      </c>
      <c r="AP350" s="72">
        <f>IF(VLOOKUP($A350,raw_ub[],COLUMN(AQ$1)-COLUMN($A$1),FALSE)=0, VLOOKUP($D350, regions_ub[], COLUMN(AQ$1)-COLUMN($A$1), FALSE), VLOOKUP($A350,raw_ub[],COLUMN(AQ$1)-COLUMN($A$1),FALSE))</f>
        <v>1.3258131990259074E-2</v>
      </c>
      <c r="AQ350" s="72">
        <f>IF(VLOOKUP($A350,raw_ub[],COLUMN(AR$1)-COLUMN($A$1),FALSE)=0, VLOOKUP($D350, regions_ub[], COLUMN(AR$1)-COLUMN($A$1), FALSE), VLOOKUP($A350,raw_ub[],COLUMN(AR$1)-COLUMN($A$1),FALSE))</f>
        <v>2.1290236232091132E-2</v>
      </c>
      <c r="AR350" s="72">
        <f>IF(VLOOKUP($A350,raw_ub[],COLUMN(AS$1)-COLUMN($A$1),FALSE)=0, VLOOKUP($D350, regions_ub[], COLUMN(AS$1)-COLUMN($A$1), FALSE), VLOOKUP($A350,raw_ub[],COLUMN(AS$1)-COLUMN($A$1),FALSE))</f>
        <v>3.5775817548198766E-2</v>
      </c>
      <c r="AS350" s="72">
        <f>IF(VLOOKUP($A350,raw_ub[],COLUMN(AT$1)-COLUMN($A$1),FALSE)=0, VLOOKUP($D350, regions_ub[], COLUMN(AT$1)-COLUMN($A$1), FALSE), VLOOKUP($A350,raw_ub[],COLUMN(AT$1)-COLUMN($A$1),FALSE))</f>
        <v>5.0794611341621498E-2</v>
      </c>
      <c r="AT350" s="82">
        <f>IF(VLOOKUP($A350,raw_ub[],COLUMN(AT$1),FALSE)=0, VLOOKUP($D350, regions_ub[], COLUMN(AT$1), FALSE), VLOOKUP($A350,raw_ub[],COLUMN(AT$1),FALSE))</f>
        <v>7.3858749817296052E-2</v>
      </c>
      <c r="AU350" s="82">
        <f>IF(VLOOKUP($A350,raw_ub[],COLUMN(AU$1),FALSE)=0, VLOOKUP($D350, regions_ub[], COLUMN(AU$1), FALSE), VLOOKUP($A350,raw_ub[],COLUMN(AU$1),FALSE))</f>
        <v>0.10085891481969204</v>
      </c>
      <c r="AV350" s="82">
        <f>IF(VLOOKUP($A350,raw_ub[],COLUMN(AV$1),FALSE)=0, VLOOKUP($D350, regions_ub[], COLUMN(AV$1), FALSE), VLOOKUP($A350,raw_ub[],COLUMN(AV$1),FALSE))</f>
        <v>0.12749442100126798</v>
      </c>
      <c r="AW350" s="82">
        <f>IF(VLOOKUP($A350,raw_ub[],COLUMN(AW$1),FALSE)=0, VLOOKUP($D350, regions_ub[], COLUMN(AW$1), FALSE), VLOOKUP($A350,raw_ub[],COLUMN(AW$1),FALSE))</f>
        <v>0.14824547873903759</v>
      </c>
      <c r="AX350" s="82">
        <f>IF(VLOOKUP($A350,raw_ub[],COLUMN(AX$1),FALSE)=0, VLOOKUP($D350, regions_ub[], COLUMN(AX$1), FALSE), VLOOKUP($A350,raw_ub[],COLUMN(AX$1),FALSE))</f>
        <v>79.723350000000011</v>
      </c>
      <c r="AY350" t="str">
        <f t="shared" si="12"/>
        <v>No</v>
      </c>
    </row>
    <row r="351" spans="1:51" x14ac:dyDescent="0.25">
      <c r="A351" s="55" t="s">
        <v>370</v>
      </c>
      <c r="B351" s="56" t="s">
        <v>371</v>
      </c>
      <c r="C351" s="56">
        <v>462</v>
      </c>
      <c r="D351" s="56" t="s">
        <v>225</v>
      </c>
      <c r="E351" s="56" t="s">
        <v>261</v>
      </c>
      <c r="F351" s="56" t="s">
        <v>262</v>
      </c>
      <c r="G351" s="56" t="s">
        <v>204</v>
      </c>
      <c r="H351" s="74"/>
      <c r="I351" s="74"/>
      <c r="J351" s="67">
        <f>IF(VLOOKUP($A351,raw_ub[],COLUMN(J$1),FALSE)=0, VLOOKUP($D351, regions_ub[], COLUMN(J$1), FALSE), VLOOKUP($A351,raw_ub[],COLUMN(J$1),FALSE))</f>
        <v>0.99224999999999997</v>
      </c>
      <c r="K351" s="77">
        <f>VLOOKUP($A351, raw_ub[], 11, FALSE)</f>
        <v>0.999</v>
      </c>
      <c r="L351" s="77">
        <f>VLOOKUP($A351, raw_ub[], 12, FALSE)</f>
        <v>0.999</v>
      </c>
      <c r="M351" s="77">
        <f>IF(VLOOKUP($A351,raw_ub[],COLUMN(M$1),FALSE)=0, VLOOKUP($D351, regions_ub[], COLUMN(M$1), FALSE), VLOOKUP($A351,raw_ub[],COLUMN(M$1),FALSE))</f>
        <v>0.17319999999999999</v>
      </c>
      <c r="N351" s="68">
        <f>IF(VLOOKUP($A351,raw_ub[],COLUMN(N$1),FALSE)=0, VLOOKUP($D351, regions_ub[], COLUMN(N$1), FALSE), VLOOKUP($A351,raw_ub[],COLUMN(N$1),FALSE))</f>
        <v>0.47729999999999995</v>
      </c>
      <c r="O351" s="67">
        <f>IF(VLOOKUP($A351,raw_ub[],COLUMN(O$1),FALSE)=0, VLOOKUP($D351, regions_ub[], COLUMN(O$1), FALSE), VLOOKUP($A351,raw_ub[],COLUMN(O$1),FALSE))</f>
        <v>0.9</v>
      </c>
      <c r="P351" s="68">
        <f>IF(VLOOKUP($A351,raw_ub[],COLUMN(P$1),FALSE)=0, VLOOKUP($D351, regions_ub[], COLUMN(P$1), FALSE), VLOOKUP($A351,raw_ub[],COLUMN(P$1),FALSE))</f>
        <v>0.3</v>
      </c>
      <c r="Q351" s="70">
        <f>IF(VLOOKUP($A351,raw_ub[],COLUMN(Q$1),FALSE)=0, VLOOKUP($D351, regions_ub[], COLUMN(Q$1), FALSE), VLOOKUP($A351,raw_ub[],COLUMN(Q$1),FALSE))</f>
        <v>9.9667002047596274</v>
      </c>
      <c r="R351" s="70">
        <f>IF(VLOOKUP($A351,raw_ub[],COLUMN(R$1),FALSE)=0, VLOOKUP($D351, regions_ub[], COLUMN(R$1), FALSE), VLOOKUP($A351,raw_ub[],COLUMN(R$1),FALSE))</f>
        <v>118.95250020475962</v>
      </c>
      <c r="S351" s="70">
        <f>IF(VLOOKUP($A351,raw_ub[],COLUMN(S$1),FALSE)=0, VLOOKUP($D351, regions_ub[], COLUMN(S$1), FALSE), VLOOKUP($A351,raw_ub[],COLUMN(S$1),FALSE))</f>
        <v>157.48588624128527</v>
      </c>
      <c r="T351" s="70">
        <f>IF(VLOOKUP($A351,raw_ub[],COLUMN(U$1)-COLUMN($A$1),FALSE)=0, VLOOKUP($D351, regions_ub[], COLUMN(U$1)-COLUMN($A$1), FALSE), VLOOKUP($A351,raw_ub[],COLUMN(U$1)-COLUMN($A$1),FALSE))</f>
        <v>162.33317815976801</v>
      </c>
      <c r="U351" s="70">
        <f>IF(VLOOKUP($A351,raw_ub[],COLUMN(V$1)-COLUMN($A$1),FALSE)=0, VLOOKUP($D351, regions_ub[], COLUMN(V$1)-COLUMN($A$1), FALSE), VLOOKUP($A351,raw_ub[],COLUMN(V$1)-COLUMN($A$1),FALSE))</f>
        <v>160.10740416949915</v>
      </c>
      <c r="V351" s="70">
        <f>IF(VLOOKUP($A351,raw_ub[],COLUMN(W$1)-COLUMN($A$1),FALSE)=0, VLOOKUP($D351, regions_ub[], COLUMN(W$1)-COLUMN($A$1), FALSE), VLOOKUP($A351,raw_ub[],COLUMN(W$1)-COLUMN($A$1),FALSE))</f>
        <v>25.899480095975928</v>
      </c>
      <c r="W351" s="70">
        <f>IF(VLOOKUP($A351,raw_ub[],COLUMN(X$1)-COLUMN($A$1),FALSE)=0, VLOOKUP($D351, regions_ub[], COLUMN(X$1)-COLUMN($A$1), FALSE), VLOOKUP($A351,raw_ub[],COLUMN(X$1)-COLUMN($A$1),FALSE))</f>
        <v>26.560980095975928</v>
      </c>
      <c r="X351" s="70">
        <f>IF(VLOOKUP($A351,raw_ub[],COLUMN(Y$1)-COLUMN($A$1),FALSE)=0, VLOOKUP($D351, regions_ub[], COLUMN(Y$1)-COLUMN($A$1), FALSE), VLOOKUP($A351,raw_ub[],COLUMN(Y$1)-COLUMN($A$1),FALSE))</f>
        <v>25.857675639159133</v>
      </c>
      <c r="Y351" s="70">
        <f>IF(VLOOKUP($A351,raw_ub[],COLUMN(Z$1)-COLUMN($A$1),FALSE)=0, VLOOKUP($D351, regions_ub[], COLUMN(Z$1)-COLUMN($A$1), FALSE), VLOOKUP($A351,raw_ub[],COLUMN(Z$1)-COLUMN($A$1),FALSE))</f>
        <v>26.519175639159133</v>
      </c>
      <c r="Z351" s="70">
        <f>IF(VLOOKUP($A351,raw_ub[],COLUMN(AA$1)-COLUMN($A$1),FALSE)=0, VLOOKUP($D351, regions_ub[], COLUMN(AA$1)-COLUMN($A$1), FALSE), VLOOKUP($A351,raw_ub[],COLUMN(AA$1)-COLUMN($A$1),FALSE))</f>
        <v>26.495505905765594</v>
      </c>
      <c r="AA351" s="70">
        <f>IF(VLOOKUP($A351,raw_ub[],COLUMN(AB$1)-COLUMN($A$1),FALSE)=0, VLOOKUP($D351, regions_ub[], COLUMN(AB$1)-COLUMN($A$1), FALSE), VLOOKUP($A351,raw_ub[],COLUMN(AB$1)-COLUMN($A$1),FALSE))</f>
        <v>25.909127278318266</v>
      </c>
      <c r="AB351" s="70">
        <f>IF(VLOOKUP($A351,raw_ub[],COLUMN(AC$1)-COLUMN($A$1),FALSE)=0, VLOOKUP($D351, regions_ub[], COLUMN(AC$1)-COLUMN($A$1), FALSE), VLOOKUP($A351,raw_ub[],COLUMN(AC$1)-COLUMN($A$1),FALSE))</f>
        <v>26.570627278318266</v>
      </c>
      <c r="AC351" s="72">
        <f>IF(VLOOKUP($A351,raw_ub[],COLUMN(AD$1)-COLUMN($A$1),FALSE)=0, VLOOKUP($D351, regions_ub[], COLUMN(AD$1)-COLUMN($A$1), FALSE), VLOOKUP($A351,raw_ub[],COLUMN(AD$1)-COLUMN($A$1),FALSE))</f>
        <v>7.1031659999999828E-3</v>
      </c>
      <c r="AD351" s="72">
        <f>IF(VLOOKUP($A351,raw_ub[],COLUMN(AE$1)-COLUMN($A$1),FALSE)=0, VLOOKUP($D351, regions_ub[], COLUMN(AE$1)-COLUMN($A$1), FALSE), VLOOKUP($A351,raw_ub[],COLUMN(AE$1)-COLUMN($A$1),FALSE))</f>
        <v>3.0579165609011163E-4</v>
      </c>
      <c r="AE351" s="72">
        <f>IF(VLOOKUP($A351,raw_ub[],COLUMN(AF$1)-COLUMN($A$1),FALSE)=0, VLOOKUP($D351, regions_ub[], COLUMN(AF$1)-COLUMN($A$1), FALSE), VLOOKUP($A351,raw_ub[],COLUMN(AF$1)-COLUMN($A$1),FALSE))</f>
        <v>2.6523538410347462E-4</v>
      </c>
      <c r="AF351" s="72">
        <f>IF(VLOOKUP($A351,raw_ub[],COLUMN(AG$1)-COLUMN($A$1),FALSE)=0, VLOOKUP($D351, regions_ub[], COLUMN(AG$1)-COLUMN($A$1), FALSE), VLOOKUP($A351,raw_ub[],COLUMN(AG$1)-COLUMN($A$1),FALSE))</f>
        <v>3.5613260957012885E-4</v>
      </c>
      <c r="AG351" s="72">
        <f>IF(VLOOKUP($A351,raw_ub[],COLUMN(AH$1)-COLUMN($A$1),FALSE)=0, VLOOKUP($D351, regions_ub[], COLUMN(AH$1)-COLUMN($A$1), FALSE), VLOOKUP($A351,raw_ub[],COLUMN(AH$1)-COLUMN($A$1),FALSE))</f>
        <v>3.6367145915385061E-4</v>
      </c>
      <c r="AH351" s="72">
        <f>IF(VLOOKUP($A351,raw_ub[],COLUMN(AI$1)-COLUMN($A$1),FALSE)=0, VLOOKUP($D351, regions_ub[], COLUMN(AI$1)-COLUMN($A$1), FALSE), VLOOKUP($A351,raw_ub[],COLUMN(AI$1)-COLUMN($A$1),FALSE))</f>
        <v>5.3215445555759432E-4</v>
      </c>
      <c r="AI351" s="72">
        <f>IF(VLOOKUP($A351,raw_ub[],COLUMN(AJ$1)-COLUMN($A$1),FALSE)=0, VLOOKUP($D351, regions_ub[], COLUMN(AJ$1)-COLUMN($A$1), FALSE), VLOOKUP($A351,raw_ub[],COLUMN(AJ$1)-COLUMN($A$1),FALSE))</f>
        <v>4.9412804684747819E-4</v>
      </c>
      <c r="AJ351" s="72">
        <f>IF(VLOOKUP($A351,raw_ub[],COLUMN(AK$1)-COLUMN($A$1),FALSE)=0, VLOOKUP($D351, regions_ub[], COLUMN(AK$1)-COLUMN($A$1), FALSE), VLOOKUP($A351,raw_ub[],COLUMN(AK$1)-COLUMN($A$1),FALSE))</f>
        <v>5.5244756376318833E-4</v>
      </c>
      <c r="AK351" s="72">
        <f>IF(VLOOKUP($A351,raw_ub[],COLUMN(AL$1)-COLUMN($A$1),FALSE)=0, VLOOKUP($D351, regions_ub[], COLUMN(AL$1)-COLUMN($A$1), FALSE), VLOOKUP($A351,raw_ub[],COLUMN(AL$1)-COLUMN($A$1),FALSE))</f>
        <v>6.1528517228751989E-4</v>
      </c>
      <c r="AL351" s="72">
        <f>IF(VLOOKUP($A351,raw_ub[],COLUMN(AM$1)-COLUMN($A$1),FALSE)=0, VLOOKUP($D351, regions_ub[], COLUMN(AM$1)-COLUMN($A$1), FALSE), VLOOKUP($A351,raw_ub[],COLUMN(AM$1)-COLUMN($A$1),FALSE))</f>
        <v>9.8067920849700496E-4</v>
      </c>
      <c r="AM351" s="72">
        <f>IF(VLOOKUP($A351,raw_ub[],COLUMN(AN$1)-COLUMN($A$1),FALSE)=0, VLOOKUP($D351, regions_ub[], COLUMN(AN$1)-COLUMN($A$1), FALSE), VLOOKUP($A351,raw_ub[],COLUMN(AN$1)-COLUMN($A$1),FALSE))</f>
        <v>1.7274070823502196E-3</v>
      </c>
      <c r="AN351" s="72">
        <f>IF(VLOOKUP($A351,raw_ub[],COLUMN(AO$1)-COLUMN($A$1),FALSE)=0, VLOOKUP($D351, regions_ub[], COLUMN(AO$1)-COLUMN($A$1), FALSE), VLOOKUP($A351,raw_ub[],COLUMN(AO$1)-COLUMN($A$1),FALSE))</f>
        <v>2.5115866074375028E-3</v>
      </c>
      <c r="AO351" s="72">
        <f>IF(VLOOKUP($A351,raw_ub[],COLUMN(AP$1)-COLUMN($A$1),FALSE)=0, VLOOKUP($D351, regions_ub[], COLUMN(AP$1)-COLUMN($A$1), FALSE), VLOOKUP($A351,raw_ub[],COLUMN(AP$1)-COLUMN($A$1),FALSE))</f>
        <v>4.8366081753631971E-3</v>
      </c>
      <c r="AP351" s="72">
        <f>IF(VLOOKUP($A351,raw_ub[],COLUMN(AQ$1)-COLUMN($A$1),FALSE)=0, VLOOKUP($D351, regions_ub[], COLUMN(AQ$1)-COLUMN($A$1), FALSE), VLOOKUP($A351,raw_ub[],COLUMN(AQ$1)-COLUMN($A$1),FALSE))</f>
        <v>9.0302366100627092E-3</v>
      </c>
      <c r="AQ351" s="72">
        <f>IF(VLOOKUP($A351,raw_ub[],COLUMN(AR$1)-COLUMN($A$1),FALSE)=0, VLOOKUP($D351, regions_ub[], COLUMN(AR$1)-COLUMN($A$1), FALSE), VLOOKUP($A351,raw_ub[],COLUMN(AR$1)-COLUMN($A$1),FALSE))</f>
        <v>1.6913411956470753E-2</v>
      </c>
      <c r="AR351" s="72">
        <f>IF(VLOOKUP($A351,raw_ub[],COLUMN(AS$1)-COLUMN($A$1),FALSE)=0, VLOOKUP($D351, regions_ub[], COLUMN(AS$1)-COLUMN($A$1), FALSE), VLOOKUP($A351,raw_ub[],COLUMN(AS$1)-COLUMN($A$1),FALSE))</f>
        <v>3.1196746291609664E-2</v>
      </c>
      <c r="AS351" s="72">
        <f>IF(VLOOKUP($A351,raw_ub[],COLUMN(AT$1)-COLUMN($A$1),FALSE)=0, VLOOKUP($D351, regions_ub[], COLUMN(AT$1)-COLUMN($A$1), FALSE), VLOOKUP($A351,raw_ub[],COLUMN(AT$1)-COLUMN($A$1),FALSE))</f>
        <v>5.5849975324271148E-2</v>
      </c>
      <c r="AT351" s="82">
        <f>IF(VLOOKUP($A351,raw_ub[],COLUMN(AT$1),FALSE)=0, VLOOKUP($D351, regions_ub[], COLUMN(AT$1), FALSE), VLOOKUP($A351,raw_ub[],COLUMN(AT$1),FALSE))</f>
        <v>7.6099897020507942E-2</v>
      </c>
      <c r="AU351" s="82">
        <f>IF(VLOOKUP($A351,raw_ub[],COLUMN(AU$1),FALSE)=0, VLOOKUP($D351, regions_ub[], COLUMN(AU$1), FALSE), VLOOKUP($A351,raw_ub[],COLUMN(AU$1),FALSE))</f>
        <v>0.10315446837984948</v>
      </c>
      <c r="AV351" s="82">
        <f>IF(VLOOKUP($A351,raw_ub[],COLUMN(AV$1),FALSE)=0, VLOOKUP($D351, regions_ub[], COLUMN(AV$1), FALSE), VLOOKUP($A351,raw_ub[],COLUMN(AV$1),FALSE))</f>
        <v>0.1305781451492023</v>
      </c>
      <c r="AW351" s="82">
        <f>IF(VLOOKUP($A351,raw_ub[],COLUMN(AW$1),FALSE)=0, VLOOKUP($D351, regions_ub[], COLUMN(AW$1), FALSE), VLOOKUP($A351,raw_ub[],COLUMN(AW$1),FALSE))</f>
        <v>0.15480956676455052</v>
      </c>
      <c r="AX351" s="82">
        <f>IF(VLOOKUP($A351,raw_ub[],COLUMN(AX$1),FALSE)=0, VLOOKUP($D351, regions_ub[], COLUMN(AX$1), FALSE), VLOOKUP($A351,raw_ub[],COLUMN(AX$1),FALSE))</f>
        <v>82.389299999999992</v>
      </c>
      <c r="AY351" t="str">
        <f t="shared" si="12"/>
        <v>No</v>
      </c>
    </row>
    <row r="352" spans="1:51" x14ac:dyDescent="0.25">
      <c r="A352" s="53" t="s">
        <v>372</v>
      </c>
      <c r="B352" s="54" t="s">
        <v>373</v>
      </c>
      <c r="C352" s="54">
        <v>466</v>
      </c>
      <c r="D352" s="54" t="s">
        <v>207</v>
      </c>
      <c r="E352" s="54" t="s">
        <v>235</v>
      </c>
      <c r="F352" s="54" t="s">
        <v>211</v>
      </c>
      <c r="G352" s="54" t="s">
        <v>198</v>
      </c>
      <c r="H352" s="73"/>
      <c r="I352" s="73"/>
      <c r="J352" s="67">
        <f>IF(VLOOKUP($A352,raw_ub[],COLUMN(J$1),FALSE)=0, VLOOKUP($D352, regions_ub[], COLUMN(J$1), FALSE), VLOOKUP($A352,raw_ub[],COLUMN(J$1),FALSE))</f>
        <v>0.70139999999999991</v>
      </c>
      <c r="K352" s="77">
        <f>VLOOKUP($A352, raw_ub[], 11, FALSE)</f>
        <v>0</v>
      </c>
      <c r="L352" s="77">
        <f>VLOOKUP($A352, raw_ub[], 12, FALSE)</f>
        <v>0.73499999999999999</v>
      </c>
      <c r="M352" s="77">
        <f>IF(VLOOKUP($A352,raw_ub[],COLUMN(M$1),FALSE)=0, VLOOKUP($D352, regions_ub[], COLUMN(M$1), FALSE), VLOOKUP($A352,raw_ub[],COLUMN(M$1),FALSE))</f>
        <v>0.12179999999999999</v>
      </c>
      <c r="N352" s="68">
        <f>IF(VLOOKUP($A352,raw_ub[],COLUMN(N$1),FALSE)=0, VLOOKUP($D352, regions_ub[], COLUMN(N$1), FALSE), VLOOKUP($A352,raw_ub[],COLUMN(N$1),FALSE))</f>
        <v>0.41070000000000001</v>
      </c>
      <c r="O352" s="67">
        <f>IF(VLOOKUP($A352,raw_ub[],COLUMN(O$1),FALSE)=0, VLOOKUP($D352, regions_ub[], COLUMN(O$1), FALSE), VLOOKUP($A352,raw_ub[],COLUMN(O$1),FALSE))</f>
        <v>0.74399999999999999</v>
      </c>
      <c r="P352" s="68">
        <f>IF(VLOOKUP($A352,raw_ub[],COLUMN(P$1),FALSE)=0, VLOOKUP($D352, regions_ub[], COLUMN(P$1), FALSE), VLOOKUP($A352,raw_ub[],COLUMN(P$1),FALSE))</f>
        <v>0.13300000000000001</v>
      </c>
      <c r="Q352" s="70">
        <f>IF(VLOOKUP($A352,raw_ub[],COLUMN(Q$1),FALSE)=0, VLOOKUP($D352, regions_ub[], COLUMN(Q$1), FALSE), VLOOKUP($A352,raw_ub[],COLUMN(Q$1),FALSE))</f>
        <v>6.96140364741641</v>
      </c>
      <c r="R352" s="70">
        <f>IF(VLOOKUP($A352,raw_ub[],COLUMN(R$1),FALSE)=0, VLOOKUP($D352, regions_ub[], COLUMN(R$1), FALSE), VLOOKUP($A352,raw_ub[],COLUMN(R$1),FALSE))</f>
        <v>115.94720364741642</v>
      </c>
      <c r="S352" s="70">
        <f>IF(VLOOKUP($A352,raw_ub[],COLUMN(S$1),FALSE)=0, VLOOKUP($D352, regions_ub[], COLUMN(S$1), FALSE), VLOOKUP($A352,raw_ub[],COLUMN(S$1),FALSE))</f>
        <v>147.81919805353004</v>
      </c>
      <c r="T352" s="70">
        <f>IF(VLOOKUP($A352,raw_ub[],COLUMN(U$1)-COLUMN($A$1),FALSE)=0, VLOOKUP($D352, regions_ub[], COLUMN(U$1)-COLUMN($A$1), FALSE), VLOOKUP($A352,raw_ub[],COLUMN(U$1)-COLUMN($A$1),FALSE))</f>
        <v>149.19946845166459</v>
      </c>
      <c r="U352" s="70">
        <f>IF(VLOOKUP($A352,raw_ub[],COLUMN(V$1)-COLUMN($A$1),FALSE)=0, VLOOKUP($D352, regions_ub[], COLUMN(V$1)-COLUMN($A$1), FALSE), VLOOKUP($A352,raw_ub[],COLUMN(V$1)-COLUMN($A$1),FALSE))</f>
        <v>148.56567746004066</v>
      </c>
      <c r="V352" s="70">
        <f>IF(VLOOKUP($A352,raw_ub[],COLUMN(W$1)-COLUMN($A$1),FALSE)=0, VLOOKUP($D352, regions_ub[], COLUMN(W$1)-COLUMN($A$1), FALSE), VLOOKUP($A352,raw_ub[],COLUMN(W$1)-COLUMN($A$1),FALSE))</f>
        <v>2.877119474395911</v>
      </c>
      <c r="W352" s="70">
        <f>IF(VLOOKUP($A352,raw_ub[],COLUMN(X$1)-COLUMN($A$1),FALSE)=0, VLOOKUP($D352, regions_ub[], COLUMN(X$1)-COLUMN($A$1), FALSE), VLOOKUP($A352,raw_ub[],COLUMN(X$1)-COLUMN($A$1),FALSE))</f>
        <v>7.9486194743959118</v>
      </c>
      <c r="X352" s="70">
        <f>IF(VLOOKUP($A352,raw_ub[],COLUMN(Y$1)-COLUMN($A$1),FALSE)=0, VLOOKUP($D352, regions_ub[], COLUMN(Y$1)-COLUMN($A$1), FALSE), VLOOKUP($A352,raw_ub[],COLUMN(Y$1)-COLUMN($A$1),FALSE))</f>
        <v>2.8624772272529162</v>
      </c>
      <c r="Y352" s="70">
        <f>IF(VLOOKUP($A352,raw_ub[],COLUMN(Z$1)-COLUMN($A$1),FALSE)=0, VLOOKUP($D352, regions_ub[], COLUMN(Z$1)-COLUMN($A$1), FALSE), VLOOKUP($A352,raw_ub[],COLUMN(Z$1)-COLUMN($A$1),FALSE))</f>
        <v>7.9339772272529165</v>
      </c>
      <c r="Z352" s="70">
        <f>IF(VLOOKUP($A352,raw_ub[],COLUMN(AA$1)-COLUMN($A$1),FALSE)=0, VLOOKUP($D352, regions_ub[], COLUMN(AA$1)-COLUMN($A$1), FALSE), VLOOKUP($A352,raw_ub[],COLUMN(AA$1)-COLUMN($A$1),FALSE))</f>
        <v>7.9258050005229936</v>
      </c>
      <c r="AA352" s="70">
        <f>IF(VLOOKUP($A352,raw_ub[],COLUMN(AB$1)-COLUMN($A$1),FALSE)=0, VLOOKUP($D352, regions_ub[], COLUMN(AB$1)-COLUMN($A$1), FALSE), VLOOKUP($A352,raw_ub[],COLUMN(AB$1)-COLUMN($A$1),FALSE))</f>
        <v>2.8804984545058332</v>
      </c>
      <c r="AB352" s="70">
        <f>IF(VLOOKUP($A352,raw_ub[],COLUMN(AC$1)-COLUMN($A$1),FALSE)=0, VLOOKUP($D352, regions_ub[], COLUMN(AC$1)-COLUMN($A$1), FALSE), VLOOKUP($A352,raw_ub[],COLUMN(AC$1)-COLUMN($A$1),FALSE))</f>
        <v>7.9519984545058335</v>
      </c>
      <c r="AC352" s="72">
        <f>IF(VLOOKUP($A352,raw_ub[],COLUMN(AD$1)-COLUMN($A$1),FALSE)=0, VLOOKUP($D352, regions_ub[], COLUMN(AD$1)-COLUMN($A$1), FALSE), VLOOKUP($A352,raw_ub[],COLUMN(AD$1)-COLUMN($A$1),FALSE))</f>
        <v>6.9111220499999931E-2</v>
      </c>
      <c r="AD352" s="72">
        <f>IF(VLOOKUP($A352,raw_ub[],COLUMN(AE$1)-COLUMN($A$1),FALSE)=0, VLOOKUP($D352, regions_ub[], COLUMN(AE$1)-COLUMN($A$1), FALSE), VLOOKUP($A352,raw_ub[],COLUMN(AE$1)-COLUMN($A$1),FALSE))</f>
        <v>1.1137467981404312E-2</v>
      </c>
      <c r="AE352" s="72">
        <f>IF(VLOOKUP($A352,raw_ub[],COLUMN(AF$1)-COLUMN($A$1),FALSE)=0, VLOOKUP($D352, regions_ub[], COLUMN(AF$1)-COLUMN($A$1), FALSE), VLOOKUP($A352,raw_ub[],COLUMN(AF$1)-COLUMN($A$1),FALSE))</f>
        <v>3.6438173375912112E-3</v>
      </c>
      <c r="AF352" s="72">
        <f>IF(VLOOKUP($A352,raw_ub[],COLUMN(AG$1)-COLUMN($A$1),FALSE)=0, VLOOKUP($D352, regions_ub[], COLUMN(AG$1)-COLUMN($A$1), FALSE), VLOOKUP($A352,raw_ub[],COLUMN(AG$1)-COLUMN($A$1),FALSE))</f>
        <v>2.0636551541411258E-3</v>
      </c>
      <c r="AG352" s="72">
        <f>IF(VLOOKUP($A352,raw_ub[],COLUMN(AH$1)-COLUMN($A$1),FALSE)=0, VLOOKUP($D352, regions_ub[], COLUMN(AH$1)-COLUMN($A$1), FALSE), VLOOKUP($A352,raw_ub[],COLUMN(AH$1)-COLUMN($A$1),FALSE))</f>
        <v>3.1175721811405534E-3</v>
      </c>
      <c r="AH352" s="72">
        <f>IF(VLOOKUP($A352,raw_ub[],COLUMN(AI$1)-COLUMN($A$1),FALSE)=0, VLOOKUP($D352, regions_ub[], COLUMN(AI$1)-COLUMN($A$1), FALSE), VLOOKUP($A352,raw_ub[],COLUMN(AI$1)-COLUMN($A$1),FALSE))</f>
        <v>4.0153323260593765E-3</v>
      </c>
      <c r="AI352" s="72">
        <f>IF(VLOOKUP($A352,raw_ub[],COLUMN(AJ$1)-COLUMN($A$1),FALSE)=0, VLOOKUP($D352, regions_ub[], COLUMN(AJ$1)-COLUMN($A$1), FALSE), VLOOKUP($A352,raw_ub[],COLUMN(AJ$1)-COLUMN($A$1),FALSE))</f>
        <v>4.5085921866781812E-3</v>
      </c>
      <c r="AJ352" s="72">
        <f>IF(VLOOKUP($A352,raw_ub[],COLUMN(AK$1)-COLUMN($A$1),FALSE)=0, VLOOKUP($D352, regions_ub[], COLUMN(AK$1)-COLUMN($A$1), FALSE), VLOOKUP($A352,raw_ub[],COLUMN(AK$1)-COLUMN($A$1),FALSE))</f>
        <v>4.7859496490159211E-3</v>
      </c>
      <c r="AK352" s="72">
        <f>IF(VLOOKUP($A352,raw_ub[],COLUMN(AL$1)-COLUMN($A$1),FALSE)=0, VLOOKUP($D352, regions_ub[], COLUMN(AL$1)-COLUMN($A$1), FALSE), VLOOKUP($A352,raw_ub[],COLUMN(AL$1)-COLUMN($A$1),FALSE))</f>
        <v>5.3709721681987283E-3</v>
      </c>
      <c r="AL352" s="72">
        <f>IF(VLOOKUP($A352,raw_ub[],COLUMN(AM$1)-COLUMN($A$1),FALSE)=0, VLOOKUP($D352, regions_ub[], COLUMN(AM$1)-COLUMN($A$1), FALSE), VLOOKUP($A352,raw_ub[],COLUMN(AM$1)-COLUMN($A$1),FALSE))</f>
        <v>6.3833551858887413E-3</v>
      </c>
      <c r="AM352" s="72">
        <f>IF(VLOOKUP($A352,raw_ub[],COLUMN(AN$1)-COLUMN($A$1),FALSE)=0, VLOOKUP($D352, regions_ub[], COLUMN(AN$1)-COLUMN($A$1), FALSE), VLOOKUP($A352,raw_ub[],COLUMN(AN$1)-COLUMN($A$1),FALSE))</f>
        <v>7.4617022158614378E-3</v>
      </c>
      <c r="AN352" s="72">
        <f>IF(VLOOKUP($A352,raw_ub[],COLUMN(AO$1)-COLUMN($A$1),FALSE)=0, VLOOKUP($D352, regions_ub[], COLUMN(AO$1)-COLUMN($A$1), FALSE), VLOOKUP($A352,raw_ub[],COLUMN(AO$1)-COLUMN($A$1),FALSE))</f>
        <v>1.0512826863046042E-2</v>
      </c>
      <c r="AO352" s="72">
        <f>IF(VLOOKUP($A352,raw_ub[],COLUMN(AP$1)-COLUMN($A$1),FALSE)=0, VLOOKUP($D352, regions_ub[], COLUMN(AP$1)-COLUMN($A$1), FALSE), VLOOKUP($A352,raw_ub[],COLUMN(AP$1)-COLUMN($A$1),FALSE))</f>
        <v>1.501853908299893E-2</v>
      </c>
      <c r="AP352" s="72">
        <f>IF(VLOOKUP($A352,raw_ub[],COLUMN(AQ$1)-COLUMN($A$1),FALSE)=0, VLOOKUP($D352, regions_ub[], COLUMN(AQ$1)-COLUMN($A$1), FALSE), VLOOKUP($A352,raw_ub[],COLUMN(AQ$1)-COLUMN($A$1),FALSE))</f>
        <v>2.3504419140887661E-2</v>
      </c>
      <c r="AQ352" s="72">
        <f>IF(VLOOKUP($A352,raw_ub[],COLUMN(AR$1)-COLUMN($A$1),FALSE)=0, VLOOKUP($D352, regions_ub[], COLUMN(AR$1)-COLUMN($A$1), FALSE), VLOOKUP($A352,raw_ub[],COLUMN(AR$1)-COLUMN($A$1),FALSE))</f>
        <v>3.634497862229253E-2</v>
      </c>
      <c r="AR352" s="72">
        <f>IF(VLOOKUP($A352,raw_ub[],COLUMN(AS$1)-COLUMN($A$1),FALSE)=0, VLOOKUP($D352, regions_ub[], COLUMN(AS$1)-COLUMN($A$1), FALSE), VLOOKUP($A352,raw_ub[],COLUMN(AS$1)-COLUMN($A$1),FALSE))</f>
        <v>5.8280625506620345E-2</v>
      </c>
      <c r="AS352" s="72">
        <f>IF(VLOOKUP($A352,raw_ub[],COLUMN(AT$1)-COLUMN($A$1),FALSE)=0, VLOOKUP($D352, regions_ub[], COLUMN(AT$1)-COLUMN($A$1), FALSE), VLOOKUP($A352,raw_ub[],COLUMN(AT$1)-COLUMN($A$1),FALSE))</f>
        <v>8.9568819595472415E-2</v>
      </c>
      <c r="AT352" s="82">
        <f>IF(VLOOKUP($A352,raw_ub[],COLUMN(AT$1),FALSE)=0, VLOOKUP($D352, regions_ub[], COLUMN(AT$1), FALSE), VLOOKUP($A352,raw_ub[],COLUMN(AT$1),FALSE))</f>
        <v>0.12775544942045788</v>
      </c>
      <c r="AU352" s="82">
        <f>IF(VLOOKUP($A352,raw_ub[],COLUMN(AU$1),FALSE)=0, VLOOKUP($D352, regions_ub[], COLUMN(AU$1), FALSE), VLOOKUP($A352,raw_ub[],COLUMN(AU$1),FALSE))</f>
        <v>0.16252616917382287</v>
      </c>
      <c r="AV352" s="82">
        <f>IF(VLOOKUP($A352,raw_ub[],COLUMN(AV$1),FALSE)=0, VLOOKUP($D352, regions_ub[], COLUMN(AV$1), FALSE), VLOOKUP($A352,raw_ub[],COLUMN(AV$1),FALSE))</f>
        <v>0.18637074223770489</v>
      </c>
      <c r="AW352" s="82">
        <f>IF(VLOOKUP($A352,raw_ub[],COLUMN(AW$1),FALSE)=0, VLOOKUP($D352, regions_ub[], COLUMN(AW$1), FALSE), VLOOKUP($A352,raw_ub[],COLUMN(AW$1),FALSE))</f>
        <v>0.19738984660885539</v>
      </c>
      <c r="AX352" s="82">
        <f>IF(VLOOKUP($A352,raw_ub[],COLUMN(AX$1),FALSE)=0, VLOOKUP($D352, regions_ub[], COLUMN(AX$1), FALSE), VLOOKUP($A352,raw_ub[],COLUMN(AX$1),FALSE))</f>
        <v>61.645500000000006</v>
      </c>
      <c r="AY352" t="str">
        <f t="shared" si="12"/>
        <v>Yes</v>
      </c>
    </row>
    <row r="353" spans="1:51" x14ac:dyDescent="0.25">
      <c r="A353" s="55" t="s">
        <v>374</v>
      </c>
      <c r="B353" s="56" t="s">
        <v>375</v>
      </c>
      <c r="C353" s="56">
        <v>584</v>
      </c>
      <c r="D353" s="56" t="s">
        <v>260</v>
      </c>
      <c r="E353" s="56" t="s">
        <v>309</v>
      </c>
      <c r="F353" s="56" t="s">
        <v>262</v>
      </c>
      <c r="G353" s="56" t="s">
        <v>204</v>
      </c>
      <c r="H353" s="74"/>
      <c r="I353" s="74"/>
      <c r="J353" s="67">
        <f>IF(VLOOKUP($A353,raw_ub[],COLUMN(J$1),FALSE)=0, VLOOKUP($D353, regions_ub[], COLUMN(J$1), FALSE), VLOOKUP($A353,raw_ub[],COLUMN(J$1),FALSE))</f>
        <v>0.89355000000000007</v>
      </c>
      <c r="K353" s="77">
        <f>VLOOKUP($A353, raw_ub[], 11, FALSE)</f>
        <v>0.999</v>
      </c>
      <c r="L353" s="77">
        <f>VLOOKUP($A353, raw_ub[], 12, FALSE)</f>
        <v>0.86099999999999999</v>
      </c>
      <c r="M353" s="77">
        <f>IF(VLOOKUP($A353,raw_ub[],COLUMN(M$1),FALSE)=0, VLOOKUP($D353, regions_ub[], COLUMN(M$1), FALSE), VLOOKUP($A353,raw_ub[],COLUMN(M$1),FALSE))</f>
        <v>7.3899999999999993E-2</v>
      </c>
      <c r="N353" s="68">
        <f>IF(VLOOKUP($A353,raw_ub[],COLUMN(N$1),FALSE)=0, VLOOKUP($D353, regions_ub[], COLUMN(N$1), FALSE), VLOOKUP($A353,raw_ub[],COLUMN(N$1),FALSE))</f>
        <v>0.48804013996551276</v>
      </c>
      <c r="O353" s="67">
        <f>IF(VLOOKUP($A353,raw_ub[],COLUMN(O$1),FALSE)=0, VLOOKUP($D353, regions_ub[], COLUMN(O$1), FALSE), VLOOKUP($A353,raw_ub[],COLUMN(O$1),FALSE))</f>
        <v>0.9</v>
      </c>
      <c r="P353" s="68">
        <f>IF(VLOOKUP($A353,raw_ub[],COLUMN(P$1),FALSE)=0, VLOOKUP($D353, regions_ub[], COLUMN(P$1), FALSE), VLOOKUP($A353,raw_ub[],COLUMN(P$1),FALSE))</f>
        <v>0.3</v>
      </c>
      <c r="Q353" s="70">
        <f>IF(VLOOKUP($A353,raw_ub[],COLUMN(Q$1),FALSE)=0, VLOOKUP($D353, regions_ub[], COLUMN(Q$1), FALSE), VLOOKUP($A353,raw_ub[],COLUMN(Q$1),FALSE))</f>
        <v>16.166876612549402</v>
      </c>
      <c r="R353" s="70">
        <f>IF(VLOOKUP($A353,raw_ub[],COLUMN(R$1),FALSE)=0, VLOOKUP($D353, regions_ub[], COLUMN(R$1), FALSE), VLOOKUP($A353,raw_ub[],COLUMN(R$1),FALSE))</f>
        <v>125.15267661254941</v>
      </c>
      <c r="S353" s="70">
        <f>IF(VLOOKUP($A353,raw_ub[],COLUMN(S$1),FALSE)=0, VLOOKUP($D353, regions_ub[], COLUMN(S$1), FALSE), VLOOKUP($A353,raw_ub[],COLUMN(S$1),FALSE))</f>
        <v>169.72471756577801</v>
      </c>
      <c r="T353" s="70">
        <f>IF(VLOOKUP($A353,raw_ub[],COLUMN(U$1)-COLUMN($A$1),FALSE)=0, VLOOKUP($D353, regions_ub[], COLUMN(U$1)-COLUMN($A$1), FALSE), VLOOKUP($A353,raw_ub[],COLUMN(U$1)-COLUMN($A$1),FALSE))</f>
        <v>177.71491831048618</v>
      </c>
      <c r="U353" s="70">
        <f>IF(VLOOKUP($A353,raw_ub[],COLUMN(V$1)-COLUMN($A$1),FALSE)=0, VLOOKUP($D353, regions_ub[], COLUMN(V$1)-COLUMN($A$1), FALSE), VLOOKUP($A353,raw_ub[],COLUMN(V$1)-COLUMN($A$1),FALSE))</f>
        <v>174.04598701984398</v>
      </c>
      <c r="V353" s="70">
        <f>IF(VLOOKUP($A353,raw_ub[],COLUMN(W$1)-COLUMN($A$1),FALSE)=0, VLOOKUP($D353, regions_ub[], COLUMN(W$1)-COLUMN($A$1), FALSE), VLOOKUP($A353,raw_ub[],COLUMN(W$1)-COLUMN($A$1),FALSE))</f>
        <v>21.880233334033623</v>
      </c>
      <c r="W353" s="70">
        <f>IF(VLOOKUP($A353,raw_ub[],COLUMN(X$1)-COLUMN($A$1),FALSE)=0, VLOOKUP($D353, regions_ub[], COLUMN(X$1)-COLUMN($A$1), FALSE), VLOOKUP($A353,raw_ub[],COLUMN(X$1)-COLUMN($A$1),FALSE))</f>
        <v>22.541733334033623</v>
      </c>
      <c r="X353" s="70">
        <f>IF(VLOOKUP($A353,raw_ub[],COLUMN(Y$1)-COLUMN($A$1),FALSE)=0, VLOOKUP($D353, regions_ub[], COLUMN(Y$1)-COLUMN($A$1), FALSE), VLOOKUP($A353,raw_ub[],COLUMN(Y$1)-COLUMN($A$1),FALSE))</f>
        <v>21.856866804984069</v>
      </c>
      <c r="Y353" s="70">
        <f>IF(VLOOKUP($A353,raw_ub[],COLUMN(Z$1)-COLUMN($A$1),FALSE)=0, VLOOKUP($D353, regions_ub[], COLUMN(Z$1)-COLUMN($A$1), FALSE), VLOOKUP($A353,raw_ub[],COLUMN(Z$1)-COLUMN($A$1),FALSE))</f>
        <v>22.518366804984069</v>
      </c>
      <c r="Z353" s="70">
        <f>IF(VLOOKUP($A353,raw_ub[],COLUMN(AA$1)-COLUMN($A$1),FALSE)=0, VLOOKUP($D353, regions_ub[], COLUMN(AA$1)-COLUMN($A$1), FALSE), VLOOKUP($A353,raw_ub[],COLUMN(AA$1)-COLUMN($A$1),FALSE))</f>
        <v>22.506178389808444</v>
      </c>
      <c r="AA353" s="70">
        <f>IF(VLOOKUP($A353,raw_ub[],COLUMN(AB$1)-COLUMN($A$1),FALSE)=0, VLOOKUP($D353, regions_ub[], COLUMN(AB$1)-COLUMN($A$1), FALSE), VLOOKUP($A353,raw_ub[],COLUMN(AB$1)-COLUMN($A$1),FALSE))</f>
        <v>21.885625609968137</v>
      </c>
      <c r="AB353" s="70">
        <f>IF(VLOOKUP($A353,raw_ub[],COLUMN(AC$1)-COLUMN($A$1),FALSE)=0, VLOOKUP($D353, regions_ub[], COLUMN(AC$1)-COLUMN($A$1), FALSE), VLOOKUP($A353,raw_ub[],COLUMN(AC$1)-COLUMN($A$1),FALSE))</f>
        <v>22.547125609968138</v>
      </c>
      <c r="AC353" s="72">
        <f>IF(VLOOKUP($A353,raw_ub[],COLUMN(AD$1)-COLUMN($A$1),FALSE)=0, VLOOKUP($D353, regions_ub[], COLUMN(AD$1)-COLUMN($A$1), FALSE), VLOOKUP($A353,raw_ub[],COLUMN(AD$1)-COLUMN($A$1),FALSE))</f>
        <v>1.2736768276497189E-2</v>
      </c>
      <c r="AD353" s="72">
        <f>IF(VLOOKUP($A353,raw_ub[],COLUMN(AE$1)-COLUMN($A$1),FALSE)=0, VLOOKUP($D353, regions_ub[], COLUMN(AE$1)-COLUMN($A$1), FALSE), VLOOKUP($A353,raw_ub[],COLUMN(AE$1)-COLUMN($A$1),FALSE))</f>
        <v>7.1197544726729438E-4</v>
      </c>
      <c r="AE353" s="72">
        <f>IF(VLOOKUP($A353,raw_ub[],COLUMN(AF$1)-COLUMN($A$1),FALSE)=0, VLOOKUP($D353, regions_ub[], COLUMN(AF$1)-COLUMN($A$1), FALSE), VLOOKUP($A353,raw_ub[],COLUMN(AF$1)-COLUMN($A$1),FALSE))</f>
        <v>4.109902786833356E-4</v>
      </c>
      <c r="AF353" s="72">
        <f>IF(VLOOKUP($A353,raw_ub[],COLUMN(AG$1)-COLUMN($A$1),FALSE)=0, VLOOKUP($D353, regions_ub[], COLUMN(AG$1)-COLUMN($A$1), FALSE), VLOOKUP($A353,raw_ub[],COLUMN(AG$1)-COLUMN($A$1),FALSE))</f>
        <v>3.2379172218225576E-4</v>
      </c>
      <c r="AG353" s="72">
        <f>IF(VLOOKUP($A353,raw_ub[],COLUMN(AH$1)-COLUMN($A$1),FALSE)=0, VLOOKUP($D353, regions_ub[], COLUMN(AH$1)-COLUMN($A$1), FALSE), VLOOKUP($A353,raw_ub[],COLUMN(AH$1)-COLUMN($A$1),FALSE))</f>
        <v>5.1508320628082798E-4</v>
      </c>
      <c r="AH353" s="72">
        <f>IF(VLOOKUP($A353,raw_ub[],COLUMN(AI$1)-COLUMN($A$1),FALSE)=0, VLOOKUP($D353, regions_ub[], COLUMN(AI$1)-COLUMN($A$1), FALSE), VLOOKUP($A353,raw_ub[],COLUMN(AI$1)-COLUMN($A$1),FALSE))</f>
        <v>7.1658147477289221E-4</v>
      </c>
      <c r="AI353" s="72">
        <f>IF(VLOOKUP($A353,raw_ub[],COLUMN(AJ$1)-COLUMN($A$1),FALSE)=0, VLOOKUP($D353, regions_ub[], COLUMN(AJ$1)-COLUMN($A$1), FALSE), VLOOKUP($A353,raw_ub[],COLUMN(AJ$1)-COLUMN($A$1),FALSE))</f>
        <v>8.943655783002478E-4</v>
      </c>
      <c r="AJ353" s="72">
        <f>IF(VLOOKUP($A353,raw_ub[],COLUMN(AK$1)-COLUMN($A$1),FALSE)=0, VLOOKUP($D353, regions_ub[], COLUMN(AK$1)-COLUMN($A$1), FALSE), VLOOKUP($A353,raw_ub[],COLUMN(AK$1)-COLUMN($A$1),FALSE))</f>
        <v>1.1132663162265251E-3</v>
      </c>
      <c r="AK353" s="72">
        <f>IF(VLOOKUP($A353,raw_ub[],COLUMN(AL$1)-COLUMN($A$1),FALSE)=0, VLOOKUP($D353, regions_ub[], COLUMN(AL$1)-COLUMN($A$1), FALSE), VLOOKUP($A353,raw_ub[],COLUMN(AL$1)-COLUMN($A$1),FALSE))</f>
        <v>1.4301264730464231E-3</v>
      </c>
      <c r="AL353" s="72">
        <f>IF(VLOOKUP($A353,raw_ub[],COLUMN(AM$1)-COLUMN($A$1),FALSE)=0, VLOOKUP($D353, regions_ub[], COLUMN(AM$1)-COLUMN($A$1), FALSE), VLOOKUP($A353,raw_ub[],COLUMN(AM$1)-COLUMN($A$1),FALSE))</f>
        <v>2.012973851863077E-3</v>
      </c>
      <c r="AM353" s="72">
        <f>IF(VLOOKUP($A353,raw_ub[],COLUMN(AN$1)-COLUMN($A$1),FALSE)=0, VLOOKUP($D353, regions_ub[], COLUMN(AN$1)-COLUMN($A$1), FALSE), VLOOKUP($A353,raw_ub[],COLUMN(AN$1)-COLUMN($A$1),FALSE))</f>
        <v>2.9504315725906636E-3</v>
      </c>
      <c r="AN353" s="72">
        <f>IF(VLOOKUP($A353,raw_ub[],COLUMN(AO$1)-COLUMN($A$1),FALSE)=0, VLOOKUP($D353, regions_ub[], COLUMN(AO$1)-COLUMN($A$1), FALSE), VLOOKUP($A353,raw_ub[],COLUMN(AO$1)-COLUMN($A$1),FALSE))</f>
        <v>4.6978269081258068E-3</v>
      </c>
      <c r="AO353" s="72">
        <f>IF(VLOOKUP($A353,raw_ub[],COLUMN(AP$1)-COLUMN($A$1),FALSE)=0, VLOOKUP($D353, regions_ub[], COLUMN(AP$1)-COLUMN($A$1), FALSE), VLOOKUP($A353,raw_ub[],COLUMN(AP$1)-COLUMN($A$1),FALSE))</f>
        <v>7.5165836793858768E-3</v>
      </c>
      <c r="AP353" s="72">
        <f>IF(VLOOKUP($A353,raw_ub[],COLUMN(AQ$1)-COLUMN($A$1),FALSE)=0, VLOOKUP($D353, regions_ub[], COLUMN(AQ$1)-COLUMN($A$1), FALSE), VLOOKUP($A353,raw_ub[],COLUMN(AQ$1)-COLUMN($A$1),FALSE))</f>
        <v>1.2738920158375485E-2</v>
      </c>
      <c r="AQ353" s="72">
        <f>IF(VLOOKUP($A353,raw_ub[],COLUMN(AR$1)-COLUMN($A$1),FALSE)=0, VLOOKUP($D353, regions_ub[], COLUMN(AR$1)-COLUMN($A$1), FALSE), VLOOKUP($A353,raw_ub[],COLUMN(AR$1)-COLUMN($A$1),FALSE))</f>
        <v>2.1411810157936622E-2</v>
      </c>
      <c r="AR353" s="72">
        <f>IF(VLOOKUP($A353,raw_ub[],COLUMN(AS$1)-COLUMN($A$1),FALSE)=0, VLOOKUP($D353, regions_ub[], COLUMN(AS$1)-COLUMN($A$1), FALSE), VLOOKUP($A353,raw_ub[],COLUMN(AS$1)-COLUMN($A$1),FALSE))</f>
        <v>3.614564151011352E-2</v>
      </c>
      <c r="AS353" s="72">
        <f>IF(VLOOKUP($A353,raw_ub[],COLUMN(AT$1)-COLUMN($A$1),FALSE)=0, VLOOKUP($D353, regions_ub[], COLUMN(AT$1)-COLUMN($A$1), FALSE), VLOOKUP($A353,raw_ub[],COLUMN(AT$1)-COLUMN($A$1),FALSE))</f>
        <v>5.6560971250705964E-2</v>
      </c>
      <c r="AT353" s="82">
        <f>IF(VLOOKUP($A353,raw_ub[],COLUMN(AT$1),FALSE)=0, VLOOKUP($D353, regions_ub[], COLUMN(AT$1), FALSE), VLOOKUP($A353,raw_ub[],COLUMN(AT$1),FALSE))</f>
        <v>8.0667873593105774E-2</v>
      </c>
      <c r="AU353" s="82">
        <f>IF(VLOOKUP($A353,raw_ub[],COLUMN(AU$1),FALSE)=0, VLOOKUP($D353, regions_ub[], COLUMN(AU$1), FALSE), VLOOKUP($A353,raw_ub[],COLUMN(AU$1),FALSE))</f>
        <v>0.11120227445965716</v>
      </c>
      <c r="AV353" s="82">
        <f>IF(VLOOKUP($A353,raw_ub[],COLUMN(AV$1),FALSE)=0, VLOOKUP($D353, regions_ub[], COLUMN(AV$1), FALSE), VLOOKUP($A353,raw_ub[],COLUMN(AV$1),FALSE))</f>
        <v>0.13871877026634002</v>
      </c>
      <c r="AW353" s="82">
        <f>IF(VLOOKUP($A353,raw_ub[],COLUMN(AW$1),FALSE)=0, VLOOKUP($D353, regions_ub[], COLUMN(AW$1), FALSE), VLOOKUP($A353,raw_ub[],COLUMN(AW$1),FALSE))</f>
        <v>0.1618412077726073</v>
      </c>
      <c r="AX353" s="82">
        <f>IF(VLOOKUP($A353,raw_ub[],COLUMN(AX$1),FALSE)=0, VLOOKUP($D353, regions_ub[], COLUMN(AX$1), FALSE), VLOOKUP($A353,raw_ub[],COLUMN(AX$1),FALSE))</f>
        <v>79.358549215450296</v>
      </c>
      <c r="AY353" t="str">
        <f t="shared" si="12"/>
        <v>No</v>
      </c>
    </row>
    <row r="354" spans="1:51" x14ac:dyDescent="0.25">
      <c r="A354" s="53" t="s">
        <v>376</v>
      </c>
      <c r="B354" s="54" t="s">
        <v>377</v>
      </c>
      <c r="C354" s="54">
        <v>478</v>
      </c>
      <c r="D354" s="54" t="s">
        <v>207</v>
      </c>
      <c r="E354" s="54" t="s">
        <v>235</v>
      </c>
      <c r="F354" s="54" t="s">
        <v>211</v>
      </c>
      <c r="G354" s="54" t="s">
        <v>212</v>
      </c>
      <c r="H354" s="73"/>
      <c r="I354" s="73"/>
      <c r="J354" s="67">
        <f>IF(VLOOKUP($A354,raw_ub[],COLUMN(J$1),FALSE)=0, VLOOKUP($D354, regions_ub[], COLUMN(J$1), FALSE), VLOOKUP($A354,raw_ub[],COLUMN(J$1),FALSE))</f>
        <v>0.72765000000000002</v>
      </c>
      <c r="K354" s="77">
        <f>VLOOKUP($A354, raw_ub[], 11, FALSE)</f>
        <v>0</v>
      </c>
      <c r="L354" s="77">
        <f>VLOOKUP($A354, raw_ub[], 12, FALSE)</f>
        <v>0.74549999999999994</v>
      </c>
      <c r="M354" s="77">
        <f>IF(VLOOKUP($A354,raw_ub[],COLUMN(M$1),FALSE)=0, VLOOKUP($D354, regions_ub[], COLUMN(M$1), FALSE), VLOOKUP($A354,raw_ub[],COLUMN(M$1),FALSE))</f>
        <v>0.1278</v>
      </c>
      <c r="N354" s="68">
        <f>IF(VLOOKUP($A354,raw_ub[],COLUMN(N$1),FALSE)=0, VLOOKUP($D354, regions_ub[], COLUMN(N$1), FALSE), VLOOKUP($A354,raw_ub[],COLUMN(N$1),FALSE))</f>
        <v>0.41070000000000001</v>
      </c>
      <c r="O354" s="67">
        <f>IF(VLOOKUP($A354,raw_ub[],COLUMN(O$1),FALSE)=0, VLOOKUP($D354, regions_ub[], COLUMN(O$1), FALSE), VLOOKUP($A354,raw_ub[],COLUMN(O$1),FALSE))</f>
        <v>0.74399999999999999</v>
      </c>
      <c r="P354" s="68">
        <f>IF(VLOOKUP($A354,raw_ub[],COLUMN(P$1),FALSE)=0, VLOOKUP($D354, regions_ub[], COLUMN(P$1), FALSE), VLOOKUP($A354,raw_ub[],COLUMN(P$1),FALSE))</f>
        <v>0.13300000000000001</v>
      </c>
      <c r="Q354" s="70">
        <f>IF(VLOOKUP($A354,raw_ub[],COLUMN(Q$1),FALSE)=0, VLOOKUP($D354, regions_ub[], COLUMN(Q$1), FALSE), VLOOKUP($A354,raw_ub[],COLUMN(Q$1),FALSE))</f>
        <v>8.5702501721593691</v>
      </c>
      <c r="R354" s="70">
        <f>IF(VLOOKUP($A354,raw_ub[],COLUMN(R$1),FALSE)=0, VLOOKUP($D354, regions_ub[], COLUMN(R$1), FALSE), VLOOKUP($A354,raw_ub[],COLUMN(R$1),FALSE))</f>
        <v>117.55605017215939</v>
      </c>
      <c r="S354" s="70">
        <f>IF(VLOOKUP($A354,raw_ub[],COLUMN(S$1),FALSE)=0, VLOOKUP($D354, regions_ub[], COLUMN(S$1), FALSE), VLOOKUP($A354,raw_ub[],COLUMN(S$1),FALSE))</f>
        <v>151.87317585379068</v>
      </c>
      <c r="T354" s="70">
        <f>IF(VLOOKUP($A354,raw_ub[],COLUMN(U$1)-COLUMN($A$1),FALSE)=0, VLOOKUP($D354, regions_ub[], COLUMN(U$1)-COLUMN($A$1), FALSE), VLOOKUP($A354,raw_ub[],COLUMN(U$1)-COLUMN($A$1),FALSE))</f>
        <v>154.52605162068841</v>
      </c>
      <c r="U354" s="70">
        <f>IF(VLOOKUP($A354,raw_ub[],COLUMN(V$1)-COLUMN($A$1),FALSE)=0, VLOOKUP($D354, regions_ub[], COLUMN(V$1)-COLUMN($A$1), FALSE), VLOOKUP($A354,raw_ub[],COLUMN(V$1)-COLUMN($A$1),FALSE))</f>
        <v>153.30790714317905</v>
      </c>
      <c r="V354" s="70">
        <f>IF(VLOOKUP($A354,raw_ub[],COLUMN(W$1)-COLUMN($A$1),FALSE)=0, VLOOKUP($D354, regions_ub[], COLUMN(W$1)-COLUMN($A$1), FALSE), VLOOKUP($A354,raw_ub[],COLUMN(W$1)-COLUMN($A$1),FALSE))</f>
        <v>5.5757519315024924</v>
      </c>
      <c r="W354" s="70">
        <f>IF(VLOOKUP($A354,raw_ub[],COLUMN(X$1)-COLUMN($A$1),FALSE)=0, VLOOKUP($D354, regions_ub[], COLUMN(X$1)-COLUMN($A$1), FALSE), VLOOKUP($A354,raw_ub[],COLUMN(X$1)-COLUMN($A$1),FALSE))</f>
        <v>10.647251931502492</v>
      </c>
      <c r="X354" s="70">
        <f>IF(VLOOKUP($A354,raw_ub[],COLUMN(Y$1)-COLUMN($A$1),FALSE)=0, VLOOKUP($D354, regions_ub[], COLUMN(Y$1)-COLUMN($A$1), FALSE), VLOOKUP($A354,raw_ub[],COLUMN(Y$1)-COLUMN($A$1),FALSE))</f>
        <v>5.5571798932427541</v>
      </c>
      <c r="Y354" s="70">
        <f>IF(VLOOKUP($A354,raw_ub[],COLUMN(Z$1)-COLUMN($A$1),FALSE)=0, VLOOKUP($D354, regions_ub[], COLUMN(Z$1)-COLUMN($A$1), FALSE), VLOOKUP($A354,raw_ub[],COLUMN(Z$1)-COLUMN($A$1),FALSE))</f>
        <v>10.628679893242754</v>
      </c>
      <c r="Z354" s="70">
        <f>IF(VLOOKUP($A354,raw_ub[],COLUMN(AA$1)-COLUMN($A$1),FALSE)=0, VLOOKUP($D354, regions_ub[], COLUMN(AA$1)-COLUMN($A$1), FALSE), VLOOKUP($A354,raw_ub[],COLUMN(AA$1)-COLUMN($A$1),FALSE))</f>
        <v>10.618429341948511</v>
      </c>
      <c r="AA354" s="70">
        <f>IF(VLOOKUP($A354,raw_ub[],COLUMN(AB$1)-COLUMN($A$1),FALSE)=0, VLOOKUP($D354, regions_ub[], COLUMN(AB$1)-COLUMN($A$1), FALSE), VLOOKUP($A354,raw_ub[],COLUMN(AB$1)-COLUMN($A$1),FALSE))</f>
        <v>5.5800377864855086</v>
      </c>
      <c r="AB354" s="70">
        <f>IF(VLOOKUP($A354,raw_ub[],COLUMN(AC$1)-COLUMN($A$1),FALSE)=0, VLOOKUP($D354, regions_ub[], COLUMN(AC$1)-COLUMN($A$1), FALSE), VLOOKUP($A354,raw_ub[],COLUMN(AC$1)-COLUMN($A$1),FALSE))</f>
        <v>10.651537786485509</v>
      </c>
      <c r="AC354" s="72">
        <f>IF(VLOOKUP($A354,raw_ub[],COLUMN(AD$1)-COLUMN($A$1),FALSE)=0, VLOOKUP($D354, regions_ub[], COLUMN(AD$1)-COLUMN($A$1), FALSE), VLOOKUP($A354,raw_ub[],COLUMN(AD$1)-COLUMN($A$1),FALSE))</f>
        <v>5.6134700999999967E-2</v>
      </c>
      <c r="AD354" s="72">
        <f>IF(VLOOKUP($A354,raw_ub[],COLUMN(AE$1)-COLUMN($A$1),FALSE)=0, VLOOKUP($D354, regions_ub[], COLUMN(AE$1)-COLUMN($A$1), FALSE), VLOOKUP($A354,raw_ub[],COLUMN(AE$1)-COLUMN($A$1),FALSE))</f>
        <v>7.0406994484471033E-3</v>
      </c>
      <c r="AE354" s="72">
        <f>IF(VLOOKUP($A354,raw_ub[],COLUMN(AF$1)-COLUMN($A$1),FALSE)=0, VLOOKUP($D354, regions_ub[], COLUMN(AF$1)-COLUMN($A$1), FALSE), VLOOKUP($A354,raw_ub[],COLUMN(AF$1)-COLUMN($A$1),FALSE))</f>
        <v>1.1395208340525278E-3</v>
      </c>
      <c r="AF354" s="72">
        <f>IF(VLOOKUP($A354,raw_ub[],COLUMN(AG$1)-COLUMN($A$1),FALSE)=0, VLOOKUP($D354, regions_ub[], COLUMN(AG$1)-COLUMN($A$1), FALSE), VLOOKUP($A354,raw_ub[],COLUMN(AG$1)-COLUMN($A$1),FALSE))</f>
        <v>8.9912748883192394E-4</v>
      </c>
      <c r="AG354" s="72">
        <f>IF(VLOOKUP($A354,raw_ub[],COLUMN(AH$1)-COLUMN($A$1),FALSE)=0, VLOOKUP($D354, regions_ub[], COLUMN(AH$1)-COLUMN($A$1), FALSE), VLOOKUP($A354,raw_ub[],COLUMN(AH$1)-COLUMN($A$1),FALSE))</f>
        <v>1.4808202728696749E-3</v>
      </c>
      <c r="AH354" s="72">
        <f>IF(VLOOKUP($A354,raw_ub[],COLUMN(AI$1)-COLUMN($A$1),FALSE)=0, VLOOKUP($D354, regions_ub[], COLUMN(AI$1)-COLUMN($A$1), FALSE), VLOOKUP($A354,raw_ub[],COLUMN(AI$1)-COLUMN($A$1),FALSE))</f>
        <v>2.0731390145915596E-3</v>
      </c>
      <c r="AI354" s="72">
        <f>IF(VLOOKUP($A354,raw_ub[],COLUMN(AJ$1)-COLUMN($A$1),FALSE)=0, VLOOKUP($D354, regions_ub[], COLUMN(AJ$1)-COLUMN($A$1), FALSE), VLOOKUP($A354,raw_ub[],COLUMN(AJ$1)-COLUMN($A$1),FALSE))</f>
        <v>2.2495458546253652E-3</v>
      </c>
      <c r="AJ354" s="72">
        <f>IF(VLOOKUP($A354,raw_ub[],COLUMN(AK$1)-COLUMN($A$1),FALSE)=0, VLOOKUP($D354, regions_ub[], COLUMN(AK$1)-COLUMN($A$1), FALSE), VLOOKUP($A354,raw_ub[],COLUMN(AK$1)-COLUMN($A$1),FALSE))</f>
        <v>2.5812162459665894E-3</v>
      </c>
      <c r="AK354" s="72">
        <f>IF(VLOOKUP($A354,raw_ub[],COLUMN(AL$1)-COLUMN($A$1),FALSE)=0, VLOOKUP($D354, regions_ub[], COLUMN(AL$1)-COLUMN($A$1), FALSE), VLOOKUP($A354,raw_ub[],COLUMN(AL$1)-COLUMN($A$1),FALSE))</f>
        <v>3.2450188457233435E-3</v>
      </c>
      <c r="AL354" s="72">
        <f>IF(VLOOKUP($A354,raw_ub[],COLUMN(AM$1)-COLUMN($A$1),FALSE)=0, VLOOKUP($D354, regions_ub[], COLUMN(AM$1)-COLUMN($A$1), FALSE), VLOOKUP($A354,raw_ub[],COLUMN(AM$1)-COLUMN($A$1),FALSE))</f>
        <v>4.3777409656075459E-3</v>
      </c>
      <c r="AM354" s="72">
        <f>IF(VLOOKUP($A354,raw_ub[],COLUMN(AN$1)-COLUMN($A$1),FALSE)=0, VLOOKUP($D354, regions_ub[], COLUMN(AN$1)-COLUMN($A$1), FALSE), VLOOKUP($A354,raw_ub[],COLUMN(AN$1)-COLUMN($A$1),FALSE))</f>
        <v>6.3065091453133153E-3</v>
      </c>
      <c r="AN354" s="72">
        <f>IF(VLOOKUP($A354,raw_ub[],COLUMN(AO$1)-COLUMN($A$1),FALSE)=0, VLOOKUP($D354, regions_ub[], COLUMN(AO$1)-COLUMN($A$1), FALSE), VLOOKUP($A354,raw_ub[],COLUMN(AO$1)-COLUMN($A$1),FALSE))</f>
        <v>9.3318181424899525E-3</v>
      </c>
      <c r="AO354" s="72">
        <f>IF(VLOOKUP($A354,raw_ub[],COLUMN(AP$1)-COLUMN($A$1),FALSE)=0, VLOOKUP($D354, regions_ub[], COLUMN(AP$1)-COLUMN($A$1), FALSE), VLOOKUP($A354,raw_ub[],COLUMN(AP$1)-COLUMN($A$1),FALSE))</f>
        <v>1.3976991524957785E-2</v>
      </c>
      <c r="AP354" s="72">
        <f>IF(VLOOKUP($A354,raw_ub[],COLUMN(AQ$1)-COLUMN($A$1),FALSE)=0, VLOOKUP($D354, regions_ub[], COLUMN(AQ$1)-COLUMN($A$1), FALSE), VLOOKUP($A354,raw_ub[],COLUMN(AQ$1)-COLUMN($A$1),FALSE))</f>
        <v>2.1273933302699544E-2</v>
      </c>
      <c r="AQ354" s="72">
        <f>IF(VLOOKUP($A354,raw_ub[],COLUMN(AR$1)-COLUMN($A$1),FALSE)=0, VLOOKUP($D354, regions_ub[], COLUMN(AR$1)-COLUMN($A$1), FALSE), VLOOKUP($A354,raw_ub[],COLUMN(AR$1)-COLUMN($A$1),FALSE))</f>
        <v>3.2490195187394738E-2</v>
      </c>
      <c r="AR354" s="72">
        <f>IF(VLOOKUP($A354,raw_ub[],COLUMN(AS$1)-COLUMN($A$1),FALSE)=0, VLOOKUP($D354, regions_ub[], COLUMN(AS$1)-COLUMN($A$1), FALSE), VLOOKUP($A354,raw_ub[],COLUMN(AS$1)-COLUMN($A$1),FALSE))</f>
        <v>4.9963049929511713E-2</v>
      </c>
      <c r="AS354" s="72">
        <f>IF(VLOOKUP($A354,raw_ub[],COLUMN(AT$1)-COLUMN($A$1),FALSE)=0, VLOOKUP($D354, regions_ub[], COLUMN(AT$1)-COLUMN($A$1), FALSE), VLOOKUP($A354,raw_ub[],COLUMN(AT$1)-COLUMN($A$1),FALSE))</f>
        <v>7.5101391605558634E-2</v>
      </c>
      <c r="AT354" s="82">
        <f>IF(VLOOKUP($A354,raw_ub[],COLUMN(AT$1),FALSE)=0, VLOOKUP($D354, regions_ub[], COLUMN(AT$1), FALSE), VLOOKUP($A354,raw_ub[],COLUMN(AT$1),FALSE))</f>
        <v>0.10810369843483779</v>
      </c>
      <c r="AU354" s="82">
        <f>IF(VLOOKUP($A354,raw_ub[],COLUMN(AU$1),FALSE)=0, VLOOKUP($D354, regions_ub[], COLUMN(AU$1), FALSE), VLOOKUP($A354,raw_ub[],COLUMN(AU$1),FALSE))</f>
        <v>0.14279206298670988</v>
      </c>
      <c r="AV354" s="82">
        <f>IF(VLOOKUP($A354,raw_ub[],COLUMN(AV$1),FALSE)=0, VLOOKUP($D354, regions_ub[], COLUMN(AV$1), FALSE), VLOOKUP($A354,raw_ub[],COLUMN(AV$1),FALSE))</f>
        <v>0.170773742965936</v>
      </c>
      <c r="AW354" s="82">
        <f>IF(VLOOKUP($A354,raw_ub[],COLUMN(AW$1),FALSE)=0, VLOOKUP($D354, regions_ub[], COLUMN(AW$1), FALSE), VLOOKUP($A354,raw_ub[],COLUMN(AW$1),FALSE))</f>
        <v>0.18874182078128893</v>
      </c>
      <c r="AX354" s="82">
        <f>IF(VLOOKUP($A354,raw_ub[],COLUMN(AX$1),FALSE)=0, VLOOKUP($D354, regions_ub[], COLUMN(AX$1), FALSE), VLOOKUP($A354,raw_ub[],COLUMN(AX$1),FALSE))</f>
        <v>67.837350000000001</v>
      </c>
      <c r="AY354" t="str">
        <f t="shared" si="12"/>
        <v>Yes</v>
      </c>
    </row>
    <row r="355" spans="1:51" x14ac:dyDescent="0.25">
      <c r="A355" s="55" t="s">
        <v>378</v>
      </c>
      <c r="B355" s="56" t="s">
        <v>379</v>
      </c>
      <c r="C355" s="56">
        <v>480</v>
      </c>
      <c r="D355" s="56" t="s">
        <v>207</v>
      </c>
      <c r="E355" s="56" t="s">
        <v>261</v>
      </c>
      <c r="F355" s="56" t="s">
        <v>262</v>
      </c>
      <c r="G355" s="56" t="s">
        <v>204</v>
      </c>
      <c r="H355" s="74"/>
      <c r="I355" s="74"/>
      <c r="J355" s="67">
        <f>IF(VLOOKUP($A355,raw_ub[],COLUMN(J$1),FALSE)=0, VLOOKUP($D355, regions_ub[], COLUMN(J$1), FALSE), VLOOKUP($A355,raw_ub[],COLUMN(J$1),FALSE))</f>
        <v>0.999</v>
      </c>
      <c r="K355" s="77">
        <f>VLOOKUP($A355, raw_ub[], 11, FALSE)</f>
        <v>0</v>
      </c>
      <c r="L355" s="77">
        <f>VLOOKUP($A355, raw_ub[], 12, FALSE)</f>
        <v>0.97650000000000015</v>
      </c>
      <c r="M355" s="77">
        <f>IF(VLOOKUP($A355,raw_ub[],COLUMN(M$1),FALSE)=0, VLOOKUP($D355, regions_ub[], COLUMN(M$1), FALSE), VLOOKUP($A355,raw_ub[],COLUMN(M$1),FALSE))</f>
        <v>0.12839999999999999</v>
      </c>
      <c r="N355" s="68">
        <f>IF(VLOOKUP($A355,raw_ub[],COLUMN(N$1),FALSE)=0, VLOOKUP($D355, regions_ub[], COLUMN(N$1), FALSE), VLOOKUP($A355,raw_ub[],COLUMN(N$1),FALSE))</f>
        <v>0.47729999999999995</v>
      </c>
      <c r="O355" s="67">
        <f>IF(VLOOKUP($A355,raw_ub[],COLUMN(O$1),FALSE)=0, VLOOKUP($D355, regions_ub[], COLUMN(O$1), FALSE), VLOOKUP($A355,raw_ub[],COLUMN(O$1),FALSE))</f>
        <v>0.9</v>
      </c>
      <c r="P355" s="68">
        <f>IF(VLOOKUP($A355,raw_ub[],COLUMN(P$1),FALSE)=0, VLOOKUP($D355, regions_ub[], COLUMN(P$1), FALSE), VLOOKUP($A355,raw_ub[],COLUMN(P$1),FALSE))</f>
        <v>0.3</v>
      </c>
      <c r="Q355" s="70">
        <f>IF(VLOOKUP($A355,raw_ub[],COLUMN(Q$1),FALSE)=0, VLOOKUP($D355, regions_ub[], COLUMN(Q$1), FALSE), VLOOKUP($A355,raw_ub[],COLUMN(Q$1),FALSE))</f>
        <v>10.848787539350035</v>
      </c>
      <c r="R355" s="70">
        <f>IF(VLOOKUP($A355,raw_ub[],COLUMN(R$1),FALSE)=0, VLOOKUP($D355, regions_ub[], COLUMN(R$1), FALSE), VLOOKUP($A355,raw_ub[],COLUMN(R$1),FALSE))</f>
        <v>119.83458753935003</v>
      </c>
      <c r="S355" s="70">
        <f>IF(VLOOKUP($A355,raw_ub[],COLUMN(S$1),FALSE)=0, VLOOKUP($D355, regions_ub[], COLUMN(S$1), FALSE), VLOOKUP($A355,raw_ub[],COLUMN(S$1),FALSE))</f>
        <v>161.42169624364792</v>
      </c>
      <c r="T355" s="70">
        <f>IF(VLOOKUP($A355,raw_ub[],COLUMN(U$1)-COLUMN($A$1),FALSE)=0, VLOOKUP($D355, regions_ub[], COLUMN(U$1)-COLUMN($A$1), FALSE), VLOOKUP($A355,raw_ub[],COLUMN(U$1)-COLUMN($A$1),FALSE))</f>
        <v>167.85834407959484</v>
      </c>
      <c r="U355" s="70">
        <f>IF(VLOOKUP($A355,raw_ub[],COLUMN(V$1)-COLUMN($A$1),FALSE)=0, VLOOKUP($D355, regions_ub[], COLUMN(V$1)-COLUMN($A$1), FALSE), VLOOKUP($A355,raw_ub[],COLUMN(V$1)-COLUMN($A$1),FALSE))</f>
        <v>164.90277144673067</v>
      </c>
      <c r="V355" s="70">
        <f>IF(VLOOKUP($A355,raw_ub[],COLUMN(W$1)-COLUMN($A$1),FALSE)=0, VLOOKUP($D355, regions_ub[], COLUMN(W$1)-COLUMN($A$1), FALSE), VLOOKUP($A355,raw_ub[],COLUMN(W$1)-COLUMN($A$1),FALSE))</f>
        <v>20.501558866637698</v>
      </c>
      <c r="W355" s="70">
        <f>IF(VLOOKUP($A355,raw_ub[],COLUMN(X$1)-COLUMN($A$1),FALSE)=0, VLOOKUP($D355, regions_ub[], COLUMN(X$1)-COLUMN($A$1), FALSE), VLOOKUP($A355,raw_ub[],COLUMN(X$1)-COLUMN($A$1),FALSE))</f>
        <v>21.163058866637698</v>
      </c>
      <c r="X355" s="70">
        <f>IF(VLOOKUP($A355,raw_ub[],COLUMN(Y$1)-COLUMN($A$1),FALSE)=0, VLOOKUP($D355, regions_ub[], COLUMN(Y$1)-COLUMN($A$1), FALSE), VLOOKUP($A355,raw_ub[],COLUMN(Y$1)-COLUMN($A$1),FALSE))</f>
        <v>20.449428478144934</v>
      </c>
      <c r="Y355" s="70">
        <f>IF(VLOOKUP($A355,raw_ub[],COLUMN(Z$1)-COLUMN($A$1),FALSE)=0, VLOOKUP($D355, regions_ub[], COLUMN(Z$1)-COLUMN($A$1), FALSE), VLOOKUP($A355,raw_ub[],COLUMN(Z$1)-COLUMN($A$1),FALSE))</f>
        <v>21.110928478144935</v>
      </c>
      <c r="Z355" s="70">
        <f>IF(VLOOKUP($A355,raw_ub[],COLUMN(AA$1)-COLUMN($A$1),FALSE)=0, VLOOKUP($D355, regions_ub[], COLUMN(AA$1)-COLUMN($A$1), FALSE), VLOOKUP($A355,raw_ub[],COLUMN(AA$1)-COLUMN($A$1),FALSE))</f>
        <v>21.081385889210665</v>
      </c>
      <c r="AA355" s="70">
        <f>IF(VLOOKUP($A355,raw_ub[],COLUMN(AB$1)-COLUMN($A$1),FALSE)=0, VLOOKUP($D355, regions_ub[], COLUMN(AB$1)-COLUMN($A$1), FALSE), VLOOKUP($A355,raw_ub[],COLUMN(AB$1)-COLUMN($A$1),FALSE))</f>
        <v>20.513588956289873</v>
      </c>
      <c r="AB355" s="70">
        <f>IF(VLOOKUP($A355,raw_ub[],COLUMN(AC$1)-COLUMN($A$1),FALSE)=0, VLOOKUP($D355, regions_ub[], COLUMN(AC$1)-COLUMN($A$1), FALSE), VLOOKUP($A355,raw_ub[],COLUMN(AC$1)-COLUMN($A$1),FALSE))</f>
        <v>21.175088956289873</v>
      </c>
      <c r="AC355" s="72">
        <f>IF(VLOOKUP($A355,raw_ub[],COLUMN(AD$1)-COLUMN($A$1),FALSE)=0, VLOOKUP($D355, regions_ub[], COLUMN(AD$1)-COLUMN($A$1), FALSE), VLOOKUP($A355,raw_ub[],COLUMN(AD$1)-COLUMN($A$1),FALSE))</f>
        <v>1.1780737500000062E-2</v>
      </c>
      <c r="AD355" s="72">
        <f>IF(VLOOKUP($A355,raw_ub[],COLUMN(AE$1)-COLUMN($A$1),FALSE)=0, VLOOKUP($D355, regions_ub[], COLUMN(AE$1)-COLUMN($A$1), FALSE), VLOOKUP($A355,raw_ub[],COLUMN(AE$1)-COLUMN($A$1),FALSE))</f>
        <v>5.2028762204746652E-4</v>
      </c>
      <c r="AE355" s="72">
        <f>IF(VLOOKUP($A355,raw_ub[],COLUMN(AF$1)-COLUMN($A$1),FALSE)=0, VLOOKUP($D355, regions_ub[], COLUMN(AF$1)-COLUMN($A$1), FALSE), VLOOKUP($A355,raw_ub[],COLUMN(AF$1)-COLUMN($A$1),FALSE))</f>
        <v>1.5103173177076474E-4</v>
      </c>
      <c r="AF355" s="72">
        <f>IF(VLOOKUP($A355,raw_ub[],COLUMN(AG$1)-COLUMN($A$1),FALSE)=0, VLOOKUP($D355, regions_ub[], COLUMN(AG$1)-COLUMN($A$1), FALSE), VLOOKUP($A355,raw_ub[],COLUMN(AG$1)-COLUMN($A$1),FALSE))</f>
        <v>2.0343861589903168E-4</v>
      </c>
      <c r="AG355" s="72">
        <f>IF(VLOOKUP($A355,raw_ub[],COLUMN(AH$1)-COLUMN($A$1),FALSE)=0, VLOOKUP($D355, regions_ub[], COLUMN(AH$1)-COLUMN($A$1), FALSE), VLOOKUP($A355,raw_ub[],COLUMN(AH$1)-COLUMN($A$1),FALSE))</f>
        <v>5.7859195455679054E-4</v>
      </c>
      <c r="AH355" s="72">
        <f>IF(VLOOKUP($A355,raw_ub[],COLUMN(AI$1)-COLUMN($A$1),FALSE)=0, VLOOKUP($D355, regions_ub[], COLUMN(AI$1)-COLUMN($A$1), FALSE), VLOOKUP($A355,raw_ub[],COLUMN(AI$1)-COLUMN($A$1),FALSE))</f>
        <v>9.2786873578741785E-4</v>
      </c>
      <c r="AI355" s="72">
        <f>IF(VLOOKUP($A355,raw_ub[],COLUMN(AJ$1)-COLUMN($A$1),FALSE)=0, VLOOKUP($D355, regions_ub[], COLUMN(AJ$1)-COLUMN($A$1), FALSE), VLOOKUP($A355,raw_ub[],COLUMN(AJ$1)-COLUMN($A$1),FALSE))</f>
        <v>1.2773346716555664E-3</v>
      </c>
      <c r="AJ355" s="72">
        <f>IF(VLOOKUP($A355,raw_ub[],COLUMN(AK$1)-COLUMN($A$1),FALSE)=0, VLOOKUP($D355, regions_ub[], COLUMN(AK$1)-COLUMN($A$1), FALSE), VLOOKUP($A355,raw_ub[],COLUMN(AK$1)-COLUMN($A$1),FALSE))</f>
        <v>1.5857377044762261E-3</v>
      </c>
      <c r="AK355" s="72">
        <f>IF(VLOOKUP($A355,raw_ub[],COLUMN(AL$1)-COLUMN($A$1),FALSE)=0, VLOOKUP($D355, regions_ub[], COLUMN(AL$1)-COLUMN($A$1), FALSE), VLOOKUP($A355,raw_ub[],COLUMN(AL$1)-COLUMN($A$1),FALSE))</f>
        <v>2.3367892811238236E-3</v>
      </c>
      <c r="AL355" s="72">
        <f>IF(VLOOKUP($A355,raw_ub[],COLUMN(AM$1)-COLUMN($A$1),FALSE)=0, VLOOKUP($D355, regions_ub[], COLUMN(AM$1)-COLUMN($A$1), FALSE), VLOOKUP($A355,raw_ub[],COLUMN(AM$1)-COLUMN($A$1),FALSE))</f>
        <v>3.3412476730974206E-3</v>
      </c>
      <c r="AM355" s="72">
        <f>IF(VLOOKUP($A355,raw_ub[],COLUMN(AN$1)-COLUMN($A$1),FALSE)=0, VLOOKUP($D355, regions_ub[], COLUMN(AN$1)-COLUMN($A$1), FALSE), VLOOKUP($A355,raw_ub[],COLUMN(AN$1)-COLUMN($A$1),FALSE))</f>
        <v>4.8597601186383026E-3</v>
      </c>
      <c r="AN355" s="72">
        <f>IF(VLOOKUP($A355,raw_ub[],COLUMN(AO$1)-COLUMN($A$1),FALSE)=0, VLOOKUP($D355, regions_ub[], COLUMN(AO$1)-COLUMN($A$1), FALSE), VLOOKUP($A355,raw_ub[],COLUMN(AO$1)-COLUMN($A$1),FALSE))</f>
        <v>7.1767327960626558E-3</v>
      </c>
      <c r="AO355" s="72">
        <f>IF(VLOOKUP($A355,raw_ub[],COLUMN(AP$1)-COLUMN($A$1),FALSE)=0, VLOOKUP($D355, regions_ub[], COLUMN(AP$1)-COLUMN($A$1), FALSE), VLOOKUP($A355,raw_ub[],COLUMN(AP$1)-COLUMN($A$1),FALSE))</f>
        <v>9.9853469500731963E-3</v>
      </c>
      <c r="AP355" s="72">
        <f>IF(VLOOKUP($A355,raw_ub[],COLUMN(AQ$1)-COLUMN($A$1),FALSE)=0, VLOOKUP($D355, regions_ub[], COLUMN(AQ$1)-COLUMN($A$1), FALSE), VLOOKUP($A355,raw_ub[],COLUMN(AQ$1)-COLUMN($A$1),FALSE))</f>
        <v>1.5488406691365758E-2</v>
      </c>
      <c r="AQ355" s="72">
        <f>IF(VLOOKUP($A355,raw_ub[],COLUMN(AR$1)-COLUMN($A$1),FALSE)=0, VLOOKUP($D355, regions_ub[], COLUMN(AR$1)-COLUMN($A$1), FALSE), VLOOKUP($A355,raw_ub[],COLUMN(AR$1)-COLUMN($A$1),FALSE))</f>
        <v>2.2180575023002646E-2</v>
      </c>
      <c r="AR355" s="72">
        <f>IF(VLOOKUP($A355,raw_ub[],COLUMN(AS$1)-COLUMN($A$1),FALSE)=0, VLOOKUP($D355, regions_ub[], COLUMN(AS$1)-COLUMN($A$1), FALSE), VLOOKUP($A355,raw_ub[],COLUMN(AS$1)-COLUMN($A$1),FALSE))</f>
        <v>3.3515983496483513E-2</v>
      </c>
      <c r="AS355" s="72">
        <f>IF(VLOOKUP($A355,raw_ub[],COLUMN(AT$1)-COLUMN($A$1),FALSE)=0, VLOOKUP($D355, regions_ub[], COLUMN(AT$1)-COLUMN($A$1), FALSE), VLOOKUP($A355,raw_ub[],COLUMN(AT$1)-COLUMN($A$1),FALSE))</f>
        <v>4.7459282906829249E-2</v>
      </c>
      <c r="AT355" s="82">
        <f>IF(VLOOKUP($A355,raw_ub[],COLUMN(AT$1),FALSE)=0, VLOOKUP($D355, regions_ub[], COLUMN(AT$1), FALSE), VLOOKUP($A355,raw_ub[],COLUMN(AT$1),FALSE))</f>
        <v>7.0945093853940572E-2</v>
      </c>
      <c r="AU355" s="82">
        <f>IF(VLOOKUP($A355,raw_ub[],COLUMN(AU$1),FALSE)=0, VLOOKUP($D355, regions_ub[], COLUMN(AU$1), FALSE), VLOOKUP($A355,raw_ub[],COLUMN(AU$1),FALSE))</f>
        <v>9.9453969462453884E-2</v>
      </c>
      <c r="AV355" s="82">
        <f>IF(VLOOKUP($A355,raw_ub[],COLUMN(AV$1),FALSE)=0, VLOOKUP($D355, regions_ub[], COLUMN(AV$1), FALSE), VLOOKUP($A355,raw_ub[],COLUMN(AV$1),FALSE))</f>
        <v>0.12846768461234698</v>
      </c>
      <c r="AW355" s="82">
        <f>IF(VLOOKUP($A355,raw_ub[],COLUMN(AW$1),FALSE)=0, VLOOKUP($D355, regions_ub[], COLUMN(AW$1), FALSE), VLOOKUP($A355,raw_ub[],COLUMN(AW$1),FALSE))</f>
        <v>0.15512630193303556</v>
      </c>
      <c r="AX355" s="82">
        <f>IF(VLOOKUP($A355,raw_ub[],COLUMN(AX$1),FALSE)=0, VLOOKUP($D355, regions_ub[], COLUMN(AX$1), FALSE), VLOOKUP($A355,raw_ub[],COLUMN(AX$1),FALSE))</f>
        <v>78.50115000000001</v>
      </c>
      <c r="AY355" t="str">
        <f t="shared" si="12"/>
        <v>Yes</v>
      </c>
    </row>
    <row r="356" spans="1:51" x14ac:dyDescent="0.25">
      <c r="A356" s="53" t="s">
        <v>380</v>
      </c>
      <c r="B356" s="54" t="s">
        <v>381</v>
      </c>
      <c r="C356" s="54">
        <v>484</v>
      </c>
      <c r="D356" s="54" t="s">
        <v>215</v>
      </c>
      <c r="E356" s="54" t="s">
        <v>274</v>
      </c>
      <c r="F356" s="54" t="s">
        <v>217</v>
      </c>
      <c r="G356" s="54" t="s">
        <v>204</v>
      </c>
      <c r="H356" s="73"/>
      <c r="I356" s="73"/>
      <c r="J356" s="67">
        <f>IF(VLOOKUP($A356,raw_ub[],COLUMN(J$1),FALSE)=0, VLOOKUP($D356, regions_ub[], COLUMN(J$1), FALSE), VLOOKUP($A356,raw_ub[],COLUMN(J$1),FALSE))</f>
        <v>0.999</v>
      </c>
      <c r="K356" s="77">
        <f>VLOOKUP($A356, raw_ub[], 11, FALSE)</f>
        <v>0.54600000000000004</v>
      </c>
      <c r="L356" s="77">
        <f>VLOOKUP($A356, raw_ub[], 12, FALSE)</f>
        <v>0.82950000000000013</v>
      </c>
      <c r="M356" s="77">
        <f>IF(VLOOKUP($A356,raw_ub[],COLUMN(M$1),FALSE)=0, VLOOKUP($D356, regions_ub[], COLUMN(M$1), FALSE), VLOOKUP($A356,raw_ub[],COLUMN(M$1),FALSE))</f>
        <v>8.3999999999999995E-3</v>
      </c>
      <c r="N356" s="68">
        <f>IF(VLOOKUP($A356,raw_ub[],COLUMN(N$1),FALSE)=0, VLOOKUP($D356, regions_ub[], COLUMN(N$1), FALSE), VLOOKUP($A356,raw_ub[],COLUMN(N$1),FALSE))</f>
        <v>0.42950000000000005</v>
      </c>
      <c r="O356" s="67">
        <f>IF(VLOOKUP($A356,raw_ub[],COLUMN(O$1),FALSE)=0, VLOOKUP($D356, regions_ub[], COLUMN(O$1), FALSE), VLOOKUP($A356,raw_ub[],COLUMN(O$1),FALSE))</f>
        <v>0.9</v>
      </c>
      <c r="P356" s="68">
        <f>IF(VLOOKUP($A356,raw_ub[],COLUMN(P$1),FALSE)=0, VLOOKUP($D356, regions_ub[], COLUMN(P$1), FALSE), VLOOKUP($A356,raw_ub[],COLUMN(P$1),FALSE))</f>
        <v>0.3</v>
      </c>
      <c r="Q356" s="70">
        <f>IF(VLOOKUP($A356,raw_ub[],COLUMN(Q$1),FALSE)=0, VLOOKUP($D356, regions_ub[], COLUMN(Q$1), FALSE), VLOOKUP($A356,raw_ub[],COLUMN(Q$1),FALSE))</f>
        <v>39.186575546266397</v>
      </c>
      <c r="R356" s="70">
        <f>IF(VLOOKUP($A356,raw_ub[],COLUMN(R$1),FALSE)=0, VLOOKUP($D356, regions_ub[], COLUMN(R$1), FALSE), VLOOKUP($A356,raw_ub[],COLUMN(R$1),FALSE))</f>
        <v>148.17237554626638</v>
      </c>
      <c r="S356" s="70">
        <f>IF(VLOOKUP($A356,raw_ub[],COLUMN(S$1),FALSE)=0, VLOOKUP($D356, regions_ub[], COLUMN(S$1), FALSE), VLOOKUP($A356,raw_ub[],COLUMN(S$1),FALSE))</f>
        <v>290.31459124783123</v>
      </c>
      <c r="T356" s="70">
        <f>IF(VLOOKUP($A356,raw_ub[],COLUMN(U$1)-COLUMN($A$1),FALSE)=0, VLOOKUP($D356, regions_ub[], COLUMN(U$1)-COLUMN($A$1), FALSE), VLOOKUP($A356,raw_ub[],COLUMN(U$1)-COLUMN($A$1),FALSE))</f>
        <v>349.08665775948214</v>
      </c>
      <c r="U356" s="70">
        <f>IF(VLOOKUP($A356,raw_ub[],COLUMN(V$1)-COLUMN($A$1),FALSE)=0, VLOOKUP($D356, regions_ub[], COLUMN(V$1)-COLUMN($A$1), FALSE), VLOOKUP($A356,raw_ub[],COLUMN(V$1)-COLUMN($A$1),FALSE))</f>
        <v>322.09976710055719</v>
      </c>
      <c r="V356" s="70">
        <f>IF(VLOOKUP($A356,raw_ub[],COLUMN(W$1)-COLUMN($A$1),FALSE)=0, VLOOKUP($D356, regions_ub[], COLUMN(W$1)-COLUMN($A$1), FALSE), VLOOKUP($A356,raw_ub[],COLUMN(W$1)-COLUMN($A$1),FALSE))</f>
        <v>6.8439442460224669</v>
      </c>
      <c r="W356" s="70">
        <f>IF(VLOOKUP($A356,raw_ub[],COLUMN(X$1)-COLUMN($A$1),FALSE)=0, VLOOKUP($D356, regions_ub[], COLUMN(X$1)-COLUMN($A$1), FALSE), VLOOKUP($A356,raw_ub[],COLUMN(X$1)-COLUMN($A$1),FALSE))</f>
        <v>6.8649442460224668</v>
      </c>
      <c r="X356" s="70">
        <f>IF(VLOOKUP($A356,raw_ub[],COLUMN(Y$1)-COLUMN($A$1),FALSE)=0, VLOOKUP($D356, regions_ub[], COLUMN(Y$1)-COLUMN($A$1), FALSE), VLOOKUP($A356,raw_ub[],COLUMN(Y$1)-COLUMN($A$1),FALSE))</f>
        <v>6.7927842047020501</v>
      </c>
      <c r="Y356" s="70">
        <f>IF(VLOOKUP($A356,raw_ub[],COLUMN(Z$1)-COLUMN($A$1),FALSE)=0, VLOOKUP($D356, regions_ub[], COLUMN(Z$1)-COLUMN($A$1), FALSE), VLOOKUP($A356,raw_ub[],COLUMN(Z$1)-COLUMN($A$1),FALSE))</f>
        <v>6.81378420470205</v>
      </c>
      <c r="Z356" s="70">
        <f>IF(VLOOKUP($A356,raw_ub[],COLUMN(AA$1)-COLUMN($A$1),FALSE)=0, VLOOKUP($D356, regions_ub[], COLUMN(AA$1)-COLUMN($A$1), FALSE), VLOOKUP($A356,raw_ub[],COLUMN(AA$1)-COLUMN($A$1),FALSE))</f>
        <v>6.7842379157605892</v>
      </c>
      <c r="AA356" s="70">
        <f>IF(VLOOKUP($A356,raw_ub[],COLUMN(AB$1)-COLUMN($A$1),FALSE)=0, VLOOKUP($D356, regions_ub[], COLUMN(AB$1)-COLUMN($A$1), FALSE), VLOOKUP($A356,raw_ub[],COLUMN(AB$1)-COLUMN($A$1),FALSE))</f>
        <v>6.8557504094041013</v>
      </c>
      <c r="AB356" s="70">
        <f>IF(VLOOKUP($A356,raw_ub[],COLUMN(AC$1)-COLUMN($A$1),FALSE)=0, VLOOKUP($D356, regions_ub[], COLUMN(AC$1)-COLUMN($A$1), FALSE), VLOOKUP($A356,raw_ub[],COLUMN(AC$1)-COLUMN($A$1),FALSE))</f>
        <v>6.8767504094041012</v>
      </c>
      <c r="AC356" s="72">
        <f>IF(VLOOKUP($A356,raw_ub[],COLUMN(AD$1)-COLUMN($A$1),FALSE)=0, VLOOKUP($D356, regions_ub[], COLUMN(AD$1)-COLUMN($A$1), FALSE), VLOOKUP($A356,raw_ub[],COLUMN(AD$1)-COLUMN($A$1),FALSE))</f>
        <v>1.4188597499999981E-2</v>
      </c>
      <c r="AD356" s="72">
        <f>IF(VLOOKUP($A356,raw_ub[],COLUMN(AE$1)-COLUMN($A$1),FALSE)=0, VLOOKUP($D356, regions_ub[], COLUMN(AE$1)-COLUMN($A$1), FALSE), VLOOKUP($A356,raw_ub[],COLUMN(AE$1)-COLUMN($A$1),FALSE))</f>
        <v>5.4650742754302985E-4</v>
      </c>
      <c r="AE356" s="72">
        <f>IF(VLOOKUP($A356,raw_ub[],COLUMN(AF$1)-COLUMN($A$1),FALSE)=0, VLOOKUP($D356, regions_ub[], COLUMN(AF$1)-COLUMN($A$1), FALSE), VLOOKUP($A356,raw_ub[],COLUMN(AF$1)-COLUMN($A$1),FALSE))</f>
        <v>2.6787748178964282E-4</v>
      </c>
      <c r="AF356" s="72">
        <f>IF(VLOOKUP($A356,raw_ub[],COLUMN(AG$1)-COLUMN($A$1),FALSE)=0, VLOOKUP($D356, regions_ub[], COLUMN(AG$1)-COLUMN($A$1), FALSE), VLOOKUP($A356,raw_ub[],COLUMN(AG$1)-COLUMN($A$1),FALSE))</f>
        <v>3.8050341876212635E-4</v>
      </c>
      <c r="AG356" s="72">
        <f>IF(VLOOKUP($A356,raw_ub[],COLUMN(AH$1)-COLUMN($A$1),FALSE)=0, VLOOKUP($D356, regions_ub[], COLUMN(AH$1)-COLUMN($A$1), FALSE), VLOOKUP($A356,raw_ub[],COLUMN(AH$1)-COLUMN($A$1),FALSE))</f>
        <v>8.0487840964025116E-4</v>
      </c>
      <c r="AH356" s="72">
        <f>IF(VLOOKUP($A356,raw_ub[],COLUMN(AI$1)-COLUMN($A$1),FALSE)=0, VLOOKUP($D356, regions_ub[], COLUMN(AI$1)-COLUMN($A$1), FALSE), VLOOKUP($A356,raw_ub[],COLUMN(AI$1)-COLUMN($A$1),FALSE))</f>
        <v>1.31065992027429E-3</v>
      </c>
      <c r="AI356" s="72">
        <f>IF(VLOOKUP($A356,raw_ub[],COLUMN(AJ$1)-COLUMN($A$1),FALSE)=0, VLOOKUP($D356, regions_ub[], COLUMN(AJ$1)-COLUMN($A$1), FALSE), VLOOKUP($A356,raw_ub[],COLUMN(AJ$1)-COLUMN($A$1),FALSE))</f>
        <v>1.6458815766785624E-3</v>
      </c>
      <c r="AJ356" s="72">
        <f>IF(VLOOKUP($A356,raw_ub[],COLUMN(AK$1)-COLUMN($A$1),FALSE)=0, VLOOKUP($D356, regions_ub[], COLUMN(AK$1)-COLUMN($A$1), FALSE), VLOOKUP($A356,raw_ub[],COLUMN(AK$1)-COLUMN($A$1),FALSE))</f>
        <v>1.8961792144801214E-3</v>
      </c>
      <c r="AK356" s="72">
        <f>IF(VLOOKUP($A356,raw_ub[],COLUMN(AL$1)-COLUMN($A$1),FALSE)=0, VLOOKUP($D356, regions_ub[], COLUMN(AL$1)-COLUMN($A$1), FALSE), VLOOKUP($A356,raw_ub[],COLUMN(AL$1)-COLUMN($A$1),FALSE))</f>
        <v>2.2961312444337791E-3</v>
      </c>
      <c r="AL356" s="72">
        <f>IF(VLOOKUP($A356,raw_ub[],COLUMN(AM$1)-COLUMN($A$1),FALSE)=0, VLOOKUP($D356, regions_ub[], COLUMN(AM$1)-COLUMN($A$1), FALSE), VLOOKUP($A356,raw_ub[],COLUMN(AM$1)-COLUMN($A$1),FALSE))</f>
        <v>3.0459593139553608E-3</v>
      </c>
      <c r="AM356" s="72">
        <f>IF(VLOOKUP($A356,raw_ub[],COLUMN(AN$1)-COLUMN($A$1),FALSE)=0, VLOOKUP($D356, regions_ub[], COLUMN(AN$1)-COLUMN($A$1), FALSE), VLOOKUP($A356,raw_ub[],COLUMN(AN$1)-COLUMN($A$1),FALSE))</f>
        <v>4.3287216644763166E-3</v>
      </c>
      <c r="AN356" s="72">
        <f>IF(VLOOKUP($A356,raw_ub[],COLUMN(AO$1)-COLUMN($A$1),FALSE)=0, VLOOKUP($D356, regions_ub[], COLUMN(AO$1)-COLUMN($A$1), FALSE), VLOOKUP($A356,raw_ub[],COLUMN(AO$1)-COLUMN($A$1),FALSE))</f>
        <v>6.3824103364858963E-3</v>
      </c>
      <c r="AO356" s="72">
        <f>IF(VLOOKUP($A356,raw_ub[],COLUMN(AP$1)-COLUMN($A$1),FALSE)=0, VLOOKUP($D356, regions_ub[], COLUMN(AP$1)-COLUMN($A$1), FALSE), VLOOKUP($A356,raw_ub[],COLUMN(AP$1)-COLUMN($A$1),FALSE))</f>
        <v>9.5432157666218813E-3</v>
      </c>
      <c r="AP356" s="72">
        <f>IF(VLOOKUP($A356,raw_ub[],COLUMN(AQ$1)-COLUMN($A$1),FALSE)=0, VLOOKUP($D356, regions_ub[], COLUMN(AQ$1)-COLUMN($A$1), FALSE), VLOOKUP($A356,raw_ub[],COLUMN(AQ$1)-COLUMN($A$1),FALSE))</f>
        <v>1.4282655653215435E-2</v>
      </c>
      <c r="AQ356" s="72">
        <f>IF(VLOOKUP($A356,raw_ub[],COLUMN(AR$1)-COLUMN($A$1),FALSE)=0, VLOOKUP($D356, regions_ub[], COLUMN(AR$1)-COLUMN($A$1), FALSE), VLOOKUP($A356,raw_ub[],COLUMN(AR$1)-COLUMN($A$1),FALSE))</f>
        <v>2.1304254693115209E-2</v>
      </c>
      <c r="AR356" s="72">
        <f>IF(VLOOKUP($A356,raw_ub[],COLUMN(AS$1)-COLUMN($A$1),FALSE)=0, VLOOKUP($D356, regions_ub[], COLUMN(AS$1)-COLUMN($A$1), FALSE), VLOOKUP($A356,raw_ub[],COLUMN(AS$1)-COLUMN($A$1),FALSE))</f>
        <v>3.1490191880449964E-2</v>
      </c>
      <c r="AS356" s="72">
        <f>IF(VLOOKUP($A356,raw_ub[],COLUMN(AT$1)-COLUMN($A$1),FALSE)=0, VLOOKUP($D356, regions_ub[], COLUMN(AT$1)-COLUMN($A$1), FALSE), VLOOKUP($A356,raw_ub[],COLUMN(AT$1)-COLUMN($A$1),FALSE))</f>
        <v>4.5813897597584974E-2</v>
      </c>
      <c r="AT356" s="82">
        <f>IF(VLOOKUP($A356,raw_ub[],COLUMN(AT$1),FALSE)=0, VLOOKUP($D356, regions_ub[], COLUMN(AT$1), FALSE), VLOOKUP($A356,raw_ub[],COLUMN(AT$1),FALSE))</f>
        <v>6.5190284033272858E-2</v>
      </c>
      <c r="AU356" s="82">
        <f>IF(VLOOKUP($A356,raw_ub[],COLUMN(AU$1),FALSE)=0, VLOOKUP($D356, regions_ub[], COLUMN(AU$1), FALSE), VLOOKUP($A356,raw_ub[],COLUMN(AU$1),FALSE))</f>
        <v>9.0571515782686213E-2</v>
      </c>
      <c r="AV356" s="82">
        <f>IF(VLOOKUP($A356,raw_ub[],COLUMN(AV$1),FALSE)=0, VLOOKUP($D356, regions_ub[], COLUMN(AV$1), FALSE), VLOOKUP($A356,raw_ub[],COLUMN(AV$1),FALSE))</f>
        <v>0.12255005096636321</v>
      </c>
      <c r="AW356" s="82">
        <f>IF(VLOOKUP($A356,raw_ub[],COLUMN(AW$1),FALSE)=0, VLOOKUP($D356, regions_ub[], COLUMN(AW$1), FALSE), VLOOKUP($A356,raw_ub[],COLUMN(AW$1),FALSE))</f>
        <v>0.15764918840596712</v>
      </c>
      <c r="AX356" s="82">
        <f>IF(VLOOKUP($A356,raw_ub[],COLUMN(AX$1),FALSE)=0, VLOOKUP($D356, regions_ub[], COLUMN(AX$1), FALSE), VLOOKUP($A356,raw_ub[],COLUMN(AX$1),FALSE))</f>
        <v>78.725850000000008</v>
      </c>
      <c r="AY356" t="str">
        <f t="shared" si="12"/>
        <v>No</v>
      </c>
    </row>
    <row r="357" spans="1:51" x14ac:dyDescent="0.25">
      <c r="A357" s="55" t="s">
        <v>382</v>
      </c>
      <c r="B357" s="56" t="s">
        <v>383</v>
      </c>
      <c r="C357" s="56">
        <v>583</v>
      </c>
      <c r="D357" s="56" t="s">
        <v>260</v>
      </c>
      <c r="E357" s="56" t="s">
        <v>309</v>
      </c>
      <c r="F357" s="56" t="s">
        <v>262</v>
      </c>
      <c r="G357" s="56" t="s">
        <v>212</v>
      </c>
      <c r="H357" s="74"/>
      <c r="I357" s="74"/>
      <c r="J357" s="67">
        <f>IF(VLOOKUP($A357,raw_ub[],COLUMN(J$1),FALSE)=0, VLOOKUP($D357, regions_ub[], COLUMN(J$1), FALSE), VLOOKUP($A357,raw_ub[],COLUMN(J$1),FALSE))</f>
        <v>0.91349999999999998</v>
      </c>
      <c r="K357" s="77">
        <f>VLOOKUP($A357, raw_ub[], 11, FALSE)</f>
        <v>0.67200000000000004</v>
      </c>
      <c r="L357" s="77">
        <f>VLOOKUP($A357, raw_ub[], 12, FALSE)</f>
        <v>0.92400000000000004</v>
      </c>
      <c r="M357" s="77">
        <f>IF(VLOOKUP($A357,raw_ub[],COLUMN(M$1),FALSE)=0, VLOOKUP($D357, regions_ub[], COLUMN(M$1), FALSE), VLOOKUP($A357,raw_ub[],COLUMN(M$1),FALSE))</f>
        <v>5.1399999999999994E-2</v>
      </c>
      <c r="N357" s="68">
        <f>IF(VLOOKUP($A357,raw_ub[],COLUMN(N$1),FALSE)=0, VLOOKUP($D357, regions_ub[], COLUMN(N$1), FALSE), VLOOKUP($A357,raw_ub[],COLUMN(N$1),FALSE))</f>
        <v>0.47889999999999999</v>
      </c>
      <c r="O357" s="67">
        <f>IF(VLOOKUP($A357,raw_ub[],COLUMN(O$1),FALSE)=0, VLOOKUP($D357, regions_ub[], COLUMN(O$1), FALSE), VLOOKUP($A357,raw_ub[],COLUMN(O$1),FALSE))</f>
        <v>0.9</v>
      </c>
      <c r="P357" s="68">
        <f>IF(VLOOKUP($A357,raw_ub[],COLUMN(P$1),FALSE)=0, VLOOKUP($D357, regions_ub[], COLUMN(P$1), FALSE), VLOOKUP($A357,raw_ub[],COLUMN(P$1),FALSE))</f>
        <v>0.3</v>
      </c>
      <c r="Q357" s="70">
        <f>IF(VLOOKUP($A357,raw_ub[],COLUMN(Q$1),FALSE)=0, VLOOKUP($D357, regions_ub[], COLUMN(Q$1), FALSE), VLOOKUP($A357,raw_ub[],COLUMN(Q$1),FALSE))</f>
        <v>18.997622475106702</v>
      </c>
      <c r="R357" s="70">
        <f>IF(VLOOKUP($A357,raw_ub[],COLUMN(R$1),FALSE)=0, VLOOKUP($D357, regions_ub[], COLUMN(R$1), FALSE), VLOOKUP($A357,raw_ub[],COLUMN(R$1),FALSE))</f>
        <v>127.98342247510671</v>
      </c>
      <c r="S357" s="70">
        <f>IF(VLOOKUP($A357,raw_ub[],COLUMN(S$1),FALSE)=0, VLOOKUP($D357, regions_ub[], COLUMN(S$1), FALSE), VLOOKUP($A357,raw_ub[],COLUMN(S$1),FALSE))</f>
        <v>179.89889168044559</v>
      </c>
      <c r="T357" s="70">
        <f>IF(VLOOKUP($A357,raw_ub[],COLUMN(U$1)-COLUMN($A$1),FALSE)=0, VLOOKUP($D357, regions_ub[], COLUMN(U$1)-COLUMN($A$1), FALSE), VLOOKUP($A357,raw_ub[],COLUMN(U$1)-COLUMN($A$1),FALSE))</f>
        <v>191.7110901691334</v>
      </c>
      <c r="U357" s="70">
        <f>IF(VLOOKUP($A357,raw_ub[],COLUMN(V$1)-COLUMN($A$1),FALSE)=0, VLOOKUP($D357, regions_ub[], COLUMN(V$1)-COLUMN($A$1), FALSE), VLOOKUP($A357,raw_ub[],COLUMN(V$1)-COLUMN($A$1),FALSE))</f>
        <v>186.28717830119621</v>
      </c>
      <c r="V357" s="70">
        <f>IF(VLOOKUP($A357,raw_ub[],COLUMN(W$1)-COLUMN($A$1),FALSE)=0, VLOOKUP($D357, regions_ub[], COLUMN(W$1)-COLUMN($A$1), FALSE), VLOOKUP($A357,raw_ub[],COLUMN(W$1)-COLUMN($A$1),FALSE))</f>
        <v>14.637396592152998</v>
      </c>
      <c r="W357" s="70">
        <f>IF(VLOOKUP($A357,raw_ub[],COLUMN(X$1)-COLUMN($A$1),FALSE)=0, VLOOKUP($D357, regions_ub[], COLUMN(X$1)-COLUMN($A$1), FALSE), VLOOKUP($A357,raw_ub[],COLUMN(X$1)-COLUMN($A$1),FALSE))</f>
        <v>15.298896592152998</v>
      </c>
      <c r="X357" s="70">
        <f>IF(VLOOKUP($A357,raw_ub[],COLUMN(Y$1)-COLUMN($A$1),FALSE)=0, VLOOKUP($D357, regions_ub[], COLUMN(Y$1)-COLUMN($A$1), FALSE), VLOOKUP($A357,raw_ub[],COLUMN(Y$1)-COLUMN($A$1),FALSE))</f>
        <v>14.59914763704993</v>
      </c>
      <c r="Y357" s="70">
        <f>IF(VLOOKUP($A357,raw_ub[],COLUMN(Z$1)-COLUMN($A$1),FALSE)=0, VLOOKUP($D357, regions_ub[], COLUMN(Z$1)-COLUMN($A$1), FALSE), VLOOKUP($A357,raw_ub[],COLUMN(Z$1)-COLUMN($A$1),FALSE))</f>
        <v>15.26064763704993</v>
      </c>
      <c r="Z357" s="70">
        <f>IF(VLOOKUP($A357,raw_ub[],COLUMN(AA$1)-COLUMN($A$1),FALSE)=0, VLOOKUP($D357, regions_ub[], COLUMN(AA$1)-COLUMN($A$1), FALSE), VLOOKUP($A357,raw_ub[],COLUMN(AA$1)-COLUMN($A$1),FALSE))</f>
        <v>15.23998157995754</v>
      </c>
      <c r="AA357" s="70">
        <f>IF(VLOOKUP($A357,raw_ub[],COLUMN(AB$1)-COLUMN($A$1),FALSE)=0, VLOOKUP($D357, regions_ub[], COLUMN(AB$1)-COLUMN($A$1), FALSE), VLOOKUP($A357,raw_ub[],COLUMN(AB$1)-COLUMN($A$1),FALSE))</f>
        <v>14.64622327409986</v>
      </c>
      <c r="AB357" s="70">
        <f>IF(VLOOKUP($A357,raw_ub[],COLUMN(AC$1)-COLUMN($A$1),FALSE)=0, VLOOKUP($D357, regions_ub[], COLUMN(AC$1)-COLUMN($A$1), FALSE), VLOOKUP($A357,raw_ub[],COLUMN(AC$1)-COLUMN($A$1),FALSE))</f>
        <v>15.30772327409986</v>
      </c>
      <c r="AC357" s="72">
        <f>IF(VLOOKUP($A357,raw_ub[],COLUMN(AD$1)-COLUMN($A$1),FALSE)=0, VLOOKUP($D357, regions_ub[], COLUMN(AD$1)-COLUMN($A$1), FALSE), VLOOKUP($A357,raw_ub[],COLUMN(AD$1)-COLUMN($A$1),FALSE))</f>
        <v>2.4612913499999996E-2</v>
      </c>
      <c r="AD357" s="72">
        <f>IF(VLOOKUP($A357,raw_ub[],COLUMN(AE$1)-COLUMN($A$1),FALSE)=0, VLOOKUP($D357, regions_ub[], COLUMN(AE$1)-COLUMN($A$1), FALSE), VLOOKUP($A357,raw_ub[],COLUMN(AE$1)-COLUMN($A$1),FALSE))</f>
        <v>2.273131172302907E-3</v>
      </c>
      <c r="AE357" s="72">
        <f>IF(VLOOKUP($A357,raw_ub[],COLUMN(AF$1)-COLUMN($A$1),FALSE)=0, VLOOKUP($D357, regions_ub[], COLUMN(AF$1)-COLUMN($A$1), FALSE), VLOOKUP($A357,raw_ub[],COLUMN(AF$1)-COLUMN($A$1),FALSE))</f>
        <v>6.7219561249589862E-4</v>
      </c>
      <c r="AF357" s="72">
        <f>IF(VLOOKUP($A357,raw_ub[],COLUMN(AG$1)-COLUMN($A$1),FALSE)=0, VLOOKUP($D357, regions_ub[], COLUMN(AG$1)-COLUMN($A$1), FALSE), VLOOKUP($A357,raw_ub[],COLUMN(AG$1)-COLUMN($A$1),FALSE))</f>
        <v>5.7480585515656412E-4</v>
      </c>
      <c r="AG357" s="72">
        <f>IF(VLOOKUP($A357,raw_ub[],COLUMN(AH$1)-COLUMN($A$1),FALSE)=0, VLOOKUP($D357, regions_ub[], COLUMN(AH$1)-COLUMN($A$1), FALSE), VLOOKUP($A357,raw_ub[],COLUMN(AH$1)-COLUMN($A$1),FALSE))</f>
        <v>1.128458099712043E-3</v>
      </c>
      <c r="AH357" s="72">
        <f>IF(VLOOKUP($A357,raw_ub[],COLUMN(AI$1)-COLUMN($A$1),FALSE)=0, VLOOKUP($D357, regions_ub[], COLUMN(AI$1)-COLUMN($A$1), FALSE), VLOOKUP($A357,raw_ub[],COLUMN(AI$1)-COLUMN($A$1),FALSE))</f>
        <v>1.4602662373549467E-3</v>
      </c>
      <c r="AI357" s="72">
        <f>IF(VLOOKUP($A357,raw_ub[],COLUMN(AJ$1)-COLUMN($A$1),FALSE)=0, VLOOKUP($D357, regions_ub[], COLUMN(AJ$1)-COLUMN($A$1), FALSE), VLOOKUP($A357,raw_ub[],COLUMN(AJ$1)-COLUMN($A$1),FALSE))</f>
        <v>1.5505205526197097E-3</v>
      </c>
      <c r="AJ357" s="72">
        <f>IF(VLOOKUP($A357,raw_ub[],COLUMN(AK$1)-COLUMN($A$1),FALSE)=0, VLOOKUP($D357, regions_ub[], COLUMN(AK$1)-COLUMN($A$1), FALSE), VLOOKUP($A357,raw_ub[],COLUMN(AK$1)-COLUMN($A$1),FALSE))</f>
        <v>1.8252714350126765E-3</v>
      </c>
      <c r="AK357" s="72">
        <f>IF(VLOOKUP($A357,raw_ub[],COLUMN(AL$1)-COLUMN($A$1),FALSE)=0, VLOOKUP($D357, regions_ub[], COLUMN(AL$1)-COLUMN($A$1), FALSE), VLOOKUP($A357,raw_ub[],COLUMN(AL$1)-COLUMN($A$1),FALSE))</f>
        <v>2.4165348653988183E-3</v>
      </c>
      <c r="AL357" s="72">
        <f>IF(VLOOKUP($A357,raw_ub[],COLUMN(AM$1)-COLUMN($A$1),FALSE)=0, VLOOKUP($D357, regions_ub[], COLUMN(AM$1)-COLUMN($A$1), FALSE), VLOOKUP($A357,raw_ub[],COLUMN(AM$1)-COLUMN($A$1),FALSE))</f>
        <v>3.3940867988295604E-3</v>
      </c>
      <c r="AM357" s="72">
        <f>IF(VLOOKUP($A357,raw_ub[],COLUMN(AN$1)-COLUMN($A$1),FALSE)=0, VLOOKUP($D357, regions_ub[], COLUMN(AN$1)-COLUMN($A$1), FALSE), VLOOKUP($A357,raw_ub[],COLUMN(AN$1)-COLUMN($A$1),FALSE))</f>
        <v>5.1008216597419045E-3</v>
      </c>
      <c r="AN357" s="72">
        <f>IF(VLOOKUP($A357,raw_ub[],COLUMN(AO$1)-COLUMN($A$1),FALSE)=0, VLOOKUP($D357, regions_ub[], COLUMN(AO$1)-COLUMN($A$1), FALSE), VLOOKUP($A357,raw_ub[],COLUMN(AO$1)-COLUMN($A$1),FALSE))</f>
        <v>7.8207794809244946E-3</v>
      </c>
      <c r="AO357" s="72">
        <f>IF(VLOOKUP($A357,raw_ub[],COLUMN(AP$1)-COLUMN($A$1),FALSE)=0, VLOOKUP($D357, regions_ub[], COLUMN(AP$1)-COLUMN($A$1), FALSE), VLOOKUP($A357,raw_ub[],COLUMN(AP$1)-COLUMN($A$1),FALSE))</f>
        <v>1.212419536188163E-2</v>
      </c>
      <c r="AP357" s="72">
        <f>IF(VLOOKUP($A357,raw_ub[],COLUMN(AQ$1)-COLUMN($A$1),FALSE)=0, VLOOKUP($D357, regions_ub[], COLUMN(AQ$1)-COLUMN($A$1), FALSE), VLOOKUP($A357,raw_ub[],COLUMN(AQ$1)-COLUMN($A$1),FALSE))</f>
        <v>2.2994799358862492E-2</v>
      </c>
      <c r="AQ357" s="72">
        <f>IF(VLOOKUP($A357,raw_ub[],COLUMN(AR$1)-COLUMN($A$1),FALSE)=0, VLOOKUP($D357, regions_ub[], COLUMN(AR$1)-COLUMN($A$1), FALSE), VLOOKUP($A357,raw_ub[],COLUMN(AR$1)-COLUMN($A$1),FALSE))</f>
        <v>4.2512091957161338E-2</v>
      </c>
      <c r="AR357" s="72">
        <f>IF(VLOOKUP($A357,raw_ub[],COLUMN(AS$1)-COLUMN($A$1),FALSE)=0, VLOOKUP($D357, regions_ub[], COLUMN(AS$1)-COLUMN($A$1), FALSE), VLOOKUP($A357,raw_ub[],COLUMN(AS$1)-COLUMN($A$1),FALSE))</f>
        <v>6.7237172076621513E-2</v>
      </c>
      <c r="AS357" s="72">
        <f>IF(VLOOKUP($A357,raw_ub[],COLUMN(AT$1)-COLUMN($A$1),FALSE)=0, VLOOKUP($D357, regions_ub[], COLUMN(AT$1)-COLUMN($A$1), FALSE), VLOOKUP($A357,raw_ub[],COLUMN(AT$1)-COLUMN($A$1),FALSE))</f>
        <v>9.5939579224028848E-2</v>
      </c>
      <c r="AT357" s="82">
        <f>IF(VLOOKUP($A357,raw_ub[],COLUMN(AT$1),FALSE)=0, VLOOKUP($D357, regions_ub[], COLUMN(AT$1), FALSE), VLOOKUP($A357,raw_ub[],COLUMN(AT$1),FALSE))</f>
        <v>0.13071236701554539</v>
      </c>
      <c r="AU357" s="82">
        <f>IF(VLOOKUP($A357,raw_ub[],COLUMN(AU$1),FALSE)=0, VLOOKUP($D357, regions_ub[], COLUMN(AU$1), FALSE), VLOOKUP($A357,raw_ub[],COLUMN(AU$1),FALSE))</f>
        <v>0.16542203623111126</v>
      </c>
      <c r="AV357" s="82">
        <f>IF(VLOOKUP($A357,raw_ub[],COLUMN(AV$1),FALSE)=0, VLOOKUP($D357, regions_ub[], COLUMN(AV$1), FALSE), VLOOKUP($A357,raw_ub[],COLUMN(AV$1),FALSE))</f>
        <v>0.18825934096298777</v>
      </c>
      <c r="AW357" s="82">
        <f>IF(VLOOKUP($A357,raw_ub[],COLUMN(AW$1),FALSE)=0, VLOOKUP($D357, regions_ub[], COLUMN(AW$1), FALSE), VLOOKUP($A357,raw_ub[],COLUMN(AW$1),FALSE))</f>
        <v>0.19875113971850286</v>
      </c>
      <c r="AX357" s="82">
        <f>IF(VLOOKUP($A357,raw_ub[],COLUMN(AX$1),FALSE)=0, VLOOKUP($D357, regions_ub[], COLUMN(AX$1), FALSE), VLOOKUP($A357,raw_ub[],COLUMN(AX$1),FALSE))</f>
        <v>71.080799999999996</v>
      </c>
      <c r="AY357" t="str">
        <f t="shared" si="12"/>
        <v>No</v>
      </c>
    </row>
    <row r="358" spans="1:51" x14ac:dyDescent="0.25">
      <c r="A358" s="53" t="s">
        <v>384</v>
      </c>
      <c r="B358" s="54" t="s">
        <v>385</v>
      </c>
      <c r="C358" s="54">
        <v>498</v>
      </c>
      <c r="D358" s="54" t="s">
        <v>201</v>
      </c>
      <c r="E358" s="54" t="s">
        <v>229</v>
      </c>
      <c r="F358" s="54" t="s">
        <v>203</v>
      </c>
      <c r="G358" s="54" t="s">
        <v>212</v>
      </c>
      <c r="H358" s="73"/>
      <c r="I358" s="73"/>
      <c r="J358" s="67">
        <f>IF(VLOOKUP($A358,raw_ub[],COLUMN(J$1),FALSE)=0, VLOOKUP($D358, regions_ub[], COLUMN(J$1), FALSE), VLOOKUP($A358,raw_ub[],COLUMN(J$1),FALSE))</f>
        <v>0.999</v>
      </c>
      <c r="K358" s="77">
        <f>VLOOKUP($A358, raw_ub[], 11, FALSE)</f>
        <v>0.99749999999999994</v>
      </c>
      <c r="L358" s="77">
        <f>VLOOKUP($A358, raw_ub[], 12, FALSE)</f>
        <v>0.91349999999999998</v>
      </c>
      <c r="M358" s="77">
        <f>IF(VLOOKUP($A358,raw_ub[],COLUMN(M$1),FALSE)=0, VLOOKUP($D358, regions_ub[], COLUMN(M$1), FALSE), VLOOKUP($A358,raw_ub[],COLUMN(M$1),FALSE))</f>
        <v>5.5899999999999998E-2</v>
      </c>
      <c r="N358" s="68">
        <f>IF(VLOOKUP($A358,raw_ub[],COLUMN(N$1),FALSE)=0, VLOOKUP($D358, regions_ub[], COLUMN(N$1), FALSE), VLOOKUP($A358,raw_ub[],COLUMN(N$1),FALSE))</f>
        <v>0.42969999999999997</v>
      </c>
      <c r="O358" s="67">
        <f>IF(VLOOKUP($A358,raw_ub[],COLUMN(O$1),FALSE)=0, VLOOKUP($D358, regions_ub[], COLUMN(O$1), FALSE), VLOOKUP($A358,raw_ub[],COLUMN(O$1),FALSE))</f>
        <v>0.9</v>
      </c>
      <c r="P358" s="68">
        <f>IF(VLOOKUP($A358,raw_ub[],COLUMN(P$1),FALSE)=0, VLOOKUP($D358, regions_ub[], COLUMN(P$1), FALSE), VLOOKUP($A358,raw_ub[],COLUMN(P$1),FALSE))</f>
        <v>0.3</v>
      </c>
      <c r="Q358" s="70">
        <f>IF(VLOOKUP($A358,raw_ub[],COLUMN(Q$1),FALSE)=0, VLOOKUP($D358, regions_ub[], COLUMN(Q$1), FALSE), VLOOKUP($A358,raw_ub[],COLUMN(Q$1),FALSE))</f>
        <v>25.567430665665295</v>
      </c>
      <c r="R358" s="70">
        <f>IF(VLOOKUP($A358,raw_ub[],COLUMN(R$1),FALSE)=0, VLOOKUP($D358, regions_ub[], COLUMN(R$1), FALSE), VLOOKUP($A358,raw_ub[],COLUMN(R$1),FALSE))</f>
        <v>134.55323066566527</v>
      </c>
      <c r="S358" s="70">
        <f>IF(VLOOKUP($A358,raw_ub[],COLUMN(S$1),FALSE)=0, VLOOKUP($D358, regions_ub[], COLUMN(S$1), FALSE), VLOOKUP($A358,raw_ub[],COLUMN(S$1),FALSE))</f>
        <v>221.69198571092022</v>
      </c>
      <c r="T358" s="70">
        <f>IF(VLOOKUP($A358,raw_ub[],COLUMN(U$1)-COLUMN($A$1),FALSE)=0, VLOOKUP($D358, regions_ub[], COLUMN(U$1)-COLUMN($A$1), FALSE), VLOOKUP($A358,raw_ub[],COLUMN(U$1)-COLUMN($A$1),FALSE))</f>
        <v>251.83667338502664</v>
      </c>
      <c r="U358" s="70">
        <f>IF(VLOOKUP($A358,raw_ub[],COLUMN(V$1)-COLUMN($A$1),FALSE)=0, VLOOKUP($D358, regions_ub[], COLUMN(V$1)-COLUMN($A$1), FALSE), VLOOKUP($A358,raw_ub[],COLUMN(V$1)-COLUMN($A$1),FALSE))</f>
        <v>237.99486998260102</v>
      </c>
      <c r="V358" s="70">
        <f>IF(VLOOKUP($A358,raw_ub[],COLUMN(W$1)-COLUMN($A$1),FALSE)=0, VLOOKUP($D358, regions_ub[], COLUMN(W$1)-COLUMN($A$1), FALSE), VLOOKUP($A358,raw_ub[],COLUMN(W$1)-COLUMN($A$1),FALSE))</f>
        <v>9.3466834727312218</v>
      </c>
      <c r="W358" s="70">
        <f>IF(VLOOKUP($A358,raw_ub[],COLUMN(X$1)-COLUMN($A$1),FALSE)=0, VLOOKUP($D358, regions_ub[], COLUMN(X$1)-COLUMN($A$1), FALSE), VLOOKUP($A358,raw_ub[],COLUMN(X$1)-COLUMN($A$1),FALSE))</f>
        <v>13.620183472731222</v>
      </c>
      <c r="X358" s="70">
        <f>IF(VLOOKUP($A358,raw_ub[],COLUMN(Y$1)-COLUMN($A$1),FALSE)=0, VLOOKUP($D358, regions_ub[], COLUMN(Y$1)-COLUMN($A$1), FALSE), VLOOKUP($A358,raw_ub[],COLUMN(Y$1)-COLUMN($A$1),FALSE))</f>
        <v>9.319348743575846</v>
      </c>
      <c r="Y358" s="70">
        <f>IF(VLOOKUP($A358,raw_ub[],COLUMN(Z$1)-COLUMN($A$1),FALSE)=0, VLOOKUP($D358, regions_ub[], COLUMN(Z$1)-COLUMN($A$1), FALSE), VLOOKUP($A358,raw_ub[],COLUMN(Z$1)-COLUMN($A$1),FALSE))</f>
        <v>13.592848743575846</v>
      </c>
      <c r="Z358" s="70">
        <f>IF(VLOOKUP($A358,raw_ub[],COLUMN(AA$1)-COLUMN($A$1),FALSE)=0, VLOOKUP($D358, regions_ub[], COLUMN(AA$1)-COLUMN($A$1), FALSE), VLOOKUP($A358,raw_ub[],COLUMN(AA$1)-COLUMN($A$1),FALSE))</f>
        <v>13.577450375422348</v>
      </c>
      <c r="AA358" s="70">
        <f>IF(VLOOKUP($A358,raw_ub[],COLUMN(AB$1)-COLUMN($A$1),FALSE)=0, VLOOKUP($D358, regions_ub[], COLUMN(AB$1)-COLUMN($A$1), FALSE), VLOOKUP($A358,raw_ub[],COLUMN(AB$1)-COLUMN($A$1),FALSE))</f>
        <v>9.3529914871516944</v>
      </c>
      <c r="AB358" s="70">
        <f>IF(VLOOKUP($A358,raw_ub[],COLUMN(AC$1)-COLUMN($A$1),FALSE)=0, VLOOKUP($D358, regions_ub[], COLUMN(AC$1)-COLUMN($A$1), FALSE), VLOOKUP($A358,raw_ub[],COLUMN(AC$1)-COLUMN($A$1),FALSE))</f>
        <v>13.626491487151695</v>
      </c>
      <c r="AC358" s="72">
        <f>IF(VLOOKUP($A358,raw_ub[],COLUMN(AD$1)-COLUMN($A$1),FALSE)=0, VLOOKUP($D358, regions_ub[], COLUMN(AD$1)-COLUMN($A$1), FALSE), VLOOKUP($A358,raw_ub[],COLUMN(AD$1)-COLUMN($A$1),FALSE))</f>
        <v>1.2973873500000038E-2</v>
      </c>
      <c r="AD358" s="72">
        <f>IF(VLOOKUP($A358,raw_ub[],COLUMN(AE$1)-COLUMN($A$1),FALSE)=0, VLOOKUP($D358, regions_ub[], COLUMN(AE$1)-COLUMN($A$1), FALSE), VLOOKUP($A358,raw_ub[],COLUMN(AE$1)-COLUMN($A$1),FALSE))</f>
        <v>5.4235892484044723E-4</v>
      </c>
      <c r="AE358" s="72">
        <f>IF(VLOOKUP($A358,raw_ub[],COLUMN(AF$1)-COLUMN($A$1),FALSE)=0, VLOOKUP($D358, regions_ub[], COLUMN(AF$1)-COLUMN($A$1), FALSE), VLOOKUP($A358,raw_ub[],COLUMN(AF$1)-COLUMN($A$1),FALSE))</f>
        <v>2.3702050600823009E-4</v>
      </c>
      <c r="AF358" s="72">
        <f>IF(VLOOKUP($A358,raw_ub[],COLUMN(AG$1)-COLUMN($A$1),FALSE)=0, VLOOKUP($D358, regions_ub[], COLUMN(AG$1)-COLUMN($A$1), FALSE), VLOOKUP($A358,raw_ub[],COLUMN(AG$1)-COLUMN($A$1),FALSE))</f>
        <v>1.8532217834292628E-4</v>
      </c>
      <c r="AG358" s="72">
        <f>IF(VLOOKUP($A358,raw_ub[],COLUMN(AH$1)-COLUMN($A$1),FALSE)=0, VLOOKUP($D358, regions_ub[], COLUMN(AH$1)-COLUMN($A$1), FALSE), VLOOKUP($A358,raw_ub[],COLUMN(AH$1)-COLUMN($A$1),FALSE))</f>
        <v>4.3283451609274905E-4</v>
      </c>
      <c r="AH358" s="72">
        <f>IF(VLOOKUP($A358,raw_ub[],COLUMN(AI$1)-COLUMN($A$1),FALSE)=0, VLOOKUP($D358, regions_ub[], COLUMN(AI$1)-COLUMN($A$1), FALSE), VLOOKUP($A358,raw_ub[],COLUMN(AI$1)-COLUMN($A$1),FALSE))</f>
        <v>5.8630448054047542E-4</v>
      </c>
      <c r="AI358" s="72">
        <f>IF(VLOOKUP($A358,raw_ub[],COLUMN(AJ$1)-COLUMN($A$1),FALSE)=0, VLOOKUP($D358, regions_ub[], COLUMN(AJ$1)-COLUMN($A$1), FALSE), VLOOKUP($A358,raw_ub[],COLUMN(AJ$1)-COLUMN($A$1),FALSE))</f>
        <v>8.8177094319286337E-4</v>
      </c>
      <c r="AJ358" s="72">
        <f>IF(VLOOKUP($A358,raw_ub[],COLUMN(AK$1)-COLUMN($A$1),FALSE)=0, VLOOKUP($D358, regions_ub[], COLUMN(AK$1)-COLUMN($A$1), FALSE), VLOOKUP($A358,raw_ub[],COLUMN(AK$1)-COLUMN($A$1),FALSE))</f>
        <v>1.3556979863299369E-3</v>
      </c>
      <c r="AK358" s="72">
        <f>IF(VLOOKUP($A358,raw_ub[],COLUMN(AL$1)-COLUMN($A$1),FALSE)=0, VLOOKUP($D358, regions_ub[], COLUMN(AL$1)-COLUMN($A$1), FALSE), VLOOKUP($A358,raw_ub[],COLUMN(AL$1)-COLUMN($A$1),FALSE))</f>
        <v>2.4244366080392824E-3</v>
      </c>
      <c r="AL358" s="72">
        <f>IF(VLOOKUP($A358,raw_ub[],COLUMN(AM$1)-COLUMN($A$1),FALSE)=0, VLOOKUP($D358, regions_ub[], COLUMN(AM$1)-COLUMN($A$1), FALSE), VLOOKUP($A358,raw_ub[],COLUMN(AM$1)-COLUMN($A$1),FALSE))</f>
        <v>3.4095671494057669E-3</v>
      </c>
      <c r="AM358" s="72">
        <f>IF(VLOOKUP($A358,raw_ub[],COLUMN(AN$1)-COLUMN($A$1),FALSE)=0, VLOOKUP($D358, regions_ub[], COLUMN(AN$1)-COLUMN($A$1), FALSE), VLOOKUP($A358,raw_ub[],COLUMN(AN$1)-COLUMN($A$1),FALSE))</f>
        <v>6.0468205675088043E-3</v>
      </c>
      <c r="AN358" s="72">
        <f>IF(VLOOKUP($A358,raw_ub[],COLUMN(AO$1)-COLUMN($A$1),FALSE)=0, VLOOKUP($D358, regions_ub[], COLUMN(AO$1)-COLUMN($A$1), FALSE), VLOOKUP($A358,raw_ub[],COLUMN(AO$1)-COLUMN($A$1),FALSE))</f>
        <v>8.9795777323924408E-3</v>
      </c>
      <c r="AO358" s="72">
        <f>IF(VLOOKUP($A358,raw_ub[],COLUMN(AP$1)-COLUMN($A$1),FALSE)=0, VLOOKUP($D358, regions_ub[], COLUMN(AP$1)-COLUMN($A$1), FALSE), VLOOKUP($A358,raw_ub[],COLUMN(AP$1)-COLUMN($A$1),FALSE))</f>
        <v>1.3463024991203899E-2</v>
      </c>
      <c r="AP358" s="72">
        <f>IF(VLOOKUP($A358,raw_ub[],COLUMN(AQ$1)-COLUMN($A$1),FALSE)=0, VLOOKUP($D358, regions_ub[], COLUMN(AQ$1)-COLUMN($A$1), FALSE), VLOOKUP($A358,raw_ub[],COLUMN(AQ$1)-COLUMN($A$1),FALSE))</f>
        <v>2.2146356081337307E-2</v>
      </c>
      <c r="AQ358" s="72">
        <f>IF(VLOOKUP($A358,raw_ub[],COLUMN(AR$1)-COLUMN($A$1),FALSE)=0, VLOOKUP($D358, regions_ub[], COLUMN(AR$1)-COLUMN($A$1), FALSE), VLOOKUP($A358,raw_ub[],COLUMN(AR$1)-COLUMN($A$1),FALSE))</f>
        <v>2.8740958466349074E-2</v>
      </c>
      <c r="AR358" s="72">
        <f>IF(VLOOKUP($A358,raw_ub[],COLUMN(AS$1)-COLUMN($A$1),FALSE)=0, VLOOKUP($D358, regions_ub[], COLUMN(AS$1)-COLUMN($A$1), FALSE), VLOOKUP($A358,raw_ub[],COLUMN(AS$1)-COLUMN($A$1),FALSE))</f>
        <v>4.4553775002572502E-2</v>
      </c>
      <c r="AS358" s="72">
        <f>IF(VLOOKUP($A358,raw_ub[],COLUMN(AT$1)-COLUMN($A$1),FALSE)=0, VLOOKUP($D358, regions_ub[], COLUMN(AT$1)-COLUMN($A$1), FALSE), VLOOKUP($A358,raw_ub[],COLUMN(AT$1)-COLUMN($A$1),FALSE))</f>
        <v>6.6937421870355701E-2</v>
      </c>
      <c r="AT358" s="82">
        <f>IF(VLOOKUP($A358,raw_ub[],COLUMN(AT$1),FALSE)=0, VLOOKUP($D358, regions_ub[], COLUMN(AT$1), FALSE), VLOOKUP($A358,raw_ub[],COLUMN(AT$1),FALSE))</f>
        <v>9.6732134571568554E-2</v>
      </c>
      <c r="AU358" s="82">
        <f>IF(VLOOKUP($A358,raw_ub[],COLUMN(AU$1),FALSE)=0, VLOOKUP($D358, regions_ub[], COLUMN(AU$1), FALSE), VLOOKUP($A358,raw_ub[],COLUMN(AU$1),FALSE))</f>
        <v>0.13008436902881076</v>
      </c>
      <c r="AV358" s="82">
        <f>IF(VLOOKUP($A358,raw_ub[],COLUMN(AV$1),FALSE)=0, VLOOKUP($D358, regions_ub[], COLUMN(AV$1), FALSE), VLOOKUP($A358,raw_ub[],COLUMN(AV$1),FALSE))</f>
        <v>0.15763721221557697</v>
      </c>
      <c r="AW358" s="82">
        <f>IF(VLOOKUP($A358,raw_ub[],COLUMN(AW$1),FALSE)=0, VLOOKUP($D358, regions_ub[], COLUMN(AW$1), FALSE), VLOOKUP($A358,raw_ub[],COLUMN(AW$1),FALSE))</f>
        <v>0.18181257622945934</v>
      </c>
      <c r="AX358" s="82">
        <f>IF(VLOOKUP($A358,raw_ub[],COLUMN(AX$1),FALSE)=0, VLOOKUP($D358, regions_ub[], COLUMN(AX$1), FALSE), VLOOKUP($A358,raw_ub[],COLUMN(AX$1),FALSE))</f>
        <v>75.268200000000007</v>
      </c>
      <c r="AY358" t="str">
        <f t="shared" si="12"/>
        <v>No</v>
      </c>
    </row>
    <row r="359" spans="1:51" x14ac:dyDescent="0.25">
      <c r="A359" s="55" t="s">
        <v>386</v>
      </c>
      <c r="B359" s="56" t="s">
        <v>387</v>
      </c>
      <c r="C359" s="56">
        <v>496</v>
      </c>
      <c r="D359" s="56" t="s">
        <v>260</v>
      </c>
      <c r="E359" s="56" t="s">
        <v>220</v>
      </c>
      <c r="F359" s="56" t="s">
        <v>203</v>
      </c>
      <c r="G359" s="56" t="s">
        <v>212</v>
      </c>
      <c r="H359" s="74"/>
      <c r="I359" s="74"/>
      <c r="J359" s="67">
        <f>IF(VLOOKUP($A359,raw_ub[],COLUMN(J$1),FALSE)=0, VLOOKUP($D359, regions_ub[], COLUMN(J$1), FALSE), VLOOKUP($A359,raw_ub[],COLUMN(J$1),FALSE))</f>
        <v>0.999</v>
      </c>
      <c r="K359" s="77">
        <f>VLOOKUP($A359, raw_ub[], 11, FALSE)</f>
        <v>0.999</v>
      </c>
      <c r="L359" s="77">
        <f>VLOOKUP($A359, raw_ub[], 12, FALSE)</f>
        <v>0.999</v>
      </c>
      <c r="M359" s="77">
        <f>IF(VLOOKUP($A359,raw_ub[],COLUMN(M$1),FALSE)=0, VLOOKUP($D359, regions_ub[], COLUMN(M$1), FALSE), VLOOKUP($A359,raw_ub[],COLUMN(M$1),FALSE))</f>
        <v>0.107</v>
      </c>
      <c r="N359" s="68">
        <f>IF(VLOOKUP($A359,raw_ub[],COLUMN(N$1),FALSE)=0, VLOOKUP($D359, regions_ub[], COLUMN(N$1), FALSE), VLOOKUP($A359,raw_ub[],COLUMN(N$1),FALSE))</f>
        <v>0.43079999999999996</v>
      </c>
      <c r="O359" s="67">
        <f>IF(VLOOKUP($A359,raw_ub[],COLUMN(O$1),FALSE)=0, VLOOKUP($D359, regions_ub[], COLUMN(O$1), FALSE), VLOOKUP($A359,raw_ub[],COLUMN(O$1),FALSE))</f>
        <v>0.9</v>
      </c>
      <c r="P359" s="68">
        <f>IF(VLOOKUP($A359,raw_ub[],COLUMN(P$1),FALSE)=0, VLOOKUP($D359, regions_ub[], COLUMN(P$1), FALSE), VLOOKUP($A359,raw_ub[],COLUMN(P$1),FALSE))</f>
        <v>0.3</v>
      </c>
      <c r="Q359" s="70">
        <f>IF(VLOOKUP($A359,raw_ub[],COLUMN(Q$1),FALSE)=0, VLOOKUP($D359, regions_ub[], COLUMN(Q$1), FALSE), VLOOKUP($A359,raw_ub[],COLUMN(Q$1),FALSE))</f>
        <v>11.793604733444901</v>
      </c>
      <c r="R359" s="70">
        <f>IF(VLOOKUP($A359,raw_ub[],COLUMN(R$1),FALSE)=0, VLOOKUP($D359, regions_ub[], COLUMN(R$1), FALSE), VLOOKUP($A359,raw_ub[],COLUMN(R$1),FALSE))</f>
        <v>120.77940473344491</v>
      </c>
      <c r="S359" s="70">
        <f>IF(VLOOKUP($A359,raw_ub[],COLUMN(S$1),FALSE)=0, VLOOKUP($D359, regions_ub[], COLUMN(S$1), FALSE), VLOOKUP($A359,raw_ub[],COLUMN(S$1),FALSE))</f>
        <v>161.4671564166317</v>
      </c>
      <c r="T359" s="70">
        <f>IF(VLOOKUP($A359,raw_ub[],COLUMN(U$1)-COLUMN($A$1),FALSE)=0, VLOOKUP($D359, regions_ub[], COLUMN(U$1)-COLUMN($A$1), FALSE), VLOOKUP($A359,raw_ub[],COLUMN(U$1)-COLUMN($A$1),FALSE))</f>
        <v>167.43572035665019</v>
      </c>
      <c r="U359" s="70">
        <f>IF(VLOOKUP($A359,raw_ub[],COLUMN(V$1)-COLUMN($A$1),FALSE)=0, VLOOKUP($D359, regions_ub[], COLUMN(V$1)-COLUMN($A$1), FALSE), VLOOKUP($A359,raw_ub[],COLUMN(V$1)-COLUMN($A$1),FALSE))</f>
        <v>164.69508195476331</v>
      </c>
      <c r="V359" s="70">
        <f>IF(VLOOKUP($A359,raw_ub[],COLUMN(W$1)-COLUMN($A$1),FALSE)=0, VLOOKUP($D359, regions_ub[], COLUMN(W$1)-COLUMN($A$1), FALSE), VLOOKUP($A359,raw_ub[],COLUMN(W$1)-COLUMN($A$1),FALSE))</f>
        <v>12.33729160363816</v>
      </c>
      <c r="W359" s="70">
        <f>IF(VLOOKUP($A359,raw_ub[],COLUMN(X$1)-COLUMN($A$1),FALSE)=0, VLOOKUP($D359, regions_ub[], COLUMN(X$1)-COLUMN($A$1), FALSE), VLOOKUP($A359,raw_ub[],COLUMN(X$1)-COLUMN($A$1),FALSE))</f>
        <v>16.610791603638162</v>
      </c>
      <c r="X359" s="70">
        <f>IF(VLOOKUP($A359,raw_ub[],COLUMN(Y$1)-COLUMN($A$1),FALSE)=0, VLOOKUP($D359, regions_ub[], COLUMN(Y$1)-COLUMN($A$1), FALSE), VLOOKUP($A359,raw_ub[],COLUMN(Y$1)-COLUMN($A$1),FALSE))</f>
        <v>12.290639712352087</v>
      </c>
      <c r="Y359" s="70">
        <f>IF(VLOOKUP($A359,raw_ub[],COLUMN(Z$1)-COLUMN($A$1),FALSE)=0, VLOOKUP($D359, regions_ub[], COLUMN(Z$1)-COLUMN($A$1), FALSE), VLOOKUP($A359,raw_ub[],COLUMN(Z$1)-COLUMN($A$1),FALSE))</f>
        <v>16.564139712352087</v>
      </c>
      <c r="Z359" s="70">
        <f>IF(VLOOKUP($A359,raw_ub[],COLUMN(AA$1)-COLUMN($A$1),FALSE)=0, VLOOKUP($D359, regions_ub[], COLUMN(AA$1)-COLUMN($A$1), FALSE), VLOOKUP($A359,raw_ub[],COLUMN(AA$1)-COLUMN($A$1),FALSE))</f>
        <v>16.536803114945929</v>
      </c>
      <c r="AA359" s="70">
        <f>IF(VLOOKUP($A359,raw_ub[],COLUMN(AB$1)-COLUMN($A$1),FALSE)=0, VLOOKUP($D359, regions_ub[], COLUMN(AB$1)-COLUMN($A$1), FALSE), VLOOKUP($A359,raw_ub[],COLUMN(AB$1)-COLUMN($A$1),FALSE))</f>
        <v>12.348057424704177</v>
      </c>
      <c r="AB359" s="70">
        <f>IF(VLOOKUP($A359,raw_ub[],COLUMN(AC$1)-COLUMN($A$1),FALSE)=0, VLOOKUP($D359, regions_ub[], COLUMN(AC$1)-COLUMN($A$1), FALSE), VLOOKUP($A359,raw_ub[],COLUMN(AC$1)-COLUMN($A$1),FALSE))</f>
        <v>16.621557424704179</v>
      </c>
      <c r="AC359" s="72">
        <f>IF(VLOOKUP($A359,raw_ub[],COLUMN(AD$1)-COLUMN($A$1),FALSE)=0, VLOOKUP($D359, regions_ub[], COLUMN(AD$1)-COLUMN($A$1), FALSE), VLOOKUP($A359,raw_ub[],COLUMN(AD$1)-COLUMN($A$1),FALSE))</f>
        <v>1.8996242999999975E-2</v>
      </c>
      <c r="AD359" s="72">
        <f>IF(VLOOKUP($A359,raw_ub[],COLUMN(AE$1)-COLUMN($A$1),FALSE)=0, VLOOKUP($D359, regions_ub[], COLUMN(AE$1)-COLUMN($A$1), FALSE), VLOOKUP($A359,raw_ub[],COLUMN(AE$1)-COLUMN($A$1),FALSE))</f>
        <v>1.143590958805781E-3</v>
      </c>
      <c r="AE359" s="72">
        <f>IF(VLOOKUP($A359,raw_ub[],COLUMN(AF$1)-COLUMN($A$1),FALSE)=0, VLOOKUP($D359, regions_ub[], COLUMN(AF$1)-COLUMN($A$1), FALSE), VLOOKUP($A359,raw_ub[],COLUMN(AF$1)-COLUMN($A$1),FALSE))</f>
        <v>3.7876575510697861E-4</v>
      </c>
      <c r="AF359" s="72">
        <f>IF(VLOOKUP($A359,raw_ub[],COLUMN(AG$1)-COLUMN($A$1),FALSE)=0, VLOOKUP($D359, regions_ub[], COLUMN(AG$1)-COLUMN($A$1), FALSE), VLOOKUP($A359,raw_ub[],COLUMN(AG$1)-COLUMN($A$1),FALSE))</f>
        <v>3.5269302798255053E-4</v>
      </c>
      <c r="AG359" s="72">
        <f>IF(VLOOKUP($A359,raw_ub[],COLUMN(AH$1)-COLUMN($A$1),FALSE)=0, VLOOKUP($D359, regions_ub[], COLUMN(AH$1)-COLUMN($A$1), FALSE), VLOOKUP($A359,raw_ub[],COLUMN(AH$1)-COLUMN($A$1),FALSE))</f>
        <v>5.470381708042308E-4</v>
      </c>
      <c r="AH359" s="72">
        <f>IF(VLOOKUP($A359,raw_ub[],COLUMN(AI$1)-COLUMN($A$1),FALSE)=0, VLOOKUP($D359, regions_ub[], COLUMN(AI$1)-COLUMN($A$1), FALSE), VLOOKUP($A359,raw_ub[],COLUMN(AI$1)-COLUMN($A$1),FALSE))</f>
        <v>9.4632102782102377E-4</v>
      </c>
      <c r="AI359" s="72">
        <f>IF(VLOOKUP($A359,raw_ub[],COLUMN(AJ$1)-COLUMN($A$1),FALSE)=0, VLOOKUP($D359, regions_ub[], COLUMN(AJ$1)-COLUMN($A$1), FALSE), VLOOKUP($A359,raw_ub[],COLUMN(AJ$1)-COLUMN($A$1),FALSE))</f>
        <v>1.3529518190633708E-3</v>
      </c>
      <c r="AJ359" s="72">
        <f>IF(VLOOKUP($A359,raw_ub[],COLUMN(AK$1)-COLUMN($A$1),FALSE)=0, VLOOKUP($D359, regions_ub[], COLUMN(AK$1)-COLUMN($A$1), FALSE), VLOOKUP($A359,raw_ub[],COLUMN(AK$1)-COLUMN($A$1),FALSE))</f>
        <v>2.0445331386633914E-3</v>
      </c>
      <c r="AK359" s="72">
        <f>IF(VLOOKUP($A359,raw_ub[],COLUMN(AL$1)-COLUMN($A$1),FALSE)=0, VLOOKUP($D359, regions_ub[], COLUMN(AL$1)-COLUMN($A$1), FALSE), VLOOKUP($A359,raw_ub[],COLUMN(AL$1)-COLUMN($A$1),FALSE))</f>
        <v>2.9767055608678644E-3</v>
      </c>
      <c r="AL359" s="72">
        <f>IF(VLOOKUP($A359,raw_ub[],COLUMN(AM$1)-COLUMN($A$1),FALSE)=0, VLOOKUP($D359, regions_ub[], COLUMN(AM$1)-COLUMN($A$1), FALSE), VLOOKUP($A359,raw_ub[],COLUMN(AM$1)-COLUMN($A$1),FALSE))</f>
        <v>4.5627897643012319E-3</v>
      </c>
      <c r="AM359" s="72">
        <f>IF(VLOOKUP($A359,raw_ub[],COLUMN(AN$1)-COLUMN($A$1),FALSE)=0, VLOOKUP($D359, regions_ub[], COLUMN(AN$1)-COLUMN($A$1), FALSE), VLOOKUP($A359,raw_ub[],COLUMN(AN$1)-COLUMN($A$1),FALSE))</f>
        <v>7.8488079389539191E-3</v>
      </c>
      <c r="AN359" s="72">
        <f>IF(VLOOKUP($A359,raw_ub[],COLUMN(AO$1)-COLUMN($A$1),FALSE)=0, VLOOKUP($D359, regions_ub[], COLUMN(AO$1)-COLUMN($A$1), FALSE), VLOOKUP($A359,raw_ub[],COLUMN(AO$1)-COLUMN($A$1),FALSE))</f>
        <v>1.1735700333189578E-2</v>
      </c>
      <c r="AO359" s="72">
        <f>IF(VLOOKUP($A359,raw_ub[],COLUMN(AP$1)-COLUMN($A$1),FALSE)=0, VLOOKUP($D359, regions_ub[], COLUMN(AP$1)-COLUMN($A$1), FALSE), VLOOKUP($A359,raw_ub[],COLUMN(AP$1)-COLUMN($A$1),FALSE))</f>
        <v>1.5913080702632813E-2</v>
      </c>
      <c r="AP359" s="72">
        <f>IF(VLOOKUP($A359,raw_ub[],COLUMN(AQ$1)-COLUMN($A$1),FALSE)=0, VLOOKUP($D359, regions_ub[], COLUMN(AQ$1)-COLUMN($A$1), FALSE), VLOOKUP($A359,raw_ub[],COLUMN(AQ$1)-COLUMN($A$1),FALSE))</f>
        <v>2.234461568889308E-2</v>
      </c>
      <c r="AQ359" s="72">
        <f>IF(VLOOKUP($A359,raw_ub[],COLUMN(AR$1)-COLUMN($A$1),FALSE)=0, VLOOKUP($D359, regions_ub[], COLUMN(AR$1)-COLUMN($A$1), FALSE), VLOOKUP($A359,raw_ub[],COLUMN(AR$1)-COLUMN($A$1),FALSE))</f>
        <v>3.0466683556778937E-2</v>
      </c>
      <c r="AR359" s="72">
        <f>IF(VLOOKUP($A359,raw_ub[],COLUMN(AS$1)-COLUMN($A$1),FALSE)=0, VLOOKUP($D359, regions_ub[], COLUMN(AS$1)-COLUMN($A$1), FALSE), VLOOKUP($A359,raw_ub[],COLUMN(AS$1)-COLUMN($A$1),FALSE))</f>
        <v>4.8460628980749793E-2</v>
      </c>
      <c r="AS359" s="72">
        <f>IF(VLOOKUP($A359,raw_ub[],COLUMN(AT$1)-COLUMN($A$1),FALSE)=0, VLOOKUP($D359, regions_ub[], COLUMN(AT$1)-COLUMN($A$1), FALSE), VLOOKUP($A359,raw_ub[],COLUMN(AT$1)-COLUMN($A$1),FALSE))</f>
        <v>6.9177314402638496E-2</v>
      </c>
      <c r="AT359" s="82">
        <f>IF(VLOOKUP($A359,raw_ub[],COLUMN(AT$1),FALSE)=0, VLOOKUP($D359, regions_ub[], COLUMN(AT$1), FALSE), VLOOKUP($A359,raw_ub[],COLUMN(AT$1),FALSE))</f>
        <v>9.4523200459753334E-2</v>
      </c>
      <c r="AU359" s="82">
        <f>IF(VLOOKUP($A359,raw_ub[],COLUMN(AU$1),FALSE)=0, VLOOKUP($D359, regions_ub[], COLUMN(AU$1), FALSE), VLOOKUP($A359,raw_ub[],COLUMN(AU$1),FALSE))</f>
        <v>0.12322381239751728</v>
      </c>
      <c r="AV359" s="82">
        <f>IF(VLOOKUP($A359,raw_ub[],COLUMN(AV$1),FALSE)=0, VLOOKUP($D359, regions_ub[], COLUMN(AV$1), FALSE), VLOOKUP($A359,raw_ub[],COLUMN(AV$1),FALSE))</f>
        <v>0.15079151358012652</v>
      </c>
      <c r="AW359" s="82">
        <f>IF(VLOOKUP($A359,raw_ub[],COLUMN(AW$1),FALSE)=0, VLOOKUP($D359, regions_ub[], COLUMN(AW$1), FALSE), VLOOKUP($A359,raw_ub[],COLUMN(AW$1),FALSE))</f>
        <v>0.17336975804332314</v>
      </c>
      <c r="AX359" s="82">
        <f>IF(VLOOKUP($A359,raw_ub[],COLUMN(AX$1),FALSE)=0, VLOOKUP($D359, regions_ub[], COLUMN(AX$1), FALSE), VLOOKUP($A359,raw_ub[],COLUMN(AX$1),FALSE))</f>
        <v>73.026450000000011</v>
      </c>
      <c r="AY359" t="str">
        <f t="shared" si="12"/>
        <v>No</v>
      </c>
    </row>
    <row r="360" spans="1:51" x14ac:dyDescent="0.25">
      <c r="A360" s="53" t="s">
        <v>388</v>
      </c>
      <c r="B360" s="54" t="s">
        <v>389</v>
      </c>
      <c r="C360" s="54">
        <v>499</v>
      </c>
      <c r="D360" s="54" t="s">
        <v>201</v>
      </c>
      <c r="E360" s="54" t="s">
        <v>202</v>
      </c>
      <c r="F360" s="54" t="s">
        <v>203</v>
      </c>
      <c r="G360" s="54" t="s">
        <v>204</v>
      </c>
      <c r="H360" s="73"/>
      <c r="I360" s="73"/>
      <c r="J360" s="67">
        <f>IF(VLOOKUP($A360,raw_ub[],COLUMN(J$1),FALSE)=0, VLOOKUP($D360, regions_ub[], COLUMN(J$1), FALSE), VLOOKUP($A360,raw_ub[],COLUMN(J$1),FALSE))</f>
        <v>0.999</v>
      </c>
      <c r="K360" s="77">
        <f>VLOOKUP($A360, raw_ub[], 11, FALSE)</f>
        <v>0</v>
      </c>
      <c r="L360" s="77">
        <f>VLOOKUP($A360, raw_ub[], 12, FALSE)</f>
        <v>0.54600000000000004</v>
      </c>
      <c r="M360" s="77">
        <f>IF(VLOOKUP($A360,raw_ub[],COLUMN(M$1),FALSE)=0, VLOOKUP($D360, regions_ub[], COLUMN(M$1), FALSE), VLOOKUP($A360,raw_ub[],COLUMN(M$1),FALSE))</f>
        <v>9.6600000000000005E-2</v>
      </c>
      <c r="N360" s="68">
        <f>IF(VLOOKUP($A360,raw_ub[],COLUMN(N$1),FALSE)=0, VLOOKUP($D360, regions_ub[], COLUMN(N$1), FALSE), VLOOKUP($A360,raw_ub[],COLUMN(N$1),FALSE))</f>
        <v>0.42849999999999999</v>
      </c>
      <c r="O360" s="67">
        <f>IF(VLOOKUP($A360,raw_ub[],COLUMN(O$1),FALSE)=0, VLOOKUP($D360, regions_ub[], COLUMN(O$1), FALSE), VLOOKUP($A360,raw_ub[],COLUMN(O$1),FALSE))</f>
        <v>0.9</v>
      </c>
      <c r="P360" s="68">
        <f>IF(VLOOKUP($A360,raw_ub[],COLUMN(P$1),FALSE)=0, VLOOKUP($D360, regions_ub[], COLUMN(P$1), FALSE), VLOOKUP($A360,raw_ub[],COLUMN(P$1),FALSE))</f>
        <v>0.3</v>
      </c>
      <c r="Q360" s="70">
        <f>IF(VLOOKUP($A360,raw_ub[],COLUMN(Q$1),FALSE)=0, VLOOKUP($D360, regions_ub[], COLUMN(Q$1), FALSE), VLOOKUP($A360,raw_ub[],COLUMN(Q$1),FALSE))</f>
        <v>25.567430665665295</v>
      </c>
      <c r="R360" s="70">
        <f>IF(VLOOKUP($A360,raw_ub[],COLUMN(R$1),FALSE)=0, VLOOKUP($D360, regions_ub[], COLUMN(R$1), FALSE), VLOOKUP($A360,raw_ub[],COLUMN(R$1),FALSE))</f>
        <v>134.55323066566527</v>
      </c>
      <c r="S360" s="70">
        <f>IF(VLOOKUP($A360,raw_ub[],COLUMN(S$1),FALSE)=0, VLOOKUP($D360, regions_ub[], COLUMN(S$1), FALSE), VLOOKUP($A360,raw_ub[],COLUMN(S$1),FALSE))</f>
        <v>221.69198571092022</v>
      </c>
      <c r="T360" s="70">
        <f>IF(VLOOKUP($A360,raw_ub[],COLUMN(U$1)-COLUMN($A$1),FALSE)=0, VLOOKUP($D360, regions_ub[], COLUMN(U$1)-COLUMN($A$1), FALSE), VLOOKUP($A360,raw_ub[],COLUMN(U$1)-COLUMN($A$1),FALSE))</f>
        <v>251.83667338502664</v>
      </c>
      <c r="U360" s="70">
        <f>IF(VLOOKUP($A360,raw_ub[],COLUMN(V$1)-COLUMN($A$1),FALSE)=0, VLOOKUP($D360, regions_ub[], COLUMN(V$1)-COLUMN($A$1), FALSE), VLOOKUP($A360,raw_ub[],COLUMN(V$1)-COLUMN($A$1),FALSE))</f>
        <v>237.99486998260102</v>
      </c>
      <c r="V360" s="70">
        <f>IF(VLOOKUP($A360,raw_ub[],COLUMN(W$1)-COLUMN($A$1),FALSE)=0, VLOOKUP($D360, regions_ub[], COLUMN(W$1)-COLUMN($A$1), FALSE), VLOOKUP($A360,raw_ub[],COLUMN(W$1)-COLUMN($A$1),FALSE))</f>
        <v>18.199230993568204</v>
      </c>
      <c r="W360" s="70">
        <f>IF(VLOOKUP($A360,raw_ub[],COLUMN(X$1)-COLUMN($A$1),FALSE)=0, VLOOKUP($D360, regions_ub[], COLUMN(X$1)-COLUMN($A$1), FALSE), VLOOKUP($A360,raw_ub[],COLUMN(X$1)-COLUMN($A$1),FALSE))</f>
        <v>22.472730993568206</v>
      </c>
      <c r="X360" s="70">
        <f>IF(VLOOKUP($A360,raw_ub[],COLUMN(Y$1)-COLUMN($A$1),FALSE)=0, VLOOKUP($D360, regions_ub[], COLUMN(Y$1)-COLUMN($A$1), FALSE), VLOOKUP($A360,raw_ub[],COLUMN(Y$1)-COLUMN($A$1),FALSE))</f>
        <v>18.153553927485905</v>
      </c>
      <c r="Y360" s="70">
        <f>IF(VLOOKUP($A360,raw_ub[],COLUMN(Z$1)-COLUMN($A$1),FALSE)=0, VLOOKUP($D360, regions_ub[], COLUMN(Z$1)-COLUMN($A$1), FALSE), VLOOKUP($A360,raw_ub[],COLUMN(Z$1)-COLUMN($A$1),FALSE))</f>
        <v>22.427053927485908</v>
      </c>
      <c r="Z360" s="70">
        <f>IF(VLOOKUP($A360,raw_ub[],COLUMN(AA$1)-COLUMN($A$1),FALSE)=0, VLOOKUP($D360, regions_ub[], COLUMN(AA$1)-COLUMN($A$1), FALSE), VLOOKUP($A360,raw_ub[],COLUMN(AA$1)-COLUMN($A$1),FALSE))</f>
        <v>22.401639388559907</v>
      </c>
      <c r="AA360" s="70">
        <f>IF(VLOOKUP($A360,raw_ub[],COLUMN(AB$1)-COLUMN($A$1),FALSE)=0, VLOOKUP($D360, regions_ub[], COLUMN(AB$1)-COLUMN($A$1), FALSE), VLOOKUP($A360,raw_ub[],COLUMN(AB$1)-COLUMN($A$1),FALSE))</f>
        <v>18.209771854971809</v>
      </c>
      <c r="AB360" s="70">
        <f>IF(VLOOKUP($A360,raw_ub[],COLUMN(AC$1)-COLUMN($A$1),FALSE)=0, VLOOKUP($D360, regions_ub[], COLUMN(AC$1)-COLUMN($A$1), FALSE), VLOOKUP($A360,raw_ub[],COLUMN(AC$1)-COLUMN($A$1),FALSE))</f>
        <v>22.483271854971811</v>
      </c>
      <c r="AC360" s="72">
        <f>IF(VLOOKUP($A360,raw_ub[],COLUMN(AD$1)-COLUMN($A$1),FALSE)=0, VLOOKUP($D360, regions_ub[], COLUMN(AD$1)-COLUMN($A$1), FALSE), VLOOKUP($A360,raw_ub[],COLUMN(AD$1)-COLUMN($A$1),FALSE))</f>
        <v>2.8969395000000512E-3</v>
      </c>
      <c r="AD360" s="72">
        <f>IF(VLOOKUP($A360,raw_ub[],COLUMN(AE$1)-COLUMN($A$1),FALSE)=0, VLOOKUP($D360, regions_ub[], COLUMN(AE$1)-COLUMN($A$1), FALSE), VLOOKUP($A360,raw_ub[],COLUMN(AE$1)-COLUMN($A$1),FALSE))</f>
        <v>1.152720343901655E-4</v>
      </c>
      <c r="AE360" s="72">
        <f>IF(VLOOKUP($A360,raw_ub[],COLUMN(AF$1)-COLUMN($A$1),FALSE)=0, VLOOKUP($D360, regions_ub[], COLUMN(AF$1)-COLUMN($A$1), FALSE), VLOOKUP($A360,raw_ub[],COLUMN(AF$1)-COLUMN($A$1),FALSE))</f>
        <v>1.3611193761446416E-4</v>
      </c>
      <c r="AF360" s="72">
        <f>IF(VLOOKUP($A360,raw_ub[],COLUMN(AG$1)-COLUMN($A$1),FALSE)=0, VLOOKUP($D360, regions_ub[], COLUMN(AG$1)-COLUMN($A$1), FALSE), VLOOKUP($A360,raw_ub[],COLUMN(AG$1)-COLUMN($A$1),FALSE))</f>
        <v>1.4795288144386952E-4</v>
      </c>
      <c r="AG360" s="72">
        <f>IF(VLOOKUP($A360,raw_ub[],COLUMN(AH$1)-COLUMN($A$1),FALSE)=0, VLOOKUP($D360, regions_ub[], COLUMN(AH$1)-COLUMN($A$1), FALSE), VLOOKUP($A360,raw_ub[],COLUMN(AH$1)-COLUMN($A$1),FALSE))</f>
        <v>2.7283719594486337E-4</v>
      </c>
      <c r="AH360" s="72">
        <f>IF(VLOOKUP($A360,raw_ub[],COLUMN(AI$1)-COLUMN($A$1),FALSE)=0, VLOOKUP($D360, regions_ub[], COLUMN(AI$1)-COLUMN($A$1), FALSE), VLOOKUP($A360,raw_ub[],COLUMN(AI$1)-COLUMN($A$1),FALSE))</f>
        <v>4.0437429373924597E-4</v>
      </c>
      <c r="AI360" s="72">
        <f>IF(VLOOKUP($A360,raw_ub[],COLUMN(AJ$1)-COLUMN($A$1),FALSE)=0, VLOOKUP($D360, regions_ub[], COLUMN(AJ$1)-COLUMN($A$1), FALSE), VLOOKUP($A360,raw_ub[],COLUMN(AJ$1)-COLUMN($A$1),FALSE))</f>
        <v>6.1523752274270397E-4</v>
      </c>
      <c r="AJ360" s="72">
        <f>IF(VLOOKUP($A360,raw_ub[],COLUMN(AK$1)-COLUMN($A$1),FALSE)=0, VLOOKUP($D360, regions_ub[], COLUMN(AK$1)-COLUMN($A$1), FALSE), VLOOKUP($A360,raw_ub[],COLUMN(AK$1)-COLUMN($A$1),FALSE))</f>
        <v>6.126217290685521E-4</v>
      </c>
      <c r="AK360" s="72">
        <f>IF(VLOOKUP($A360,raw_ub[],COLUMN(AL$1)-COLUMN($A$1),FALSE)=0, VLOOKUP($D360, regions_ub[], COLUMN(AL$1)-COLUMN($A$1), FALSE), VLOOKUP($A360,raw_ub[],COLUMN(AL$1)-COLUMN($A$1),FALSE))</f>
        <v>1.0195189261516468E-3</v>
      </c>
      <c r="AL360" s="72">
        <f>IF(VLOOKUP($A360,raw_ub[],COLUMN(AM$1)-COLUMN($A$1),FALSE)=0, VLOOKUP($D360, regions_ub[], COLUMN(AM$1)-COLUMN($A$1), FALSE), VLOOKUP($A360,raw_ub[],COLUMN(AM$1)-COLUMN($A$1),FALSE))</f>
        <v>1.5823418956001213E-3</v>
      </c>
      <c r="AM360" s="72">
        <f>IF(VLOOKUP($A360,raw_ub[],COLUMN(AN$1)-COLUMN($A$1),FALSE)=0, VLOOKUP($D360, regions_ub[], COLUMN(AN$1)-COLUMN($A$1), FALSE), VLOOKUP($A360,raw_ub[],COLUMN(AN$1)-COLUMN($A$1),FALSE))</f>
        <v>2.6890849705933631E-3</v>
      </c>
      <c r="AN360" s="72">
        <f>IF(VLOOKUP($A360,raw_ub[],COLUMN(AO$1)-COLUMN($A$1),FALSE)=0, VLOOKUP($D360, regions_ub[], COLUMN(AO$1)-COLUMN($A$1), FALSE), VLOOKUP($A360,raw_ub[],COLUMN(AO$1)-COLUMN($A$1),FALSE))</f>
        <v>5.0212209947922354E-3</v>
      </c>
      <c r="AO360" s="72">
        <f>IF(VLOOKUP($A360,raw_ub[],COLUMN(AP$1)-COLUMN($A$1),FALSE)=0, VLOOKUP($D360, regions_ub[], COLUMN(AP$1)-COLUMN($A$1), FALSE), VLOOKUP($A360,raw_ub[],COLUMN(AP$1)-COLUMN($A$1),FALSE))</f>
        <v>8.9573477844137606E-3</v>
      </c>
      <c r="AP360" s="72">
        <f>IF(VLOOKUP($A360,raw_ub[],COLUMN(AQ$1)-COLUMN($A$1),FALSE)=0, VLOOKUP($D360, regions_ub[], COLUMN(AQ$1)-COLUMN($A$1), FALSE), VLOOKUP($A360,raw_ub[],COLUMN(AQ$1)-COLUMN($A$1),FALSE))</f>
        <v>1.3434836081374382E-2</v>
      </c>
      <c r="AQ360" s="72">
        <f>IF(VLOOKUP($A360,raw_ub[],COLUMN(AR$1)-COLUMN($A$1),FALSE)=0, VLOOKUP($D360, regions_ub[], COLUMN(AR$1)-COLUMN($A$1), FALSE), VLOOKUP($A360,raw_ub[],COLUMN(AR$1)-COLUMN($A$1),FALSE))</f>
        <v>2.2245462757218587E-2</v>
      </c>
      <c r="AR360" s="72">
        <f>IF(VLOOKUP($A360,raw_ub[],COLUMN(AS$1)-COLUMN($A$1),FALSE)=0, VLOOKUP($D360, regions_ub[], COLUMN(AS$1)-COLUMN($A$1), FALSE), VLOOKUP($A360,raw_ub[],COLUMN(AS$1)-COLUMN($A$1),FALSE))</f>
        <v>3.2524136012094994E-2</v>
      </c>
      <c r="AS360" s="72">
        <f>IF(VLOOKUP($A360,raw_ub[],COLUMN(AT$1)-COLUMN($A$1),FALSE)=0, VLOOKUP($D360, regions_ub[], COLUMN(AT$1)-COLUMN($A$1), FALSE), VLOOKUP($A360,raw_ub[],COLUMN(AT$1)-COLUMN($A$1),FALSE))</f>
        <v>5.4023972887745977E-2</v>
      </c>
      <c r="AT360" s="82">
        <f>IF(VLOOKUP($A360,raw_ub[],COLUMN(AT$1),FALSE)=0, VLOOKUP($D360, regions_ub[], COLUMN(AT$1), FALSE), VLOOKUP($A360,raw_ub[],COLUMN(AT$1),FALSE))</f>
        <v>8.5175940372233194E-2</v>
      </c>
      <c r="AU360" s="82">
        <f>IF(VLOOKUP($A360,raw_ub[],COLUMN(AU$1),FALSE)=0, VLOOKUP($D360, regions_ub[], COLUMN(AU$1), FALSE), VLOOKUP($A360,raw_ub[],COLUMN(AU$1),FALSE))</f>
        <v>0.12348664567779409</v>
      </c>
      <c r="AV360" s="82">
        <f>IF(VLOOKUP($A360,raw_ub[],COLUMN(AV$1),FALSE)=0, VLOOKUP($D360, regions_ub[], COLUMN(AV$1), FALSE), VLOOKUP($A360,raw_ub[],COLUMN(AV$1),FALSE))</f>
        <v>0.1635715559194573</v>
      </c>
      <c r="AW360" s="82">
        <f>IF(VLOOKUP($A360,raw_ub[],COLUMN(AW$1),FALSE)=0, VLOOKUP($D360, regions_ub[], COLUMN(AW$1), FALSE), VLOOKUP($A360,raw_ub[],COLUMN(AW$1),FALSE))</f>
        <v>0.18807840888893518</v>
      </c>
      <c r="AX360" s="82">
        <f>IF(VLOOKUP($A360,raw_ub[],COLUMN(AX$1),FALSE)=0, VLOOKUP($D360, regions_ub[], COLUMN(AX$1), FALSE), VLOOKUP($A360,raw_ub[],COLUMN(AX$1),FALSE))</f>
        <v>80.4846</v>
      </c>
      <c r="AY360" t="str">
        <f t="shared" si="12"/>
        <v>Yes</v>
      </c>
    </row>
    <row r="361" spans="1:51" x14ac:dyDescent="0.25">
      <c r="A361" s="55" t="s">
        <v>390</v>
      </c>
      <c r="B361" s="56" t="s">
        <v>391</v>
      </c>
      <c r="C361" s="56">
        <v>504</v>
      </c>
      <c r="D361" s="56" t="s">
        <v>196</v>
      </c>
      <c r="E361" s="56" t="s">
        <v>197</v>
      </c>
      <c r="F361" s="56" t="s">
        <v>197</v>
      </c>
      <c r="G361" s="56" t="s">
        <v>212</v>
      </c>
      <c r="H361" s="74"/>
      <c r="I361" s="74"/>
      <c r="J361" s="67">
        <f>IF(VLOOKUP($A361,raw_ub[],COLUMN(J$1),FALSE)=0, VLOOKUP($D361, regions_ub[], COLUMN(J$1), FALSE), VLOOKUP($A361,raw_ub[],COLUMN(J$1),FALSE))</f>
        <v>0.90405000000000002</v>
      </c>
      <c r="K361" s="77">
        <f>VLOOKUP($A361, raw_ub[], 11, FALSE)</f>
        <v>0.43049999999999999</v>
      </c>
      <c r="L361" s="77">
        <f>VLOOKUP($A361, raw_ub[], 12, FALSE)</f>
        <v>0.999</v>
      </c>
      <c r="M361" s="77">
        <f>IF(VLOOKUP($A361,raw_ub[],COLUMN(M$1),FALSE)=0, VLOOKUP($D361, regions_ub[], COLUMN(M$1), FALSE), VLOOKUP($A361,raw_ub[],COLUMN(M$1),FALSE))</f>
        <v>1.54E-2</v>
      </c>
      <c r="N361" s="68">
        <f>IF(VLOOKUP($A361,raw_ub[],COLUMN(N$1),FALSE)=0, VLOOKUP($D361, regions_ub[], COLUMN(N$1), FALSE), VLOOKUP($A361,raw_ub[],COLUMN(N$1),FALSE))</f>
        <v>0.37619999999999998</v>
      </c>
      <c r="O361" s="67">
        <f>IF(VLOOKUP($A361,raw_ub[],COLUMN(O$1),FALSE)=0, VLOOKUP($D361, regions_ub[], COLUMN(O$1), FALSE), VLOOKUP($A361,raw_ub[],COLUMN(O$1),FALSE))</f>
        <v>0.9</v>
      </c>
      <c r="P361" s="68">
        <f>IF(VLOOKUP($A361,raw_ub[],COLUMN(P$1),FALSE)=0, VLOOKUP($D361, regions_ub[], COLUMN(P$1), FALSE), VLOOKUP($A361,raw_ub[],COLUMN(P$1),FALSE))</f>
        <v>0.3</v>
      </c>
      <c r="Q361" s="70">
        <f>IF(VLOOKUP($A361,raw_ub[],COLUMN(Q$1),FALSE)=0, VLOOKUP($D361, regions_ub[], COLUMN(Q$1), FALSE), VLOOKUP($A361,raw_ub[],COLUMN(Q$1),FALSE))</f>
        <v>17.854816653574201</v>
      </c>
      <c r="R361" s="70">
        <f>IF(VLOOKUP($A361,raw_ub[],COLUMN(R$1),FALSE)=0, VLOOKUP($D361, regions_ub[], COLUMN(R$1), FALSE), VLOOKUP($A361,raw_ub[],COLUMN(R$1),FALSE))</f>
        <v>126.84061665357422</v>
      </c>
      <c r="S361" s="70">
        <f>IF(VLOOKUP($A361,raw_ub[],COLUMN(S$1),FALSE)=0, VLOOKUP($D361, regions_ub[], COLUMN(S$1), FALSE), VLOOKUP($A361,raw_ub[],COLUMN(S$1),FALSE))</f>
        <v>178.49829417251374</v>
      </c>
      <c r="T361" s="70">
        <f>IF(VLOOKUP($A361,raw_ub[],COLUMN(U$1)-COLUMN($A$1),FALSE)=0, VLOOKUP($D361, regions_ub[], COLUMN(U$1)-COLUMN($A$1), FALSE), VLOOKUP($A361,raw_ub[],COLUMN(U$1)-COLUMN($A$1),FALSE))</f>
        <v>190.17632109854591</v>
      </c>
      <c r="U361" s="70">
        <f>IF(VLOOKUP($A361,raw_ub[],COLUMN(V$1)-COLUMN($A$1),FALSE)=0, VLOOKUP($D361, regions_ub[], COLUMN(V$1)-COLUMN($A$1), FALSE), VLOOKUP($A361,raw_ub[],COLUMN(V$1)-COLUMN($A$1),FALSE))</f>
        <v>184.81401797615464</v>
      </c>
      <c r="V361" s="70">
        <f>IF(VLOOKUP($A361,raw_ub[],COLUMN(W$1)-COLUMN($A$1),FALSE)=0, VLOOKUP($D361, regions_ub[], COLUMN(W$1)-COLUMN($A$1), FALSE), VLOOKUP($A361,raw_ub[],COLUMN(W$1)-COLUMN($A$1),FALSE))</f>
        <v>7.3210455755790314</v>
      </c>
      <c r="W361" s="70">
        <f>IF(VLOOKUP($A361,raw_ub[],COLUMN(X$1)-COLUMN($A$1),FALSE)=0, VLOOKUP($D361, regions_ub[], COLUMN(X$1)-COLUMN($A$1), FALSE), VLOOKUP($A361,raw_ub[],COLUMN(X$1)-COLUMN($A$1),FALSE))</f>
        <v>7.8250455755790309</v>
      </c>
      <c r="X361" s="70">
        <f>IF(VLOOKUP($A361,raw_ub[],COLUMN(Y$1)-COLUMN($A$1),FALSE)=0, VLOOKUP($D361, regions_ub[], COLUMN(Y$1)-COLUMN($A$1), FALSE), VLOOKUP($A361,raw_ub[],COLUMN(Y$1)-COLUMN($A$1),FALSE))</f>
        <v>7.2870090761815343</v>
      </c>
      <c r="Y361" s="70">
        <f>IF(VLOOKUP($A361,raw_ub[],COLUMN(Z$1)-COLUMN($A$1),FALSE)=0, VLOOKUP($D361, regions_ub[], COLUMN(Z$1)-COLUMN($A$1), FALSE), VLOOKUP($A361,raw_ub[],COLUMN(Z$1)-COLUMN($A$1),FALSE))</f>
        <v>7.7910090761815347</v>
      </c>
      <c r="Z361" s="70">
        <f>IF(VLOOKUP($A361,raw_ub[],COLUMN(AA$1)-COLUMN($A$1),FALSE)=0, VLOOKUP($D361, regions_ub[], COLUMN(AA$1)-COLUMN($A$1), FALSE), VLOOKUP($A361,raw_ub[],COLUMN(AA$1)-COLUMN($A$1),FALSE))</f>
        <v>7.7714087367376408</v>
      </c>
      <c r="AA361" s="70">
        <f>IF(VLOOKUP($A361,raw_ub[],COLUMN(AB$1)-COLUMN($A$1),FALSE)=0, VLOOKUP($D361, regions_ub[], COLUMN(AB$1)-COLUMN($A$1), FALSE), VLOOKUP($A361,raw_ub[],COLUMN(AB$1)-COLUMN($A$1),FALSE))</f>
        <v>7.3289001523630688</v>
      </c>
      <c r="AB361" s="70">
        <f>IF(VLOOKUP($A361,raw_ub[],COLUMN(AC$1)-COLUMN($A$1),FALSE)=0, VLOOKUP($D361, regions_ub[], COLUMN(AC$1)-COLUMN($A$1), FALSE), VLOOKUP($A361,raw_ub[],COLUMN(AC$1)-COLUMN($A$1),FALSE))</f>
        <v>7.8329001523630684</v>
      </c>
      <c r="AC361" s="72">
        <f>IF(VLOOKUP($A361,raw_ub[],COLUMN(AD$1)-COLUMN($A$1),FALSE)=0, VLOOKUP($D361, regions_ub[], COLUMN(AD$1)-COLUMN($A$1), FALSE), VLOOKUP($A361,raw_ub[],COLUMN(AD$1)-COLUMN($A$1),FALSE))</f>
        <v>2.0862166500000071E-2</v>
      </c>
      <c r="AD361" s="72">
        <f>IF(VLOOKUP($A361,raw_ub[],COLUMN(AE$1)-COLUMN($A$1),FALSE)=0, VLOOKUP($D361, regions_ub[], COLUMN(AE$1)-COLUMN($A$1), FALSE), VLOOKUP($A361,raw_ub[],COLUMN(AE$1)-COLUMN($A$1),FALSE))</f>
        <v>9.4666248124088831E-4</v>
      </c>
      <c r="AE361" s="72">
        <f>IF(VLOOKUP($A361,raw_ub[],COLUMN(AF$1)-COLUMN($A$1),FALSE)=0, VLOOKUP($D361, regions_ub[], COLUMN(AF$1)-COLUMN($A$1), FALSE), VLOOKUP($A361,raw_ub[],COLUMN(AF$1)-COLUMN($A$1),FALSE))</f>
        <v>4.4193693119488171E-4</v>
      </c>
      <c r="AF361" s="72">
        <f>IF(VLOOKUP($A361,raw_ub[],COLUMN(AG$1)-COLUMN($A$1),FALSE)=0, VLOOKUP($D361, regions_ub[], COLUMN(AG$1)-COLUMN($A$1), FALSE), VLOOKUP($A361,raw_ub[],COLUMN(AG$1)-COLUMN($A$1),FALSE))</f>
        <v>2.6853862275198694E-4</v>
      </c>
      <c r="AG361" s="72">
        <f>IF(VLOOKUP($A361,raw_ub[],COLUMN(AH$1)-COLUMN($A$1),FALSE)=0, VLOOKUP($D361, regions_ub[], COLUMN(AH$1)-COLUMN($A$1), FALSE), VLOOKUP($A361,raw_ub[],COLUMN(AH$1)-COLUMN($A$1),FALSE))</f>
        <v>4.3570091449543936E-4</v>
      </c>
      <c r="AH361" s="72">
        <f>IF(VLOOKUP($A361,raw_ub[],COLUMN(AI$1)-COLUMN($A$1),FALSE)=0, VLOOKUP($D361, regions_ub[], COLUMN(AI$1)-COLUMN($A$1), FALSE), VLOOKUP($A361,raw_ub[],COLUMN(AI$1)-COLUMN($A$1),FALSE))</f>
        <v>6.3478528684053929E-4</v>
      </c>
      <c r="AI361" s="72">
        <f>IF(VLOOKUP($A361,raw_ub[],COLUMN(AJ$1)-COLUMN($A$1),FALSE)=0, VLOOKUP($D361, regions_ub[], COLUMN(AJ$1)-COLUMN($A$1), FALSE), VLOOKUP($A361,raw_ub[],COLUMN(AJ$1)-COLUMN($A$1),FALSE))</f>
        <v>7.0242032585544564E-4</v>
      </c>
      <c r="AJ361" s="72">
        <f>IF(VLOOKUP($A361,raw_ub[],COLUMN(AK$1)-COLUMN($A$1),FALSE)=0, VLOOKUP($D361, regions_ub[], COLUMN(AK$1)-COLUMN($A$1), FALSE), VLOOKUP($A361,raw_ub[],COLUMN(AK$1)-COLUMN($A$1),FALSE))</f>
        <v>7.8003470932418335E-4</v>
      </c>
      <c r="AK361" s="72">
        <f>IF(VLOOKUP($A361,raw_ub[],COLUMN(AL$1)-COLUMN($A$1),FALSE)=0, VLOOKUP($D361, regions_ub[], COLUMN(AL$1)-COLUMN($A$1), FALSE), VLOOKUP($A361,raw_ub[],COLUMN(AL$1)-COLUMN($A$1),FALSE))</f>
        <v>1.0515156439193192E-3</v>
      </c>
      <c r="AL361" s="72">
        <f>IF(VLOOKUP($A361,raw_ub[],COLUMN(AM$1)-COLUMN($A$1),FALSE)=0, VLOOKUP($D361, regions_ub[], COLUMN(AM$1)-COLUMN($A$1), FALSE), VLOOKUP($A361,raw_ub[],COLUMN(AM$1)-COLUMN($A$1),FALSE))</f>
        <v>1.397339521428203E-3</v>
      </c>
      <c r="AM361" s="72">
        <f>IF(VLOOKUP($A361,raw_ub[],COLUMN(AN$1)-COLUMN($A$1),FALSE)=0, VLOOKUP($D361, regions_ub[], COLUMN(AN$1)-COLUMN($A$1), FALSE), VLOOKUP($A361,raw_ub[],COLUMN(AN$1)-COLUMN($A$1),FALSE))</f>
        <v>1.9954510388945019E-3</v>
      </c>
      <c r="AN361" s="72">
        <f>IF(VLOOKUP($A361,raw_ub[],COLUMN(AO$1)-COLUMN($A$1),FALSE)=0, VLOOKUP($D361, regions_ub[], COLUMN(AO$1)-COLUMN($A$1), FALSE), VLOOKUP($A361,raw_ub[],COLUMN(AO$1)-COLUMN($A$1),FALSE))</f>
        <v>3.0480811839353437E-3</v>
      </c>
      <c r="AO361" s="72">
        <f>IF(VLOOKUP($A361,raw_ub[],COLUMN(AP$1)-COLUMN($A$1),FALSE)=0, VLOOKUP($D361, regions_ub[], COLUMN(AP$1)-COLUMN($A$1), FALSE), VLOOKUP($A361,raw_ub[],COLUMN(AP$1)-COLUMN($A$1),FALSE))</f>
        <v>4.734788512861696E-3</v>
      </c>
      <c r="AP361" s="72">
        <f>IF(VLOOKUP($A361,raw_ub[],COLUMN(AQ$1)-COLUMN($A$1),FALSE)=0, VLOOKUP($D361, regions_ub[], COLUMN(AQ$1)-COLUMN($A$1), FALSE), VLOOKUP($A361,raw_ub[],COLUMN(AQ$1)-COLUMN($A$1),FALSE))</f>
        <v>8.2143963870071075E-3</v>
      </c>
      <c r="AQ361" s="72">
        <f>IF(VLOOKUP($A361,raw_ub[],COLUMN(AR$1)-COLUMN($A$1),FALSE)=0, VLOOKUP($D361, regions_ub[], COLUMN(AR$1)-COLUMN($A$1), FALSE), VLOOKUP($A361,raw_ub[],COLUMN(AR$1)-COLUMN($A$1),FALSE))</f>
        <v>1.4604283184008766E-2</v>
      </c>
      <c r="AR361" s="72">
        <f>IF(VLOOKUP($A361,raw_ub[],COLUMN(AS$1)-COLUMN($A$1),FALSE)=0, VLOOKUP($D361, regions_ub[], COLUMN(AS$1)-COLUMN($A$1), FALSE), VLOOKUP($A361,raw_ub[],COLUMN(AS$1)-COLUMN($A$1),FALSE))</f>
        <v>2.9116560091278738E-2</v>
      </c>
      <c r="AS361" s="72">
        <f>IF(VLOOKUP($A361,raw_ub[],COLUMN(AT$1)-COLUMN($A$1),FALSE)=0, VLOOKUP($D361, regions_ub[], COLUMN(AT$1)-COLUMN($A$1), FALSE), VLOOKUP($A361,raw_ub[],COLUMN(AT$1)-COLUMN($A$1),FALSE))</f>
        <v>4.9373031409501944E-2</v>
      </c>
      <c r="AT361" s="82">
        <f>IF(VLOOKUP($A361,raw_ub[],COLUMN(AT$1),FALSE)=0, VLOOKUP($D361, regions_ub[], COLUMN(AT$1), FALSE), VLOOKUP($A361,raw_ub[],COLUMN(AT$1),FALSE))</f>
        <v>9.6599041178495201E-2</v>
      </c>
      <c r="AU361" s="82">
        <f>IF(VLOOKUP($A361,raw_ub[],COLUMN(AU$1),FALSE)=0, VLOOKUP($D361, regions_ub[], COLUMN(AU$1), FALSE), VLOOKUP($A361,raw_ub[],COLUMN(AU$1),FALSE))</f>
        <v>0.14632697087111499</v>
      </c>
      <c r="AV361" s="82">
        <f>IF(VLOOKUP($A361,raw_ub[],COLUMN(AV$1),FALSE)=0, VLOOKUP($D361, regions_ub[], COLUMN(AV$1), FALSE), VLOOKUP($A361,raw_ub[],COLUMN(AV$1),FALSE))</f>
        <v>0.18187956957538573</v>
      </c>
      <c r="AW361" s="82">
        <f>IF(VLOOKUP($A361,raw_ub[],COLUMN(AW$1),FALSE)=0, VLOOKUP($D361, regions_ub[], COLUMN(AW$1), FALSE), VLOOKUP($A361,raw_ub[],COLUMN(AW$1),FALSE))</f>
        <v>0.19360462141849033</v>
      </c>
      <c r="AX361" s="82">
        <f>IF(VLOOKUP($A361,raw_ub[],COLUMN(AX$1),FALSE)=0, VLOOKUP($D361, regions_ub[], COLUMN(AX$1), FALSE), VLOOKUP($A361,raw_ub[],COLUMN(AX$1),FALSE))</f>
        <v>80.146500000000003</v>
      </c>
      <c r="AY361" t="str">
        <f t="shared" si="12"/>
        <v>No</v>
      </c>
    </row>
    <row r="362" spans="1:51" x14ac:dyDescent="0.25">
      <c r="A362" s="53" t="s">
        <v>392</v>
      </c>
      <c r="B362" s="54" t="s">
        <v>393</v>
      </c>
      <c r="C362" s="54">
        <v>508</v>
      </c>
      <c r="D362" s="54" t="s">
        <v>207</v>
      </c>
      <c r="E362" s="54" t="s">
        <v>255</v>
      </c>
      <c r="F362" s="54" t="s">
        <v>211</v>
      </c>
      <c r="G362" s="54" t="s">
        <v>198</v>
      </c>
      <c r="H362" s="73"/>
      <c r="I362" s="73"/>
      <c r="J362" s="67">
        <f>IF(VLOOKUP($A362,raw_ub[],COLUMN(J$1),FALSE)=0, VLOOKUP($D362, regions_ub[], COLUMN(J$1), FALSE), VLOOKUP($A362,raw_ub[],COLUMN(J$1),FALSE))</f>
        <v>0.57539999999999991</v>
      </c>
      <c r="K362" s="77">
        <f>VLOOKUP($A362, raw_ub[], 11, FALSE)</f>
        <v>0</v>
      </c>
      <c r="L362" s="77">
        <f>VLOOKUP($A362, raw_ub[], 12, FALSE)</f>
        <v>0.82950000000000013</v>
      </c>
      <c r="M362" s="77">
        <f>IF(VLOOKUP($A362,raw_ub[],COLUMN(M$1),FALSE)=0, VLOOKUP($D362, regions_ub[], COLUMN(M$1), FALSE), VLOOKUP($A362,raw_ub[],COLUMN(M$1),FALSE))</f>
        <v>4.3799999999999999E-2</v>
      </c>
      <c r="N362" s="68">
        <f>IF(VLOOKUP($A362,raw_ub[],COLUMN(N$1),FALSE)=0, VLOOKUP($D362, regions_ub[], COLUMN(N$1), FALSE), VLOOKUP($A362,raw_ub[],COLUMN(N$1),FALSE))</f>
        <v>0.39960000000000001</v>
      </c>
      <c r="O362" s="67">
        <f>IF(VLOOKUP($A362,raw_ub[],COLUMN(O$1),FALSE)=0, VLOOKUP($D362, regions_ub[], COLUMN(O$1), FALSE), VLOOKUP($A362,raw_ub[],COLUMN(O$1),FALSE))</f>
        <v>0.74399999999999999</v>
      </c>
      <c r="P362" s="68">
        <f>IF(VLOOKUP($A362,raw_ub[],COLUMN(P$1),FALSE)=0, VLOOKUP($D362, regions_ub[], COLUMN(P$1), FALSE), VLOOKUP($A362,raw_ub[],COLUMN(P$1),FALSE))</f>
        <v>0.13300000000000001</v>
      </c>
      <c r="Q362" s="70">
        <f>IF(VLOOKUP($A362,raw_ub[],COLUMN(Q$1),FALSE)=0, VLOOKUP($D362, regions_ub[], COLUMN(Q$1), FALSE), VLOOKUP($A362,raw_ub[],COLUMN(Q$1),FALSE))</f>
        <v>6.3713052631578897</v>
      </c>
      <c r="R362" s="70">
        <f>IF(VLOOKUP($A362,raw_ub[],COLUMN(R$1),FALSE)=0, VLOOKUP($D362, regions_ub[], COLUMN(R$1), FALSE), VLOOKUP($A362,raw_ub[],COLUMN(R$1),FALSE))</f>
        <v>115.35710526315791</v>
      </c>
      <c r="S362" s="70">
        <f>IF(VLOOKUP($A362,raw_ub[],COLUMN(S$1),FALSE)=0, VLOOKUP($D362, regions_ub[], COLUMN(S$1), FALSE), VLOOKUP($A362,raw_ub[],COLUMN(S$1),FALSE))</f>
        <v>146.59040963065775</v>
      </c>
      <c r="T362" s="70">
        <f>IF(VLOOKUP($A362,raw_ub[],COLUMN(U$1)-COLUMN($A$1),FALSE)=0, VLOOKUP($D362, regions_ub[], COLUMN(U$1)-COLUMN($A$1), FALSE), VLOOKUP($A362,raw_ub[],COLUMN(U$1)-COLUMN($A$1),FALSE))</f>
        <v>147.63826418664354</v>
      </c>
      <c r="U362" s="70">
        <f>IF(VLOOKUP($A362,raw_ub[],COLUMN(V$1)-COLUMN($A$1),FALSE)=0, VLOOKUP($D362, regions_ub[], COLUMN(V$1)-COLUMN($A$1), FALSE), VLOOKUP($A362,raw_ub[],COLUMN(V$1)-COLUMN($A$1),FALSE))</f>
        <v>147.15711152335854</v>
      </c>
      <c r="V362" s="70">
        <f>IF(VLOOKUP($A362,raw_ub[],COLUMN(W$1)-COLUMN($A$1),FALSE)=0, VLOOKUP($D362, regions_ub[], COLUMN(W$1)-COLUMN($A$1), FALSE), VLOOKUP($A362,raw_ub[],COLUMN(W$1)-COLUMN($A$1),FALSE))</f>
        <v>2.8815107170729699</v>
      </c>
      <c r="W362" s="70">
        <f>IF(VLOOKUP($A362,raw_ub[],COLUMN(X$1)-COLUMN($A$1),FALSE)=0, VLOOKUP($D362, regions_ub[], COLUMN(X$1)-COLUMN($A$1), FALSE), VLOOKUP($A362,raw_ub[],COLUMN(X$1)-COLUMN($A$1),FALSE))</f>
        <v>7.9530107170729707</v>
      </c>
      <c r="X362" s="70">
        <f>IF(VLOOKUP($A362,raw_ub[],COLUMN(Y$1)-COLUMN($A$1),FALSE)=0, VLOOKUP($D362, regions_ub[], COLUMN(Y$1)-COLUMN($A$1), FALSE), VLOOKUP($A362,raw_ub[],COLUMN(Y$1)-COLUMN($A$1),FALSE))</f>
        <v>2.874139843902328</v>
      </c>
      <c r="Y362" s="70">
        <f>IF(VLOOKUP($A362,raw_ub[],COLUMN(Z$1)-COLUMN($A$1),FALSE)=0, VLOOKUP($D362, regions_ub[], COLUMN(Z$1)-COLUMN($A$1), FALSE), VLOOKUP($A362,raw_ub[],COLUMN(Z$1)-COLUMN($A$1),FALSE))</f>
        <v>7.9456398439023284</v>
      </c>
      <c r="Z362" s="70">
        <f>IF(VLOOKUP($A362,raw_ub[],COLUMN(AA$1)-COLUMN($A$1),FALSE)=0, VLOOKUP($D362, regions_ub[], COLUMN(AA$1)-COLUMN($A$1), FALSE), VLOOKUP($A362,raw_ub[],COLUMN(AA$1)-COLUMN($A$1),FALSE))</f>
        <v>7.9416902649339765</v>
      </c>
      <c r="AA362" s="70">
        <f>IF(VLOOKUP($A362,raw_ub[],COLUMN(AB$1)-COLUMN($A$1),FALSE)=0, VLOOKUP($D362, regions_ub[], COLUMN(AB$1)-COLUMN($A$1), FALSE), VLOOKUP($A362,raw_ub[],COLUMN(AB$1)-COLUMN($A$1),FALSE))</f>
        <v>2.8832116878046565</v>
      </c>
      <c r="AB362" s="70">
        <f>IF(VLOOKUP($A362,raw_ub[],COLUMN(AC$1)-COLUMN($A$1),FALSE)=0, VLOOKUP($D362, regions_ub[], COLUMN(AC$1)-COLUMN($A$1), FALSE), VLOOKUP($A362,raw_ub[],COLUMN(AC$1)-COLUMN($A$1),FALSE))</f>
        <v>7.9547116878046573</v>
      </c>
      <c r="AC362" s="72">
        <f>IF(VLOOKUP($A362,raw_ub[],COLUMN(AD$1)-COLUMN($A$1),FALSE)=0, VLOOKUP($D362, regions_ub[], COLUMN(AD$1)-COLUMN($A$1), FALSE), VLOOKUP($A362,raw_ub[],COLUMN(AD$1)-COLUMN($A$1),FALSE))</f>
        <v>5.661160050000006E-2</v>
      </c>
      <c r="AD362" s="72">
        <f>IF(VLOOKUP($A362,raw_ub[],COLUMN(AE$1)-COLUMN($A$1),FALSE)=0, VLOOKUP($D362, regions_ub[], COLUMN(AE$1)-COLUMN($A$1), FALSE), VLOOKUP($A362,raw_ub[],COLUMN(AE$1)-COLUMN($A$1),FALSE))</f>
        <v>5.3675585150619641E-3</v>
      </c>
      <c r="AE362" s="72">
        <f>IF(VLOOKUP($A362,raw_ub[],COLUMN(AF$1)-COLUMN($A$1),FALSE)=0, VLOOKUP($D362, regions_ub[], COLUMN(AF$1)-COLUMN($A$1), FALSE), VLOOKUP($A362,raw_ub[],COLUMN(AF$1)-COLUMN($A$1),FALSE))</f>
        <v>1.4713501639151045E-3</v>
      </c>
      <c r="AF362" s="72">
        <f>IF(VLOOKUP($A362,raw_ub[],COLUMN(AG$1)-COLUMN($A$1),FALSE)=0, VLOOKUP($D362, regions_ub[], COLUMN(AG$1)-COLUMN($A$1), FALSE), VLOOKUP($A362,raw_ub[],COLUMN(AG$1)-COLUMN($A$1),FALSE))</f>
        <v>1.1496484286674256E-3</v>
      </c>
      <c r="AG362" s="72">
        <f>IF(VLOOKUP($A362,raw_ub[],COLUMN(AH$1)-COLUMN($A$1),FALSE)=0, VLOOKUP($D362, regions_ub[], COLUMN(AH$1)-COLUMN($A$1), FALSE), VLOOKUP($A362,raw_ub[],COLUMN(AH$1)-COLUMN($A$1),FALSE))</f>
        <v>1.8126296959582412E-3</v>
      </c>
      <c r="AH362" s="72">
        <f>IF(VLOOKUP($A362,raw_ub[],COLUMN(AI$1)-COLUMN($A$1),FALSE)=0, VLOOKUP($D362, regions_ub[], COLUMN(AI$1)-COLUMN($A$1), FALSE), VLOOKUP($A362,raw_ub[],COLUMN(AI$1)-COLUMN($A$1),FALSE))</f>
        <v>3.0087294492355835E-3</v>
      </c>
      <c r="AI362" s="72">
        <f>IF(VLOOKUP($A362,raw_ub[],COLUMN(AJ$1)-COLUMN($A$1),FALSE)=0, VLOOKUP($D362, regions_ub[], COLUMN(AJ$1)-COLUMN($A$1), FALSE), VLOOKUP($A362,raw_ub[],COLUMN(AJ$1)-COLUMN($A$1),FALSE))</f>
        <v>4.6097514813786379E-3</v>
      </c>
      <c r="AJ362" s="72">
        <f>IF(VLOOKUP($A362,raw_ub[],COLUMN(AK$1)-COLUMN($A$1),FALSE)=0, VLOOKUP($D362, regions_ub[], COLUMN(AK$1)-COLUMN($A$1), FALSE), VLOOKUP($A362,raw_ub[],COLUMN(AK$1)-COLUMN($A$1),FALSE))</f>
        <v>6.3711068245035363E-3</v>
      </c>
      <c r="AK362" s="72">
        <f>IF(VLOOKUP($A362,raw_ub[],COLUMN(AL$1)-COLUMN($A$1),FALSE)=0, VLOOKUP($D362, regions_ub[], COLUMN(AL$1)-COLUMN($A$1), FALSE), VLOOKUP($A362,raw_ub[],COLUMN(AL$1)-COLUMN($A$1),FALSE))</f>
        <v>8.8365248479442757E-3</v>
      </c>
      <c r="AL362" s="72">
        <f>IF(VLOOKUP($A362,raw_ub[],COLUMN(AM$1)-COLUMN($A$1),FALSE)=0, VLOOKUP($D362, regions_ub[], COLUMN(AM$1)-COLUMN($A$1), FALSE), VLOOKUP($A362,raw_ub[],COLUMN(AM$1)-COLUMN($A$1),FALSE))</f>
        <v>1.0586443377638834E-2</v>
      </c>
      <c r="AM362" s="72">
        <f>IF(VLOOKUP($A362,raw_ub[],COLUMN(AN$1)-COLUMN($A$1),FALSE)=0, VLOOKUP($D362, regions_ub[], COLUMN(AN$1)-COLUMN($A$1), FALSE), VLOOKUP($A362,raw_ub[],COLUMN(AN$1)-COLUMN($A$1),FALSE))</f>
        <v>1.2456415880917818E-2</v>
      </c>
      <c r="AN362" s="72">
        <f>IF(VLOOKUP($A362,raw_ub[],COLUMN(AO$1)-COLUMN($A$1),FALSE)=0, VLOOKUP($D362, regions_ub[], COLUMN(AO$1)-COLUMN($A$1), FALSE), VLOOKUP($A362,raw_ub[],COLUMN(AO$1)-COLUMN($A$1),FALSE))</f>
        <v>1.5244520634669041E-2</v>
      </c>
      <c r="AO362" s="72">
        <f>IF(VLOOKUP($A362,raw_ub[],COLUMN(AP$1)-COLUMN($A$1),FALSE)=0, VLOOKUP($D362, regions_ub[], COLUMN(AP$1)-COLUMN($A$1), FALSE), VLOOKUP($A362,raw_ub[],COLUMN(AP$1)-COLUMN($A$1),FALSE))</f>
        <v>1.8855201286572858E-2</v>
      </c>
      <c r="AP362" s="72">
        <f>IF(VLOOKUP($A362,raw_ub[],COLUMN(AQ$1)-COLUMN($A$1),FALSE)=0, VLOOKUP($D362, regions_ub[], COLUMN(AQ$1)-COLUMN($A$1), FALSE), VLOOKUP($A362,raw_ub[],COLUMN(AQ$1)-COLUMN($A$1),FALSE))</f>
        <v>2.5419131670020523E-2</v>
      </c>
      <c r="AQ362" s="72">
        <f>IF(VLOOKUP($A362,raw_ub[],COLUMN(AR$1)-COLUMN($A$1),FALSE)=0, VLOOKUP($D362, regions_ub[], COLUMN(AR$1)-COLUMN($A$1), FALSE), VLOOKUP($A362,raw_ub[],COLUMN(AR$1)-COLUMN($A$1),FALSE))</f>
        <v>3.6061119556713754E-2</v>
      </c>
      <c r="AR362" s="72">
        <f>IF(VLOOKUP($A362,raw_ub[],COLUMN(AS$1)-COLUMN($A$1),FALSE)=0, VLOOKUP($D362, regions_ub[], COLUMN(AS$1)-COLUMN($A$1), FALSE), VLOOKUP($A362,raw_ub[],COLUMN(AS$1)-COLUMN($A$1),FALSE))</f>
        <v>5.2788134031505937E-2</v>
      </c>
      <c r="AS362" s="72">
        <f>IF(VLOOKUP($A362,raw_ub[],COLUMN(AT$1)-COLUMN($A$1),FALSE)=0, VLOOKUP($D362, regions_ub[], COLUMN(AT$1)-COLUMN($A$1), FALSE), VLOOKUP($A362,raw_ub[],COLUMN(AT$1)-COLUMN($A$1),FALSE))</f>
        <v>7.7234598478461841E-2</v>
      </c>
      <c r="AT362" s="82">
        <f>IF(VLOOKUP($A362,raw_ub[],COLUMN(AT$1),FALSE)=0, VLOOKUP($D362, regions_ub[], COLUMN(AT$1), FALSE), VLOOKUP($A362,raw_ub[],COLUMN(AT$1),FALSE))</f>
        <v>0.11373802878473264</v>
      </c>
      <c r="AU362" s="82">
        <f>IF(VLOOKUP($A362,raw_ub[],COLUMN(AU$1),FALSE)=0, VLOOKUP($D362, regions_ub[], COLUMN(AU$1), FALSE), VLOOKUP($A362,raw_ub[],COLUMN(AU$1),FALSE))</f>
        <v>0.15542838559604361</v>
      </c>
      <c r="AV362" s="82">
        <f>IF(VLOOKUP($A362,raw_ub[],COLUMN(AV$1),FALSE)=0, VLOOKUP($D362, regions_ub[], COLUMN(AV$1), FALSE), VLOOKUP($A362,raw_ub[],COLUMN(AV$1),FALSE))</f>
        <v>0.18706420927533504</v>
      </c>
      <c r="AW362" s="82">
        <f>IF(VLOOKUP($A362,raw_ub[],COLUMN(AW$1),FALSE)=0, VLOOKUP($D362, regions_ub[], COLUMN(AW$1), FALSE), VLOOKUP($A362,raw_ub[],COLUMN(AW$1),FALSE))</f>
        <v>0.19751478927492139</v>
      </c>
      <c r="AX362" s="82">
        <f>IF(VLOOKUP($A362,raw_ub[],COLUMN(AX$1),FALSE)=0, VLOOKUP($D362, regions_ub[], COLUMN(AX$1), FALSE), VLOOKUP($A362,raw_ub[],COLUMN(AX$1),FALSE))</f>
        <v>63.056700000000006</v>
      </c>
      <c r="AY362" t="str">
        <f t="shared" si="12"/>
        <v>Yes</v>
      </c>
    </row>
    <row r="363" spans="1:51" x14ac:dyDescent="0.25">
      <c r="A363" s="55" t="s">
        <v>394</v>
      </c>
      <c r="B363" s="56" t="s">
        <v>395</v>
      </c>
      <c r="C363" s="56">
        <v>104</v>
      </c>
      <c r="D363" s="56" t="s">
        <v>225</v>
      </c>
      <c r="E363" s="56" t="s">
        <v>261</v>
      </c>
      <c r="F363" s="56" t="s">
        <v>262</v>
      </c>
      <c r="G363" s="56" t="s">
        <v>212</v>
      </c>
      <c r="H363" s="74"/>
      <c r="I363" s="74"/>
      <c r="J363" s="67">
        <f>IF(VLOOKUP($A363,raw_ub[],COLUMN(J$1),FALSE)=0, VLOOKUP($D363, regions_ub[], COLUMN(J$1), FALSE), VLOOKUP($A363,raw_ub[],COLUMN(J$1),FALSE))</f>
        <v>0.38955000000000001</v>
      </c>
      <c r="K363" s="77">
        <f>VLOOKUP($A363, raw_ub[], 11, FALSE)</f>
        <v>0.2205</v>
      </c>
      <c r="L363" s="77">
        <f>VLOOKUP($A363, raw_ub[], 12, FALSE)</f>
        <v>0.88200000000000001</v>
      </c>
      <c r="M363" s="77">
        <f>IF(VLOOKUP($A363,raw_ub[],COLUMN(M$1),FALSE)=0, VLOOKUP($D363, regions_ub[], COLUMN(M$1), FALSE), VLOOKUP($A363,raw_ub[],COLUMN(M$1),FALSE))</f>
        <v>6.0199999999999997E-2</v>
      </c>
      <c r="N363" s="68">
        <f>IF(VLOOKUP($A363,raw_ub[],COLUMN(N$1),FALSE)=0, VLOOKUP($D363, regions_ub[], COLUMN(N$1), FALSE), VLOOKUP($A363,raw_ub[],COLUMN(N$1),FALSE))</f>
        <v>0.47729999999999995</v>
      </c>
      <c r="O363" s="67">
        <f>IF(VLOOKUP($A363,raw_ub[],COLUMN(O$1),FALSE)=0, VLOOKUP($D363, regions_ub[], COLUMN(O$1), FALSE), VLOOKUP($A363,raw_ub[],COLUMN(O$1),FALSE))</f>
        <v>0.9</v>
      </c>
      <c r="P363" s="68">
        <f>IF(VLOOKUP($A363,raw_ub[],COLUMN(P$1),FALSE)=0, VLOOKUP($D363, regions_ub[], COLUMN(P$1), FALSE), VLOOKUP($A363,raw_ub[],COLUMN(P$1),FALSE))</f>
        <v>0.3</v>
      </c>
      <c r="Q363" s="70">
        <f>IF(VLOOKUP($A363,raw_ub[],COLUMN(Q$1),FALSE)=0, VLOOKUP($D363, regions_ub[], COLUMN(Q$1), FALSE), VLOOKUP($A363,raw_ub[],COLUMN(Q$1),FALSE))</f>
        <v>7.3149812500000007</v>
      </c>
      <c r="R363" s="70">
        <f>IF(VLOOKUP($A363,raw_ub[],COLUMN(R$1),FALSE)=0, VLOOKUP($D363, regions_ub[], COLUMN(R$1), FALSE), VLOOKUP($A363,raw_ub[],COLUMN(R$1),FALSE))</f>
        <v>116.30078125000001</v>
      </c>
      <c r="S363" s="70">
        <f>IF(VLOOKUP($A363,raw_ub[],COLUMN(S$1),FALSE)=0, VLOOKUP($D363, regions_ub[], COLUMN(S$1), FALSE), VLOOKUP($A363,raw_ub[],COLUMN(S$1),FALSE))</f>
        <v>148.73183431789266</v>
      </c>
      <c r="T363" s="70">
        <f>IF(VLOOKUP($A363,raw_ub[],COLUMN(U$1)-COLUMN($A$1),FALSE)=0, VLOOKUP($D363, regions_ub[], COLUMN(U$1)-COLUMN($A$1), FALSE), VLOOKUP($A363,raw_ub[],COLUMN(U$1)-COLUMN($A$1),FALSE))</f>
        <v>150.40307520974147</v>
      </c>
      <c r="U363" s="70">
        <f>IF(VLOOKUP($A363,raw_ub[],COLUMN(V$1)-COLUMN($A$1),FALSE)=0, VLOOKUP($D363, regions_ub[], COLUMN(V$1)-COLUMN($A$1), FALSE), VLOOKUP($A363,raw_ub[],COLUMN(V$1)-COLUMN($A$1),FALSE))</f>
        <v>149.63567671773666</v>
      </c>
      <c r="V363" s="70">
        <f>IF(VLOOKUP($A363,raw_ub[],COLUMN(W$1)-COLUMN($A$1),FALSE)=0, VLOOKUP($D363, regions_ub[], COLUMN(W$1)-COLUMN($A$1), FALSE), VLOOKUP($A363,raw_ub[],COLUMN(W$1)-COLUMN($A$1),FALSE))</f>
        <v>4.3556805955127231</v>
      </c>
      <c r="W363" s="70">
        <f>IF(VLOOKUP($A363,raw_ub[],COLUMN(X$1)-COLUMN($A$1),FALSE)=0, VLOOKUP($D363, regions_ub[], COLUMN(X$1)-COLUMN($A$1), FALSE), VLOOKUP($A363,raw_ub[],COLUMN(X$1)-COLUMN($A$1),FALSE))</f>
        <v>5.0171805955127233</v>
      </c>
      <c r="X363" s="70">
        <f>IF(VLOOKUP($A363,raw_ub[],COLUMN(Y$1)-COLUMN($A$1),FALSE)=0, VLOOKUP($D363, regions_ub[], COLUMN(Y$1)-COLUMN($A$1), FALSE), VLOOKUP($A363,raw_ub[],COLUMN(Y$1)-COLUMN($A$1),FALSE))</f>
        <v>4.3388852251104684</v>
      </c>
      <c r="Y363" s="70">
        <f>IF(VLOOKUP($A363,raw_ub[],COLUMN(Z$1)-COLUMN($A$1),FALSE)=0, VLOOKUP($D363, regions_ub[], COLUMN(Z$1)-COLUMN($A$1), FALSE), VLOOKUP($A363,raw_ub[],COLUMN(Z$1)-COLUMN($A$1),FALSE))</f>
        <v>5.0003852251104686</v>
      </c>
      <c r="Z363" s="70">
        <f>IF(VLOOKUP($A363,raw_ub[],COLUMN(AA$1)-COLUMN($A$1),FALSE)=0, VLOOKUP($D363, regions_ub[], COLUMN(AA$1)-COLUMN($A$1), FALSE), VLOOKUP($A363,raw_ub[],COLUMN(AA$1)-COLUMN($A$1),FALSE))</f>
        <v>4.9905851428233445</v>
      </c>
      <c r="AA363" s="70">
        <f>IF(VLOOKUP($A363,raw_ub[],COLUMN(AB$1)-COLUMN($A$1),FALSE)=0, VLOOKUP($D363, regions_ub[], COLUMN(AB$1)-COLUMN($A$1), FALSE), VLOOKUP($A363,raw_ub[],COLUMN(AB$1)-COLUMN($A$1),FALSE))</f>
        <v>4.3595564502209356</v>
      </c>
      <c r="AB363" s="70">
        <f>IF(VLOOKUP($A363,raw_ub[],COLUMN(AC$1)-COLUMN($A$1),FALSE)=0, VLOOKUP($D363, regions_ub[], COLUMN(AC$1)-COLUMN($A$1), FALSE), VLOOKUP($A363,raw_ub[],COLUMN(AC$1)-COLUMN($A$1),FALSE))</f>
        <v>5.0210564502209358</v>
      </c>
      <c r="AC363" s="72">
        <f>IF(VLOOKUP($A363,raw_ub[],COLUMN(AD$1)-COLUMN($A$1),FALSE)=0, VLOOKUP($D363, regions_ub[], COLUMN(AD$1)-COLUMN($A$1), FALSE), VLOOKUP($A363,raw_ub[],COLUMN(AD$1)-COLUMN($A$1),FALSE))</f>
        <v>4.0341514499999988E-2</v>
      </c>
      <c r="AD363" s="72">
        <f>IF(VLOOKUP($A363,raw_ub[],COLUMN(AE$1)-COLUMN($A$1),FALSE)=0, VLOOKUP($D363, regions_ub[], COLUMN(AE$1)-COLUMN($A$1), FALSE), VLOOKUP($A363,raw_ub[],COLUMN(AE$1)-COLUMN($A$1),FALSE))</f>
        <v>2.6377144049169513E-3</v>
      </c>
      <c r="AE363" s="72">
        <f>IF(VLOOKUP($A363,raw_ub[],COLUMN(AF$1)-COLUMN($A$1),FALSE)=0, VLOOKUP($D363, regions_ub[], COLUMN(AF$1)-COLUMN($A$1), FALSE), VLOOKUP($A363,raw_ub[],COLUMN(AF$1)-COLUMN($A$1),FALSE))</f>
        <v>1.1265892323359299E-3</v>
      </c>
      <c r="AF363" s="72">
        <f>IF(VLOOKUP($A363,raw_ub[],COLUMN(AG$1)-COLUMN($A$1),FALSE)=0, VLOOKUP($D363, regions_ub[], COLUMN(AG$1)-COLUMN($A$1), FALSE), VLOOKUP($A363,raw_ub[],COLUMN(AG$1)-COLUMN($A$1),FALSE))</f>
        <v>9.1468103676684302E-4</v>
      </c>
      <c r="AG363" s="72">
        <f>IF(VLOOKUP($A363,raw_ub[],COLUMN(AH$1)-COLUMN($A$1),FALSE)=0, VLOOKUP($D363, regions_ub[], COLUMN(AH$1)-COLUMN($A$1), FALSE), VLOOKUP($A363,raw_ub[],COLUMN(AH$1)-COLUMN($A$1),FALSE))</f>
        <v>1.4825072850576521E-3</v>
      </c>
      <c r="AH363" s="72">
        <f>IF(VLOOKUP($A363,raw_ub[],COLUMN(AI$1)-COLUMN($A$1),FALSE)=0, VLOOKUP($D363, regions_ub[], COLUMN(AI$1)-COLUMN($A$1), FALSE), VLOOKUP($A363,raw_ub[],COLUMN(AI$1)-COLUMN($A$1),FALSE))</f>
        <v>2.0950093473352006E-3</v>
      </c>
      <c r="AI363" s="72">
        <f>IF(VLOOKUP($A363,raw_ub[],COLUMN(AJ$1)-COLUMN($A$1),FALSE)=0, VLOOKUP($D363, regions_ub[], COLUMN(AJ$1)-COLUMN($A$1), FALSE), VLOOKUP($A363,raw_ub[],COLUMN(AJ$1)-COLUMN($A$1),FALSE))</f>
        <v>2.269822227396657E-3</v>
      </c>
      <c r="AJ363" s="72">
        <f>IF(VLOOKUP($A363,raw_ub[],COLUMN(AK$1)-COLUMN($A$1),FALSE)=0, VLOOKUP($D363, regions_ub[], COLUMN(AK$1)-COLUMN($A$1), FALSE), VLOOKUP($A363,raw_ub[],COLUMN(AK$1)-COLUMN($A$1),FALSE))</f>
        <v>2.6126948652408903E-3</v>
      </c>
      <c r="AK363" s="72">
        <f>IF(VLOOKUP($A363,raw_ub[],COLUMN(AL$1)-COLUMN($A$1),FALSE)=0, VLOOKUP($D363, regions_ub[], COLUMN(AL$1)-COLUMN($A$1), FALSE), VLOOKUP($A363,raw_ub[],COLUMN(AL$1)-COLUMN($A$1),FALSE))</f>
        <v>3.302816623148061E-3</v>
      </c>
      <c r="AL363" s="72">
        <f>IF(VLOOKUP($A363,raw_ub[],COLUMN(AM$1)-COLUMN($A$1),FALSE)=0, VLOOKUP($D363, regions_ub[], COLUMN(AM$1)-COLUMN($A$1), FALSE), VLOOKUP($A363,raw_ub[],COLUMN(AM$1)-COLUMN($A$1),FALSE))</f>
        <v>4.4582476763413252E-3</v>
      </c>
      <c r="AM363" s="72">
        <f>IF(VLOOKUP($A363,raw_ub[],COLUMN(AN$1)-COLUMN($A$1),FALSE)=0, VLOOKUP($D363, regions_ub[], COLUMN(AN$1)-COLUMN($A$1), FALSE), VLOOKUP($A363,raw_ub[],COLUMN(AN$1)-COLUMN($A$1),FALSE))</f>
        <v>6.3728540691578876E-3</v>
      </c>
      <c r="AN363" s="72">
        <f>IF(VLOOKUP($A363,raw_ub[],COLUMN(AO$1)-COLUMN($A$1),FALSE)=0, VLOOKUP($D363, regions_ub[], COLUMN(AO$1)-COLUMN($A$1), FALSE), VLOOKUP($A363,raw_ub[],COLUMN(AO$1)-COLUMN($A$1),FALSE))</f>
        <v>9.3416298435973766E-3</v>
      </c>
      <c r="AO363" s="72">
        <f>IF(VLOOKUP($A363,raw_ub[],COLUMN(AP$1)-COLUMN($A$1),FALSE)=0, VLOOKUP($D363, regions_ub[], COLUMN(AP$1)-COLUMN($A$1), FALSE), VLOOKUP($A363,raw_ub[],COLUMN(AP$1)-COLUMN($A$1),FALSE))</f>
        <v>1.3838927074850804E-2</v>
      </c>
      <c r="AP363" s="72">
        <f>IF(VLOOKUP($A363,raw_ub[],COLUMN(AQ$1)-COLUMN($A$1),FALSE)=0, VLOOKUP($D363, regions_ub[], COLUMN(AQ$1)-COLUMN($A$1), FALSE), VLOOKUP($A363,raw_ub[],COLUMN(AQ$1)-COLUMN($A$1),FALSE))</f>
        <v>2.0905797472031876E-2</v>
      </c>
      <c r="AQ363" s="72">
        <f>IF(VLOOKUP($A363,raw_ub[],COLUMN(AR$1)-COLUMN($A$1),FALSE)=0, VLOOKUP($D363, regions_ub[], COLUMN(AR$1)-COLUMN($A$1), FALSE), VLOOKUP($A363,raw_ub[],COLUMN(AR$1)-COLUMN($A$1),FALSE))</f>
        <v>3.2041535834872854E-2</v>
      </c>
      <c r="AR363" s="72">
        <f>IF(VLOOKUP($A363,raw_ub[],COLUMN(AS$1)-COLUMN($A$1),FALSE)=0, VLOOKUP($D363, regions_ub[], COLUMN(AS$1)-COLUMN($A$1), FALSE), VLOOKUP($A363,raw_ub[],COLUMN(AS$1)-COLUMN($A$1),FALSE))</f>
        <v>4.9539295353899504E-2</v>
      </c>
      <c r="AS363" s="72">
        <f>IF(VLOOKUP($A363,raw_ub[],COLUMN(AT$1)-COLUMN($A$1),FALSE)=0, VLOOKUP($D363, regions_ub[], COLUMN(AT$1)-COLUMN($A$1), FALSE), VLOOKUP($A363,raw_ub[],COLUMN(AT$1)-COLUMN($A$1),FALSE))</f>
        <v>7.447112292514621E-2</v>
      </c>
      <c r="AT363" s="82">
        <f>IF(VLOOKUP($A363,raw_ub[],COLUMN(AT$1),FALSE)=0, VLOOKUP($D363, regions_ub[], COLUMN(AT$1), FALSE), VLOOKUP($A363,raw_ub[],COLUMN(AT$1),FALSE))</f>
        <v>0.10725043428833224</v>
      </c>
      <c r="AU363" s="82">
        <f>IF(VLOOKUP($A363,raw_ub[],COLUMN(AU$1),FALSE)=0, VLOOKUP($D363, regions_ub[], COLUMN(AU$1), FALSE), VLOOKUP($A363,raw_ub[],COLUMN(AU$1),FALSE))</f>
        <v>0.14196940961282431</v>
      </c>
      <c r="AV363" s="82">
        <f>IF(VLOOKUP($A363,raw_ub[],COLUMN(AV$1),FALSE)=0, VLOOKUP($D363, regions_ub[], COLUMN(AV$1), FALSE), VLOOKUP($A363,raw_ub[],COLUMN(AV$1),FALSE))</f>
        <v>0.1701976283241653</v>
      </c>
      <c r="AW363" s="82">
        <f>IF(VLOOKUP($A363,raw_ub[],COLUMN(AW$1),FALSE)=0, VLOOKUP($D363, regions_ub[], COLUMN(AW$1), FALSE), VLOOKUP($A363,raw_ub[],COLUMN(AW$1),FALSE))</f>
        <v>0.18847363153112434</v>
      </c>
      <c r="AX363" s="82">
        <f>IF(VLOOKUP($A363,raw_ub[],COLUMN(AX$1),FALSE)=0, VLOOKUP($D363, regions_ub[], COLUMN(AX$1), FALSE), VLOOKUP($A363,raw_ub[],COLUMN(AX$1),FALSE))</f>
        <v>70.096950000000007</v>
      </c>
      <c r="AY363" t="str">
        <f t="shared" si="12"/>
        <v>No</v>
      </c>
    </row>
    <row r="364" spans="1:51" x14ac:dyDescent="0.25">
      <c r="A364" s="53" t="s">
        <v>396</v>
      </c>
      <c r="B364" s="54" t="s">
        <v>397</v>
      </c>
      <c r="C364" s="54">
        <v>516</v>
      </c>
      <c r="D364" s="54" t="s">
        <v>207</v>
      </c>
      <c r="E364" s="54" t="s">
        <v>245</v>
      </c>
      <c r="F364" s="54" t="s">
        <v>211</v>
      </c>
      <c r="G364" s="54" t="s">
        <v>204</v>
      </c>
      <c r="H364" s="73"/>
      <c r="I364" s="73"/>
      <c r="J364" s="67">
        <f>IF(VLOOKUP($A364,raw_ub[],COLUMN(J$1),FALSE)=0, VLOOKUP($D364, regions_ub[], COLUMN(J$1), FALSE), VLOOKUP($A364,raw_ub[],COLUMN(J$1),FALSE))</f>
        <v>0.91770000000000018</v>
      </c>
      <c r="K364" s="77">
        <f>VLOOKUP($A364, raw_ub[], 11, FALSE)</f>
        <v>0.85050000000000014</v>
      </c>
      <c r="L364" s="77">
        <f>VLOOKUP($A364, raw_ub[], 12, FALSE)</f>
        <v>0.91349999999999998</v>
      </c>
      <c r="M364" s="77">
        <f>IF(VLOOKUP($A364,raw_ub[],COLUMN(M$1),FALSE)=0, VLOOKUP($D364, regions_ub[], COLUMN(M$1), FALSE), VLOOKUP($A364,raw_ub[],COLUMN(M$1),FALSE))</f>
        <v>6.2E-2</v>
      </c>
      <c r="N364" s="68">
        <f>IF(VLOOKUP($A364,raw_ub[],COLUMN(N$1),FALSE)=0, VLOOKUP($D364, regions_ub[], COLUMN(N$1), FALSE), VLOOKUP($A364,raw_ub[],COLUMN(N$1),FALSE))</f>
        <v>0.3679</v>
      </c>
      <c r="O364" s="67">
        <f>IF(VLOOKUP($A364,raw_ub[],COLUMN(O$1),FALSE)=0, VLOOKUP($D364, regions_ub[], COLUMN(O$1), FALSE), VLOOKUP($A364,raw_ub[],COLUMN(O$1),FALSE))</f>
        <v>0.74399999999999999</v>
      </c>
      <c r="P364" s="68">
        <f>IF(VLOOKUP($A364,raw_ub[],COLUMN(P$1),FALSE)=0, VLOOKUP($D364, regions_ub[], COLUMN(P$1), FALSE), VLOOKUP($A364,raw_ub[],COLUMN(P$1),FALSE))</f>
        <v>0.13300000000000001</v>
      </c>
      <c r="Q364" s="70">
        <f>IF(VLOOKUP($A364,raw_ub[],COLUMN(Q$1),FALSE)=0, VLOOKUP($D364, regions_ub[], COLUMN(Q$1), FALSE), VLOOKUP($A364,raw_ub[],COLUMN(Q$1),FALSE))</f>
        <v>22.097762976597402</v>
      </c>
      <c r="R364" s="70">
        <f>IF(VLOOKUP($A364,raw_ub[],COLUMN(R$1),FALSE)=0, VLOOKUP($D364, regions_ub[], COLUMN(R$1), FALSE), VLOOKUP($A364,raw_ub[],COLUMN(R$1),FALSE))</f>
        <v>131.08356297659742</v>
      </c>
      <c r="S364" s="70">
        <f>IF(VLOOKUP($A364,raw_ub[],COLUMN(S$1),FALSE)=0, VLOOKUP($D364, regions_ub[], COLUMN(S$1), FALSE), VLOOKUP($A364,raw_ub[],COLUMN(S$1),FALSE))</f>
        <v>203.32203099273482</v>
      </c>
      <c r="T364" s="70">
        <f>IF(VLOOKUP($A364,raw_ub[],COLUMN(U$1)-COLUMN($A$1),FALSE)=0, VLOOKUP($D364, regions_ub[], COLUMN(U$1)-COLUMN($A$1), FALSE), VLOOKUP($A364,raw_ub[],COLUMN(U$1)-COLUMN($A$1),FALSE))</f>
        <v>225.7116400503148</v>
      </c>
      <c r="U364" s="70">
        <f>IF(VLOOKUP($A364,raw_ub[],COLUMN(V$1)-COLUMN($A$1),FALSE)=0, VLOOKUP($D364, regions_ub[], COLUMN(V$1)-COLUMN($A$1), FALSE), VLOOKUP($A364,raw_ub[],COLUMN(V$1)-COLUMN($A$1),FALSE))</f>
        <v>215.43080482711898</v>
      </c>
      <c r="V364" s="70">
        <f>IF(VLOOKUP($A364,raw_ub[],COLUMN(W$1)-COLUMN($A$1),FALSE)=0, VLOOKUP($D364, regions_ub[], COLUMN(W$1)-COLUMN($A$1), FALSE), VLOOKUP($A364,raw_ub[],COLUMN(W$1)-COLUMN($A$1),FALSE))</f>
        <v>11.142750781535712</v>
      </c>
      <c r="W364" s="70">
        <f>IF(VLOOKUP($A364,raw_ub[],COLUMN(X$1)-COLUMN($A$1),FALSE)=0, VLOOKUP($D364, regions_ub[], COLUMN(X$1)-COLUMN($A$1), FALSE), VLOOKUP($A364,raw_ub[],COLUMN(X$1)-COLUMN($A$1),FALSE))</f>
        <v>16.214250781535711</v>
      </c>
      <c r="X364" s="70">
        <f>IF(VLOOKUP($A364,raw_ub[],COLUMN(Y$1)-COLUMN($A$1),FALSE)=0, VLOOKUP($D364, regions_ub[], COLUMN(Y$1)-COLUMN($A$1), FALSE), VLOOKUP($A364,raw_ub[],COLUMN(Y$1)-COLUMN($A$1),FALSE))</f>
        <v>11.1187703622266</v>
      </c>
      <c r="Y364" s="70">
        <f>IF(VLOOKUP($A364,raw_ub[],COLUMN(Z$1)-COLUMN($A$1),FALSE)=0, VLOOKUP($D364, regions_ub[], COLUMN(Z$1)-COLUMN($A$1), FALSE), VLOOKUP($A364,raw_ub[],COLUMN(Z$1)-COLUMN($A$1),FALSE))</f>
        <v>16.190270362226599</v>
      </c>
      <c r="Z364" s="70">
        <f>IF(VLOOKUP($A364,raw_ub[],COLUMN(AA$1)-COLUMN($A$1),FALSE)=0, VLOOKUP($D364, regions_ub[], COLUMN(AA$1)-COLUMN($A$1), FALSE), VLOOKUP($A364,raw_ub[],COLUMN(AA$1)-COLUMN($A$1),FALSE))</f>
        <v>16.177524708287933</v>
      </c>
      <c r="AA364" s="70">
        <f>IF(VLOOKUP($A364,raw_ub[],COLUMN(AB$1)-COLUMN($A$1),FALSE)=0, VLOOKUP($D364, regions_ub[], COLUMN(AB$1)-COLUMN($A$1), FALSE), VLOOKUP($A364,raw_ub[],COLUMN(AB$1)-COLUMN($A$1),FALSE))</f>
        <v>11.1482847244532</v>
      </c>
      <c r="AB364" s="70">
        <f>IF(VLOOKUP($A364,raw_ub[],COLUMN(AC$1)-COLUMN($A$1),FALSE)=0, VLOOKUP($D364, regions_ub[], COLUMN(AC$1)-COLUMN($A$1), FALSE), VLOOKUP($A364,raw_ub[],COLUMN(AC$1)-COLUMN($A$1),FALSE))</f>
        <v>16.219784724453199</v>
      </c>
      <c r="AC364" s="72">
        <f>IF(VLOOKUP($A364,raw_ub[],COLUMN(AD$1)-COLUMN($A$1),FALSE)=0, VLOOKUP($D364, regions_ub[], COLUMN(AD$1)-COLUMN($A$1), FALSE), VLOOKUP($A364,raw_ub[],COLUMN(AD$1)-COLUMN($A$1),FALSE))</f>
        <v>3.5063594999999996E-2</v>
      </c>
      <c r="AD364" s="72">
        <f>IF(VLOOKUP($A364,raw_ub[],COLUMN(AE$1)-COLUMN($A$1),FALSE)=0, VLOOKUP($D364, regions_ub[], COLUMN(AE$1)-COLUMN($A$1), FALSE), VLOOKUP($A364,raw_ub[],COLUMN(AE$1)-COLUMN($A$1),FALSE))</f>
        <v>3.0334173868756032E-3</v>
      </c>
      <c r="AE364" s="72">
        <f>IF(VLOOKUP($A364,raw_ub[],COLUMN(AF$1)-COLUMN($A$1),FALSE)=0, VLOOKUP($D364, regions_ub[], COLUMN(AF$1)-COLUMN($A$1), FALSE), VLOOKUP($A364,raw_ub[],COLUMN(AF$1)-COLUMN($A$1),FALSE))</f>
        <v>1.2859870736308182E-3</v>
      </c>
      <c r="AF364" s="72">
        <f>IF(VLOOKUP($A364,raw_ub[],COLUMN(AG$1)-COLUMN($A$1),FALSE)=0, VLOOKUP($D364, regions_ub[], COLUMN(AG$1)-COLUMN($A$1), FALSE), VLOOKUP($A364,raw_ub[],COLUMN(AG$1)-COLUMN($A$1),FALSE))</f>
        <v>1.0378729863828001E-3</v>
      </c>
      <c r="AG364" s="72">
        <f>IF(VLOOKUP($A364,raw_ub[],COLUMN(AH$1)-COLUMN($A$1),FALSE)=0, VLOOKUP($D364, regions_ub[], COLUMN(AH$1)-COLUMN($A$1), FALSE), VLOOKUP($A364,raw_ub[],COLUMN(AH$1)-COLUMN($A$1),FALSE))</f>
        <v>1.7484861606114504E-3</v>
      </c>
      <c r="AH364" s="72">
        <f>IF(VLOOKUP($A364,raw_ub[],COLUMN(AI$1)-COLUMN($A$1),FALSE)=0, VLOOKUP($D364, regions_ub[], COLUMN(AI$1)-COLUMN($A$1), FALSE), VLOOKUP($A364,raw_ub[],COLUMN(AI$1)-COLUMN($A$1),FALSE))</f>
        <v>2.8581204497139944E-3</v>
      </c>
      <c r="AI364" s="72">
        <f>IF(VLOOKUP($A364,raw_ub[],COLUMN(AJ$1)-COLUMN($A$1),FALSE)=0, VLOOKUP($D364, regions_ub[], COLUMN(AJ$1)-COLUMN($A$1), FALSE), VLOOKUP($A364,raw_ub[],COLUMN(AJ$1)-COLUMN($A$1),FALSE))</f>
        <v>4.1181473126917154E-3</v>
      </c>
      <c r="AJ364" s="72">
        <f>IF(VLOOKUP($A364,raw_ub[],COLUMN(AK$1)-COLUMN($A$1),FALSE)=0, VLOOKUP($D364, regions_ub[], COLUMN(AK$1)-COLUMN($A$1), FALSE), VLOOKUP($A364,raw_ub[],COLUMN(AK$1)-COLUMN($A$1),FALSE))</f>
        <v>5.4818669484547411E-3</v>
      </c>
      <c r="AK364" s="72">
        <f>IF(VLOOKUP($A364,raw_ub[],COLUMN(AL$1)-COLUMN($A$1),FALSE)=0, VLOOKUP($D364, regions_ub[], COLUMN(AL$1)-COLUMN($A$1), FALSE), VLOOKUP($A364,raw_ub[],COLUMN(AL$1)-COLUMN($A$1),FALSE))</f>
        <v>7.3995178474823044E-3</v>
      </c>
      <c r="AL364" s="72">
        <f>IF(VLOOKUP($A364,raw_ub[],COLUMN(AM$1)-COLUMN($A$1),FALSE)=0, VLOOKUP($D364, regions_ub[], COLUMN(AM$1)-COLUMN($A$1), FALSE), VLOOKUP($A364,raw_ub[],COLUMN(AM$1)-COLUMN($A$1),FALSE))</f>
        <v>9.05644370152448E-3</v>
      </c>
      <c r="AM364" s="72">
        <f>IF(VLOOKUP($A364,raw_ub[],COLUMN(AN$1)-COLUMN($A$1),FALSE)=0, VLOOKUP($D364, regions_ub[], COLUMN(AN$1)-COLUMN($A$1), FALSE), VLOOKUP($A364,raw_ub[],COLUMN(AN$1)-COLUMN($A$1),FALSE))</f>
        <v>1.104367651531169E-2</v>
      </c>
      <c r="AN364" s="72">
        <f>IF(VLOOKUP($A364,raw_ub[],COLUMN(AO$1)-COLUMN($A$1),FALSE)=0, VLOOKUP($D364, regions_ub[], COLUMN(AO$1)-COLUMN($A$1), FALSE), VLOOKUP($A364,raw_ub[],COLUMN(AO$1)-COLUMN($A$1),FALSE))</f>
        <v>1.4132079118231156E-2</v>
      </c>
      <c r="AO364" s="72">
        <f>IF(VLOOKUP($A364,raw_ub[],COLUMN(AP$1)-COLUMN($A$1),FALSE)=0, VLOOKUP($D364, regions_ub[], COLUMN(AP$1)-COLUMN($A$1), FALSE), VLOOKUP($A364,raw_ub[],COLUMN(AP$1)-COLUMN($A$1),FALSE))</f>
        <v>1.7675767792643932E-2</v>
      </c>
      <c r="AP364" s="72">
        <f>IF(VLOOKUP($A364,raw_ub[],COLUMN(AQ$1)-COLUMN($A$1),FALSE)=0, VLOOKUP($D364, regions_ub[], COLUMN(AQ$1)-COLUMN($A$1), FALSE), VLOOKUP($A364,raw_ub[],COLUMN(AQ$1)-COLUMN($A$1),FALSE))</f>
        <v>2.4221330538052616E-2</v>
      </c>
      <c r="AQ364" s="72">
        <f>IF(VLOOKUP($A364,raw_ub[],COLUMN(AR$1)-COLUMN($A$1),FALSE)=0, VLOOKUP($D364, regions_ub[], COLUMN(AR$1)-COLUMN($A$1), FALSE), VLOOKUP($A364,raw_ub[],COLUMN(AR$1)-COLUMN($A$1),FALSE))</f>
        <v>3.5119396206886519E-2</v>
      </c>
      <c r="AR364" s="72">
        <f>IF(VLOOKUP($A364,raw_ub[],COLUMN(AS$1)-COLUMN($A$1),FALSE)=0, VLOOKUP($D364, regions_ub[], COLUMN(AS$1)-COLUMN($A$1), FALSE), VLOOKUP($A364,raw_ub[],COLUMN(AS$1)-COLUMN($A$1),FALSE))</f>
        <v>5.2231716644249304E-2</v>
      </c>
      <c r="AS364" s="72">
        <f>IF(VLOOKUP($A364,raw_ub[],COLUMN(AT$1)-COLUMN($A$1),FALSE)=0, VLOOKUP($D364, regions_ub[], COLUMN(AT$1)-COLUMN($A$1), FALSE), VLOOKUP($A364,raw_ub[],COLUMN(AT$1)-COLUMN($A$1),FALSE))</f>
        <v>7.6872980347654635E-2</v>
      </c>
      <c r="AT364" s="82">
        <f>IF(VLOOKUP($A364,raw_ub[],COLUMN(AT$1),FALSE)=0, VLOOKUP($D364, regions_ub[], COLUMN(AT$1), FALSE), VLOOKUP($A364,raw_ub[],COLUMN(AT$1),FALSE))</f>
        <v>0.11270807945629688</v>
      </c>
      <c r="AU364" s="82">
        <f>IF(VLOOKUP($A364,raw_ub[],COLUMN(AU$1),FALSE)=0, VLOOKUP($D364, regions_ub[], COLUMN(AU$1), FALSE), VLOOKUP($A364,raw_ub[],COLUMN(AU$1),FALSE))</f>
        <v>0.15417833623609989</v>
      </c>
      <c r="AV364" s="82">
        <f>IF(VLOOKUP($A364,raw_ub[],COLUMN(AV$1),FALSE)=0, VLOOKUP($D364, regions_ub[], COLUMN(AV$1), FALSE), VLOOKUP($A364,raw_ub[],COLUMN(AV$1),FALSE))</f>
        <v>0.18691676159931661</v>
      </c>
      <c r="AW364" s="82">
        <f>IF(VLOOKUP($A364,raw_ub[],COLUMN(AW$1),FALSE)=0, VLOOKUP($D364, regions_ub[], COLUMN(AW$1), FALSE), VLOOKUP($A364,raw_ub[],COLUMN(AW$1),FALSE))</f>
        <v>0.19796159125186441</v>
      </c>
      <c r="AX364" s="82">
        <f>IF(VLOOKUP($A364,raw_ub[],COLUMN(AX$1),FALSE)=0, VLOOKUP($D364, regions_ub[], COLUMN(AX$1), FALSE), VLOOKUP($A364,raw_ub[],COLUMN(AX$1),FALSE))</f>
        <v>66.175200000000004</v>
      </c>
      <c r="AY364" t="str">
        <f t="shared" si="12"/>
        <v>No</v>
      </c>
    </row>
    <row r="365" spans="1:51" x14ac:dyDescent="0.25">
      <c r="A365" s="55" t="s">
        <v>398</v>
      </c>
      <c r="B365" s="56" t="s">
        <v>399</v>
      </c>
      <c r="C365" s="56">
        <v>520</v>
      </c>
      <c r="D365" s="56" t="s">
        <v>260</v>
      </c>
      <c r="E365" s="56" t="s">
        <v>309</v>
      </c>
      <c r="F365" s="56" t="s">
        <v>262</v>
      </c>
      <c r="G365" s="56" t="s">
        <v>204</v>
      </c>
      <c r="H365" s="74"/>
      <c r="I365" s="74"/>
      <c r="J365" s="67">
        <f>IF(VLOOKUP($A365,raw_ub[],COLUMN(J$1),FALSE)=0, VLOOKUP($D365, regions_ub[], COLUMN(J$1), FALSE), VLOOKUP($A365,raw_ub[],COLUMN(J$1),FALSE))</f>
        <v>0.999</v>
      </c>
      <c r="K365" s="77">
        <f>VLOOKUP($A365, raw_ub[], 11, FALSE)</f>
        <v>0.999</v>
      </c>
      <c r="L365" s="77">
        <f>VLOOKUP($A365, raw_ub[], 12, FALSE)</f>
        <v>0.99749999999999994</v>
      </c>
      <c r="M365" s="77">
        <f>IF(VLOOKUP($A365,raw_ub[],COLUMN(M$1),FALSE)=0, VLOOKUP($D365, regions_ub[], COLUMN(M$1), FALSE), VLOOKUP($A365,raw_ub[],COLUMN(M$1),FALSE))</f>
        <v>0.121</v>
      </c>
      <c r="N365" s="68">
        <f>IF(VLOOKUP($A365,raw_ub[],COLUMN(N$1),FALSE)=0, VLOOKUP($D365, regions_ub[], COLUMN(N$1), FALSE), VLOOKUP($A365,raw_ub[],COLUMN(N$1),FALSE))</f>
        <v>0.48804013996551276</v>
      </c>
      <c r="O365" s="67">
        <f>IF(VLOOKUP($A365,raw_ub[],COLUMN(O$1),FALSE)=0, VLOOKUP($D365, regions_ub[], COLUMN(O$1), FALSE), VLOOKUP($A365,raw_ub[],COLUMN(O$1),FALSE))</f>
        <v>0.9</v>
      </c>
      <c r="P365" s="68">
        <f>IF(VLOOKUP($A365,raw_ub[],COLUMN(P$1),FALSE)=0, VLOOKUP($D365, regions_ub[], COLUMN(P$1), FALSE), VLOOKUP($A365,raw_ub[],COLUMN(P$1),FALSE))</f>
        <v>0.3</v>
      </c>
      <c r="Q365" s="70">
        <f>IF(VLOOKUP($A365,raw_ub[],COLUMN(Q$1),FALSE)=0, VLOOKUP($D365, regions_ub[], COLUMN(Q$1), FALSE), VLOOKUP($A365,raw_ub[],COLUMN(Q$1),FALSE))</f>
        <v>14.487534907888501</v>
      </c>
      <c r="R365" s="70">
        <f>IF(VLOOKUP($A365,raw_ub[],COLUMN(R$1),FALSE)=0, VLOOKUP($D365, regions_ub[], COLUMN(R$1), FALSE), VLOOKUP($A365,raw_ub[],COLUMN(R$1),FALSE))</f>
        <v>123.47333490788851</v>
      </c>
      <c r="S365" s="70">
        <f>IF(VLOOKUP($A365,raw_ub[],COLUMN(S$1),FALSE)=0, VLOOKUP($D365, regions_ub[], COLUMN(S$1), FALSE), VLOOKUP($A365,raw_ub[],COLUMN(S$1),FALSE))</f>
        <v>167.56109679974116</v>
      </c>
      <c r="T365" s="70">
        <f>IF(VLOOKUP($A365,raw_ub[],COLUMN(U$1)-COLUMN($A$1),FALSE)=0, VLOOKUP($D365, regions_ub[], COLUMN(U$1)-COLUMN($A$1), FALSE), VLOOKUP($A365,raw_ub[],COLUMN(U$1)-COLUMN($A$1),FALSE))</f>
        <v>175.29924721911203</v>
      </c>
      <c r="U365" s="70">
        <f>IF(VLOOKUP($A365,raw_ub[],COLUMN(V$1)-COLUMN($A$1),FALSE)=0, VLOOKUP($D365, regions_ub[], COLUMN(V$1)-COLUMN($A$1), FALSE), VLOOKUP($A365,raw_ub[],COLUMN(V$1)-COLUMN($A$1),FALSE))</f>
        <v>171.74605211019957</v>
      </c>
      <c r="V365" s="70">
        <f>IF(VLOOKUP($A365,raw_ub[],COLUMN(W$1)-COLUMN($A$1),FALSE)=0, VLOOKUP($D365, regions_ub[], COLUMN(W$1)-COLUMN($A$1), FALSE), VLOOKUP($A365,raw_ub[],COLUMN(W$1)-COLUMN($A$1),FALSE))</f>
        <v>5.7806083524397751</v>
      </c>
      <c r="W365" s="70">
        <f>IF(VLOOKUP($A365,raw_ub[],COLUMN(X$1)-COLUMN($A$1),FALSE)=0, VLOOKUP($D365, regions_ub[], COLUMN(X$1)-COLUMN($A$1), FALSE), VLOOKUP($A365,raw_ub[],COLUMN(X$1)-COLUMN($A$1),FALSE))</f>
        <v>6.4549348286176302</v>
      </c>
      <c r="X365" s="70">
        <f>IF(VLOOKUP($A365,raw_ub[],COLUMN(Y$1)-COLUMN($A$1),FALSE)=0, VLOOKUP($D365, regions_ub[], COLUMN(Y$1)-COLUMN($A$1), FALSE), VLOOKUP($A365,raw_ub[],COLUMN(Y$1)-COLUMN($A$1),FALSE))</f>
        <v>5.7241186589111672</v>
      </c>
      <c r="Y365" s="70">
        <f>IF(VLOOKUP($A365,raw_ub[],COLUMN(Z$1)-COLUMN($A$1),FALSE)=0, VLOOKUP($D365, regions_ub[], COLUMN(Z$1)-COLUMN($A$1), FALSE), VLOOKUP($A365,raw_ub[],COLUMN(Z$1)-COLUMN($A$1),FALSE))</f>
        <v>6.3984451350890206</v>
      </c>
      <c r="Z365" s="70">
        <f>IF(VLOOKUP($A365,raw_ub[],COLUMN(AA$1)-COLUMN($A$1),FALSE)=0, VLOOKUP($D365, regions_ub[], COLUMN(AA$1)-COLUMN($A$1), FALSE), VLOOKUP($A365,raw_ub[],COLUMN(AA$1)-COLUMN($A$1),FALSE))</f>
        <v>6.3664676550095365</v>
      </c>
      <c r="AA365" s="70">
        <f>IF(VLOOKUP($A365,raw_ub[],COLUMN(AB$1)-COLUMN($A$1),FALSE)=0, VLOOKUP($D365, regions_ub[], COLUMN(AB$1)-COLUMN($A$1), FALSE), VLOOKUP($A365,raw_ub[],COLUMN(AB$1)-COLUMN($A$1),FALSE))</f>
        <v>5.7936444355617631</v>
      </c>
      <c r="AB365" s="70">
        <f>IF(VLOOKUP($A365,raw_ub[],COLUMN(AC$1)-COLUMN($A$1),FALSE)=0, VLOOKUP($D365, regions_ub[], COLUMN(AC$1)-COLUMN($A$1), FALSE), VLOOKUP($A365,raw_ub[],COLUMN(AC$1)-COLUMN($A$1),FALSE))</f>
        <v>6.4679709117396165</v>
      </c>
      <c r="AC365" s="72">
        <f>IF(VLOOKUP($A365,raw_ub[],COLUMN(AD$1)-COLUMN($A$1),FALSE)=0, VLOOKUP($D365, regions_ub[], COLUMN(AD$1)-COLUMN($A$1), FALSE), VLOOKUP($A365,raw_ub[],COLUMN(AD$1)-COLUMN($A$1),FALSE))</f>
        <v>1.2736768276497189E-2</v>
      </c>
      <c r="AD365" s="72">
        <f>IF(VLOOKUP($A365,raw_ub[],COLUMN(AE$1)-COLUMN($A$1),FALSE)=0, VLOOKUP($D365, regions_ub[], COLUMN(AE$1)-COLUMN($A$1), FALSE), VLOOKUP($A365,raw_ub[],COLUMN(AE$1)-COLUMN($A$1),FALSE))</f>
        <v>7.1197544726729438E-4</v>
      </c>
      <c r="AE365" s="72">
        <f>IF(VLOOKUP($A365,raw_ub[],COLUMN(AF$1)-COLUMN($A$1),FALSE)=0, VLOOKUP($D365, regions_ub[], COLUMN(AF$1)-COLUMN($A$1), FALSE), VLOOKUP($A365,raw_ub[],COLUMN(AF$1)-COLUMN($A$1),FALSE))</f>
        <v>4.109902786833356E-4</v>
      </c>
      <c r="AF365" s="72">
        <f>IF(VLOOKUP($A365,raw_ub[],COLUMN(AG$1)-COLUMN($A$1),FALSE)=0, VLOOKUP($D365, regions_ub[], COLUMN(AG$1)-COLUMN($A$1), FALSE), VLOOKUP($A365,raw_ub[],COLUMN(AG$1)-COLUMN($A$1),FALSE))</f>
        <v>3.2379172218225576E-4</v>
      </c>
      <c r="AG365" s="72">
        <f>IF(VLOOKUP($A365,raw_ub[],COLUMN(AH$1)-COLUMN($A$1),FALSE)=0, VLOOKUP($D365, regions_ub[], COLUMN(AH$1)-COLUMN($A$1), FALSE), VLOOKUP($A365,raw_ub[],COLUMN(AH$1)-COLUMN($A$1),FALSE))</f>
        <v>5.1508320628082798E-4</v>
      </c>
      <c r="AH365" s="72">
        <f>IF(VLOOKUP($A365,raw_ub[],COLUMN(AI$1)-COLUMN($A$1),FALSE)=0, VLOOKUP($D365, regions_ub[], COLUMN(AI$1)-COLUMN($A$1), FALSE), VLOOKUP($A365,raw_ub[],COLUMN(AI$1)-COLUMN($A$1),FALSE))</f>
        <v>7.1658147477289221E-4</v>
      </c>
      <c r="AI365" s="72">
        <f>IF(VLOOKUP($A365,raw_ub[],COLUMN(AJ$1)-COLUMN($A$1),FALSE)=0, VLOOKUP($D365, regions_ub[], COLUMN(AJ$1)-COLUMN($A$1), FALSE), VLOOKUP($A365,raw_ub[],COLUMN(AJ$1)-COLUMN($A$1),FALSE))</f>
        <v>8.943655783002478E-4</v>
      </c>
      <c r="AJ365" s="72">
        <f>IF(VLOOKUP($A365,raw_ub[],COLUMN(AK$1)-COLUMN($A$1),FALSE)=0, VLOOKUP($D365, regions_ub[], COLUMN(AK$1)-COLUMN($A$1), FALSE), VLOOKUP($A365,raw_ub[],COLUMN(AK$1)-COLUMN($A$1),FALSE))</f>
        <v>1.1132663162265251E-3</v>
      </c>
      <c r="AK365" s="72">
        <f>IF(VLOOKUP($A365,raw_ub[],COLUMN(AL$1)-COLUMN($A$1),FALSE)=0, VLOOKUP($D365, regions_ub[], COLUMN(AL$1)-COLUMN($A$1), FALSE), VLOOKUP($A365,raw_ub[],COLUMN(AL$1)-COLUMN($A$1),FALSE))</f>
        <v>1.4301264730464231E-3</v>
      </c>
      <c r="AL365" s="72">
        <f>IF(VLOOKUP($A365,raw_ub[],COLUMN(AM$1)-COLUMN($A$1),FALSE)=0, VLOOKUP($D365, regions_ub[], COLUMN(AM$1)-COLUMN($A$1), FALSE), VLOOKUP($A365,raw_ub[],COLUMN(AM$1)-COLUMN($A$1),FALSE))</f>
        <v>2.012973851863077E-3</v>
      </c>
      <c r="AM365" s="72">
        <f>IF(VLOOKUP($A365,raw_ub[],COLUMN(AN$1)-COLUMN($A$1),FALSE)=0, VLOOKUP($D365, regions_ub[], COLUMN(AN$1)-COLUMN($A$1), FALSE), VLOOKUP($A365,raw_ub[],COLUMN(AN$1)-COLUMN($A$1),FALSE))</f>
        <v>2.9504315725906636E-3</v>
      </c>
      <c r="AN365" s="72">
        <f>IF(VLOOKUP($A365,raw_ub[],COLUMN(AO$1)-COLUMN($A$1),FALSE)=0, VLOOKUP($D365, regions_ub[], COLUMN(AO$1)-COLUMN($A$1), FALSE), VLOOKUP($A365,raw_ub[],COLUMN(AO$1)-COLUMN($A$1),FALSE))</f>
        <v>4.6978269081258068E-3</v>
      </c>
      <c r="AO365" s="72">
        <f>IF(VLOOKUP($A365,raw_ub[],COLUMN(AP$1)-COLUMN($A$1),FALSE)=0, VLOOKUP($D365, regions_ub[], COLUMN(AP$1)-COLUMN($A$1), FALSE), VLOOKUP($A365,raw_ub[],COLUMN(AP$1)-COLUMN($A$1),FALSE))</f>
        <v>7.5165836793858768E-3</v>
      </c>
      <c r="AP365" s="72">
        <f>IF(VLOOKUP($A365,raw_ub[],COLUMN(AQ$1)-COLUMN($A$1),FALSE)=0, VLOOKUP($D365, regions_ub[], COLUMN(AQ$1)-COLUMN($A$1), FALSE), VLOOKUP($A365,raw_ub[],COLUMN(AQ$1)-COLUMN($A$1),FALSE))</f>
        <v>1.2738920158375485E-2</v>
      </c>
      <c r="AQ365" s="72">
        <f>IF(VLOOKUP($A365,raw_ub[],COLUMN(AR$1)-COLUMN($A$1),FALSE)=0, VLOOKUP($D365, regions_ub[], COLUMN(AR$1)-COLUMN($A$1), FALSE), VLOOKUP($A365,raw_ub[],COLUMN(AR$1)-COLUMN($A$1),FALSE))</f>
        <v>2.1411810157936622E-2</v>
      </c>
      <c r="AR365" s="72">
        <f>IF(VLOOKUP($A365,raw_ub[],COLUMN(AS$1)-COLUMN($A$1),FALSE)=0, VLOOKUP($D365, regions_ub[], COLUMN(AS$1)-COLUMN($A$1), FALSE), VLOOKUP($A365,raw_ub[],COLUMN(AS$1)-COLUMN($A$1),FALSE))</f>
        <v>3.614564151011352E-2</v>
      </c>
      <c r="AS365" s="72">
        <f>IF(VLOOKUP($A365,raw_ub[],COLUMN(AT$1)-COLUMN($A$1),FALSE)=0, VLOOKUP($D365, regions_ub[], COLUMN(AT$1)-COLUMN($A$1), FALSE), VLOOKUP($A365,raw_ub[],COLUMN(AT$1)-COLUMN($A$1),FALSE))</f>
        <v>5.6560971250705964E-2</v>
      </c>
      <c r="AT365" s="82">
        <f>IF(VLOOKUP($A365,raw_ub[],COLUMN(AT$1),FALSE)=0, VLOOKUP($D365, regions_ub[], COLUMN(AT$1), FALSE), VLOOKUP($A365,raw_ub[],COLUMN(AT$1),FALSE))</f>
        <v>8.0667873593105774E-2</v>
      </c>
      <c r="AU365" s="82">
        <f>IF(VLOOKUP($A365,raw_ub[],COLUMN(AU$1),FALSE)=0, VLOOKUP($D365, regions_ub[], COLUMN(AU$1), FALSE), VLOOKUP($A365,raw_ub[],COLUMN(AU$1),FALSE))</f>
        <v>0.11120227445965716</v>
      </c>
      <c r="AV365" s="82">
        <f>IF(VLOOKUP($A365,raw_ub[],COLUMN(AV$1),FALSE)=0, VLOOKUP($D365, regions_ub[], COLUMN(AV$1), FALSE), VLOOKUP($A365,raw_ub[],COLUMN(AV$1),FALSE))</f>
        <v>0.13871877026634002</v>
      </c>
      <c r="AW365" s="82">
        <f>IF(VLOOKUP($A365,raw_ub[],COLUMN(AW$1),FALSE)=0, VLOOKUP($D365, regions_ub[], COLUMN(AW$1), FALSE), VLOOKUP($A365,raw_ub[],COLUMN(AW$1),FALSE))</f>
        <v>0.1618412077726073</v>
      </c>
      <c r="AX365" s="82">
        <f>IF(VLOOKUP($A365,raw_ub[],COLUMN(AX$1),FALSE)=0, VLOOKUP($D365, regions_ub[], COLUMN(AX$1), FALSE), VLOOKUP($A365,raw_ub[],COLUMN(AX$1),FALSE))</f>
        <v>79.358549215450296</v>
      </c>
      <c r="AY365" t="str">
        <f t="shared" si="12"/>
        <v>No</v>
      </c>
    </row>
    <row r="366" spans="1:51" x14ac:dyDescent="0.25">
      <c r="A366" s="53" t="s">
        <v>400</v>
      </c>
      <c r="B366" s="54" t="s">
        <v>401</v>
      </c>
      <c r="C366" s="54">
        <v>524</v>
      </c>
      <c r="D366" s="54" t="s">
        <v>225</v>
      </c>
      <c r="E366" s="54" t="s">
        <v>226</v>
      </c>
      <c r="F366" s="54" t="s">
        <v>226</v>
      </c>
      <c r="G366" s="54" t="s">
        <v>198</v>
      </c>
      <c r="H366" s="73"/>
      <c r="I366" s="73"/>
      <c r="J366" s="67">
        <f>IF(VLOOKUP($A366,raw_ub[],COLUMN(J$1),FALSE)=0, VLOOKUP($D366, regions_ub[], COLUMN(J$1), FALSE), VLOOKUP($A366,raw_ub[],COLUMN(J$1),FALSE))</f>
        <v>0.60270000000000001</v>
      </c>
      <c r="K366" s="77">
        <f>VLOOKUP($A366, raw_ub[], 11, FALSE)</f>
        <v>0</v>
      </c>
      <c r="L366" s="77">
        <f>VLOOKUP($A366, raw_ub[], 12, FALSE)</f>
        <v>0.88200000000000001</v>
      </c>
      <c r="M366" s="77">
        <f>IF(VLOOKUP($A366,raw_ub[],COLUMN(M$1),FALSE)=0, VLOOKUP($D366, regions_ub[], COLUMN(M$1), FALSE), VLOOKUP($A366,raw_ub[],COLUMN(M$1),FALSE))</f>
        <v>9.5999999999999992E-3</v>
      </c>
      <c r="N366" s="68">
        <f>IF(VLOOKUP($A366,raw_ub[],COLUMN(N$1),FALSE)=0, VLOOKUP($D366, regions_ub[], COLUMN(N$1), FALSE), VLOOKUP($A366,raw_ub[],COLUMN(N$1),FALSE))</f>
        <v>0.35830000000000001</v>
      </c>
      <c r="O366" s="67">
        <f>IF(VLOOKUP($A366,raw_ub[],COLUMN(O$1),FALSE)=0, VLOOKUP($D366, regions_ub[], COLUMN(O$1), FALSE), VLOOKUP($A366,raw_ub[],COLUMN(O$1),FALSE))</f>
        <v>0.9</v>
      </c>
      <c r="P366" s="68">
        <f>IF(VLOOKUP($A366,raw_ub[],COLUMN(P$1),FALSE)=0, VLOOKUP($D366, regions_ub[], COLUMN(P$1), FALSE), VLOOKUP($A366,raw_ub[],COLUMN(P$1),FALSE))</f>
        <v>0.3</v>
      </c>
      <c r="Q366" s="70">
        <f>IF(VLOOKUP($A366,raw_ub[],COLUMN(Q$1),FALSE)=0, VLOOKUP($D366, regions_ub[], COLUMN(Q$1), FALSE), VLOOKUP($A366,raw_ub[],COLUMN(Q$1),FALSE))</f>
        <v>6.5332506329113897</v>
      </c>
      <c r="R366" s="70">
        <f>IF(VLOOKUP($A366,raw_ub[],COLUMN(R$1),FALSE)=0, VLOOKUP($D366, regions_ub[], COLUMN(R$1), FALSE), VLOOKUP($A366,raw_ub[],COLUMN(R$1),FALSE))</f>
        <v>115.5190506329114</v>
      </c>
      <c r="S366" s="70">
        <f>IF(VLOOKUP($A366,raw_ub[],COLUMN(S$1),FALSE)=0, VLOOKUP($D366, regions_ub[], COLUMN(S$1), FALSE), VLOOKUP($A366,raw_ub[],COLUMN(S$1),FALSE))</f>
        <v>147.10456879452562</v>
      </c>
      <c r="T366" s="70">
        <f>IF(VLOOKUP($A366,raw_ub[],COLUMN(U$1)-COLUMN($A$1),FALSE)=0, VLOOKUP($D366, regions_ub[], COLUMN(U$1)-COLUMN($A$1), FALSE), VLOOKUP($A366,raw_ub[],COLUMN(U$1)-COLUMN($A$1),FALSE))</f>
        <v>148.3357383200717</v>
      </c>
      <c r="U366" s="70">
        <f>IF(VLOOKUP($A366,raw_ub[],COLUMN(V$1)-COLUMN($A$1),FALSE)=0, VLOOKUP($D366, regions_ub[], COLUMN(V$1)-COLUMN($A$1), FALSE), VLOOKUP($A366,raw_ub[],COLUMN(V$1)-COLUMN($A$1),FALSE))</f>
        <v>147.77041129754943</v>
      </c>
      <c r="V366" s="70">
        <f>IF(VLOOKUP($A366,raw_ub[],COLUMN(W$1)-COLUMN($A$1),FALSE)=0, VLOOKUP($D366, regions_ub[], COLUMN(W$1)-COLUMN($A$1), FALSE), VLOOKUP($A366,raw_ub[],COLUMN(W$1)-COLUMN($A$1),FALSE))</f>
        <v>4.4598498977678256</v>
      </c>
      <c r="W366" s="70">
        <f>IF(VLOOKUP($A366,raw_ub[],COLUMN(X$1)-COLUMN($A$1),FALSE)=0, VLOOKUP($D366, regions_ub[], COLUMN(X$1)-COLUMN($A$1), FALSE), VLOOKUP($A366,raw_ub[],COLUMN(X$1)-COLUMN($A$1),FALSE))</f>
        <v>6.3601897318265035</v>
      </c>
      <c r="X366" s="70">
        <f>IF(VLOOKUP($A366,raw_ub[],COLUMN(Y$1)-COLUMN($A$1),FALSE)=0, VLOOKUP($D366, regions_ub[], COLUMN(Y$1)-COLUMN($A$1), FALSE), VLOOKUP($A366,raw_ub[],COLUMN(Y$1)-COLUMN($A$1),FALSE))</f>
        <v>4.4471771849753523</v>
      </c>
      <c r="Y366" s="70">
        <f>IF(VLOOKUP($A366,raw_ub[],COLUMN(Z$1)-COLUMN($A$1),FALSE)=0, VLOOKUP($D366, regions_ub[], COLUMN(Z$1)-COLUMN($A$1), FALSE), VLOOKUP($A366,raw_ub[],COLUMN(Z$1)-COLUMN($A$1),FALSE))</f>
        <v>6.3475170190340293</v>
      </c>
      <c r="Z366" s="70">
        <f>IF(VLOOKUP($A366,raw_ub[],COLUMN(AA$1)-COLUMN($A$1),FALSE)=0, VLOOKUP($D366, regions_ub[], COLUMN(AA$1)-COLUMN($A$1), FALSE), VLOOKUP($A366,raw_ub[],COLUMN(AA$1)-COLUMN($A$1),FALSE))</f>
        <v>6.340476447795</v>
      </c>
      <c r="AA366" s="70">
        <f>IF(VLOOKUP($A366,raw_ub[],COLUMN(AB$1)-COLUMN($A$1),FALSE)=0, VLOOKUP($D366, regions_ub[], COLUMN(AB$1)-COLUMN($A$1), FALSE), VLOOKUP($A366,raw_ub[],COLUMN(AB$1)-COLUMN($A$1),FALSE))</f>
        <v>4.4627743699507043</v>
      </c>
      <c r="AB366" s="70">
        <f>IF(VLOOKUP($A366,raw_ub[],COLUMN(AC$1)-COLUMN($A$1),FALSE)=0, VLOOKUP($D366, regions_ub[], COLUMN(AC$1)-COLUMN($A$1), FALSE), VLOOKUP($A366,raw_ub[],COLUMN(AC$1)-COLUMN($A$1),FALSE))</f>
        <v>6.3631142040093813</v>
      </c>
      <c r="AC366" s="72">
        <f>IF(VLOOKUP($A366,raw_ub[],COLUMN(AD$1)-COLUMN($A$1),FALSE)=0, VLOOKUP($D366, regions_ub[], COLUMN(AD$1)-COLUMN($A$1), FALSE), VLOOKUP($A366,raw_ub[],COLUMN(AD$1)-COLUMN($A$1),FALSE))</f>
        <v>2.9339709000000016E-2</v>
      </c>
      <c r="AD366" s="72">
        <f>IF(VLOOKUP($A366,raw_ub[],COLUMN(AE$1)-COLUMN($A$1),FALSE)=0, VLOOKUP($D366, regions_ub[], COLUMN(AE$1)-COLUMN($A$1), FALSE), VLOOKUP($A366,raw_ub[],COLUMN(AE$1)-COLUMN($A$1),FALSE))</f>
        <v>1.5374030065014206E-3</v>
      </c>
      <c r="AE366" s="72">
        <f>IF(VLOOKUP($A366,raw_ub[],COLUMN(AF$1)-COLUMN($A$1),FALSE)=0, VLOOKUP($D366, regions_ub[], COLUMN(AF$1)-COLUMN($A$1), FALSE), VLOOKUP($A366,raw_ub[],COLUMN(AF$1)-COLUMN($A$1),FALSE))</f>
        <v>6.2720911772092577E-4</v>
      </c>
      <c r="AF366" s="72">
        <f>IF(VLOOKUP($A366,raw_ub[],COLUMN(AG$1)-COLUMN($A$1),FALSE)=0, VLOOKUP($D366, regions_ub[], COLUMN(AG$1)-COLUMN($A$1), FALSE), VLOOKUP($A366,raw_ub[],COLUMN(AG$1)-COLUMN($A$1),FALSE))</f>
        <v>5.139635511156621E-4</v>
      </c>
      <c r="AG366" s="72">
        <f>IF(VLOOKUP($A366,raw_ub[],COLUMN(AH$1)-COLUMN($A$1),FALSE)=0, VLOOKUP($D366, regions_ub[], COLUMN(AH$1)-COLUMN($A$1), FALSE), VLOOKUP($A366,raw_ub[],COLUMN(AH$1)-COLUMN($A$1),FALSE))</f>
        <v>9.0244372089275137E-4</v>
      </c>
      <c r="AH366" s="72">
        <f>IF(VLOOKUP($A366,raw_ub[],COLUMN(AI$1)-COLUMN($A$1),FALSE)=0, VLOOKUP($D366, regions_ub[], COLUMN(AI$1)-COLUMN($A$1), FALSE), VLOOKUP($A366,raw_ub[],COLUMN(AI$1)-COLUMN($A$1),FALSE))</f>
        <v>1.246643171882742E-3</v>
      </c>
      <c r="AI366" s="72">
        <f>IF(VLOOKUP($A366,raw_ub[],COLUMN(AJ$1)-COLUMN($A$1),FALSE)=0, VLOOKUP($D366, regions_ub[], COLUMN(AJ$1)-COLUMN($A$1), FALSE), VLOOKUP($A366,raw_ub[],COLUMN(AJ$1)-COLUMN($A$1),FALSE))</f>
        <v>1.3546013693873159E-3</v>
      </c>
      <c r="AJ366" s="72">
        <f>IF(VLOOKUP($A366,raw_ub[],COLUMN(AK$1)-COLUMN($A$1),FALSE)=0, VLOOKUP($D366, regions_ub[], COLUMN(AK$1)-COLUMN($A$1), FALSE), VLOOKUP($A366,raw_ub[],COLUMN(AK$1)-COLUMN($A$1),FALSE))</f>
        <v>1.5947804222987013E-3</v>
      </c>
      <c r="AK366" s="72">
        <f>IF(VLOOKUP($A366,raw_ub[],COLUMN(AL$1)-COLUMN($A$1),FALSE)=0, VLOOKUP($D366, regions_ub[], COLUMN(AL$1)-COLUMN($A$1), FALSE), VLOOKUP($A366,raw_ub[],COLUMN(AL$1)-COLUMN($A$1),FALSE))</f>
        <v>2.0831384894257924E-3</v>
      </c>
      <c r="AL366" s="72">
        <f>IF(VLOOKUP($A366,raw_ub[],COLUMN(AM$1)-COLUMN($A$1),FALSE)=0, VLOOKUP($D366, regions_ub[], COLUMN(AM$1)-COLUMN($A$1), FALSE), VLOOKUP($A366,raw_ub[],COLUMN(AM$1)-COLUMN($A$1),FALSE))</f>
        <v>2.9927669066678428E-3</v>
      </c>
      <c r="AM366" s="72">
        <f>IF(VLOOKUP($A366,raw_ub[],COLUMN(AN$1)-COLUMN($A$1),FALSE)=0, VLOOKUP($D366, regions_ub[], COLUMN(AN$1)-COLUMN($A$1), FALSE), VLOOKUP($A366,raw_ub[],COLUMN(AN$1)-COLUMN($A$1),FALSE))</f>
        <v>4.6771041527894569E-3</v>
      </c>
      <c r="AN366" s="72">
        <f>IF(VLOOKUP($A366,raw_ub[],COLUMN(AO$1)-COLUMN($A$1),FALSE)=0, VLOOKUP($D366, regions_ub[], COLUMN(AO$1)-COLUMN($A$1), FALSE), VLOOKUP($A366,raw_ub[],COLUMN(AO$1)-COLUMN($A$1),FALSE))</f>
        <v>7.2998278283100734E-3</v>
      </c>
      <c r="AO366" s="72">
        <f>IF(VLOOKUP($A366,raw_ub[],COLUMN(AP$1)-COLUMN($A$1),FALSE)=0, VLOOKUP($D366, regions_ub[], COLUMN(AP$1)-COLUMN($A$1), FALSE), VLOOKUP($A366,raw_ub[],COLUMN(AP$1)-COLUMN($A$1),FALSE))</f>
        <v>1.1499188514311542E-2</v>
      </c>
      <c r="AP366" s="72">
        <f>IF(VLOOKUP($A366,raw_ub[],COLUMN(AQ$1)-COLUMN($A$1),FALSE)=0, VLOOKUP($D366, regions_ub[], COLUMN(AQ$1)-COLUMN($A$1), FALSE), VLOOKUP($A366,raw_ub[],COLUMN(AQ$1)-COLUMN($A$1),FALSE))</f>
        <v>1.8039945310322155E-2</v>
      </c>
      <c r="AQ366" s="72">
        <f>IF(VLOOKUP($A366,raw_ub[],COLUMN(AR$1)-COLUMN($A$1),FALSE)=0, VLOOKUP($D366, regions_ub[], COLUMN(AR$1)-COLUMN($A$1), FALSE), VLOOKUP($A366,raw_ub[],COLUMN(AR$1)-COLUMN($A$1),FALSE))</f>
        <v>2.8624227778338548E-2</v>
      </c>
      <c r="AR366" s="72">
        <f>IF(VLOOKUP($A366,raw_ub[],COLUMN(AS$1)-COLUMN($A$1),FALSE)=0, VLOOKUP($D366, regions_ub[], COLUMN(AS$1)-COLUMN($A$1), FALSE), VLOOKUP($A366,raw_ub[],COLUMN(AS$1)-COLUMN($A$1),FALSE))</f>
        <v>4.5369785796160425E-2</v>
      </c>
      <c r="AS366" s="72">
        <f>IF(VLOOKUP($A366,raw_ub[],COLUMN(AT$1)-COLUMN($A$1),FALSE)=0, VLOOKUP($D366, regions_ub[], COLUMN(AT$1)-COLUMN($A$1), FALSE), VLOOKUP($A366,raw_ub[],COLUMN(AT$1)-COLUMN($A$1),FALSE))</f>
        <v>7.0111660239106532E-2</v>
      </c>
      <c r="AT366" s="82">
        <f>IF(VLOOKUP($A366,raw_ub[],COLUMN(AT$1),FALSE)=0, VLOOKUP($D366, regions_ub[], COLUMN(AT$1), FALSE), VLOOKUP($A366,raw_ub[],COLUMN(AT$1),FALSE))</f>
        <v>0.10356877343514813</v>
      </c>
      <c r="AU366" s="82">
        <f>IF(VLOOKUP($A366,raw_ub[],COLUMN(AU$1),FALSE)=0, VLOOKUP($D366, regions_ub[], COLUMN(AU$1), FALSE), VLOOKUP($A366,raw_ub[],COLUMN(AU$1),FALSE))</f>
        <v>0.13965928287635196</v>
      </c>
      <c r="AV366" s="82">
        <f>IF(VLOOKUP($A366,raw_ub[],COLUMN(AV$1),FALSE)=0, VLOOKUP($D366, regions_ub[], COLUMN(AV$1), FALSE), VLOOKUP($A366,raw_ub[],COLUMN(AV$1),FALSE))</f>
        <v>0.16925634841930245</v>
      </c>
      <c r="AW366" s="82">
        <f>IF(VLOOKUP($A366,raw_ub[],COLUMN(AW$1),FALSE)=0, VLOOKUP($D366, regions_ub[], COLUMN(AW$1), FALSE), VLOOKUP($A366,raw_ub[],COLUMN(AW$1),FALSE))</f>
        <v>0.18832893788226795</v>
      </c>
      <c r="AX366" s="82">
        <f>IF(VLOOKUP($A366,raw_ub[],COLUMN(AX$1),FALSE)=0, VLOOKUP($D366, regions_ub[], COLUMN(AX$1), FALSE), VLOOKUP($A366,raw_ub[],COLUMN(AX$1),FALSE))</f>
        <v>73.821299999999994</v>
      </c>
      <c r="AY366" t="str">
        <f t="shared" si="12"/>
        <v>Yes</v>
      </c>
    </row>
    <row r="367" spans="1:51" x14ac:dyDescent="0.25">
      <c r="A367" s="55" t="s">
        <v>402</v>
      </c>
      <c r="B367" s="56" t="s">
        <v>403</v>
      </c>
      <c r="C367" s="56">
        <v>558</v>
      </c>
      <c r="D367" s="56" t="s">
        <v>215</v>
      </c>
      <c r="E367" s="56" t="s">
        <v>274</v>
      </c>
      <c r="F367" s="56" t="s">
        <v>217</v>
      </c>
      <c r="G367" s="56" t="s">
        <v>212</v>
      </c>
      <c r="H367" s="74"/>
      <c r="I367" s="74"/>
      <c r="J367" s="67">
        <f>IF(VLOOKUP($A367,raw_ub[],COLUMN(J$1),FALSE)=0, VLOOKUP($D367, regions_ub[], COLUMN(J$1), FALSE), VLOOKUP($A367,raw_ub[],COLUMN(J$1),FALSE))</f>
        <v>0.74549999999999994</v>
      </c>
      <c r="K367" s="77">
        <f>VLOOKUP($A367, raw_ub[], 11, FALSE)</f>
        <v>0</v>
      </c>
      <c r="L367" s="77">
        <f>VLOOKUP($A367, raw_ub[], 12, FALSE)</f>
        <v>0.96600000000000008</v>
      </c>
      <c r="M367" s="77">
        <f>IF(VLOOKUP($A367,raw_ub[],COLUMN(M$1),FALSE)=0, VLOOKUP($D367, regions_ub[], COLUMN(M$1), FALSE), VLOOKUP($A367,raw_ub[],COLUMN(M$1),FALSE))</f>
        <v>8.3999999999999995E-3</v>
      </c>
      <c r="N367" s="68">
        <f>IF(VLOOKUP($A367,raw_ub[],COLUMN(N$1),FALSE)=0, VLOOKUP($D367, regions_ub[], COLUMN(N$1), FALSE), VLOOKUP($A367,raw_ub[],COLUMN(N$1),FALSE))</f>
        <v>0.42950000000000005</v>
      </c>
      <c r="O367" s="67">
        <f>IF(VLOOKUP($A367,raw_ub[],COLUMN(O$1),FALSE)=0, VLOOKUP($D367, regions_ub[], COLUMN(O$1), FALSE), VLOOKUP($A367,raw_ub[],COLUMN(O$1),FALSE))</f>
        <v>0.9</v>
      </c>
      <c r="P367" s="68">
        <f>IF(VLOOKUP($A367,raw_ub[],COLUMN(P$1),FALSE)=0, VLOOKUP($D367, regions_ub[], COLUMN(P$1), FALSE), VLOOKUP($A367,raw_ub[],COLUMN(P$1),FALSE))</f>
        <v>0.3</v>
      </c>
      <c r="Q367" s="70">
        <f>IF(VLOOKUP($A367,raw_ub[],COLUMN(Q$1),FALSE)=0, VLOOKUP($D367, regions_ub[], COLUMN(Q$1), FALSE), VLOOKUP($A367,raw_ub[],COLUMN(Q$1),FALSE))</f>
        <v>28.383547465435452</v>
      </c>
      <c r="R367" s="70">
        <f>IF(VLOOKUP($A367,raw_ub[],COLUMN(R$1),FALSE)=0, VLOOKUP($D367, regions_ub[], COLUMN(R$1), FALSE), VLOOKUP($A367,raw_ub[],COLUMN(R$1),FALSE))</f>
        <v>137.36934746543545</v>
      </c>
      <c r="S367" s="70">
        <f>IF(VLOOKUP($A367,raw_ub[],COLUMN(S$1),FALSE)=0, VLOOKUP($D367, regions_ub[], COLUMN(S$1), FALSE), VLOOKUP($A367,raw_ub[],COLUMN(S$1),FALSE))</f>
        <v>226.03829669347306</v>
      </c>
      <c r="T367" s="70">
        <f>IF(VLOOKUP($A367,raw_ub[],COLUMN(U$1)-COLUMN($A$1),FALSE)=0, VLOOKUP($D367, regions_ub[], COLUMN(U$1)-COLUMN($A$1), FALSE), VLOOKUP($A367,raw_ub[],COLUMN(U$1)-COLUMN($A$1),FALSE))</f>
        <v>256.97939695767519</v>
      </c>
      <c r="U367" s="70">
        <f>IF(VLOOKUP($A367,raw_ub[],COLUMN(V$1)-COLUMN($A$1),FALSE)=0, VLOOKUP($D367, regions_ub[], COLUMN(V$1)-COLUMN($A$1), FALSE), VLOOKUP($A367,raw_ub[],COLUMN(V$1)-COLUMN($A$1),FALSE))</f>
        <v>242.77189772789524</v>
      </c>
      <c r="V367" s="70">
        <f>IF(VLOOKUP($A367,raw_ub[],COLUMN(W$1)-COLUMN($A$1),FALSE)=0, VLOOKUP($D367, regions_ub[], COLUMN(W$1)-COLUMN($A$1), FALSE), VLOOKUP($A367,raw_ub[],COLUMN(W$1)-COLUMN($A$1),FALSE))</f>
        <v>9.7155289480387452</v>
      </c>
      <c r="W367" s="70">
        <f>IF(VLOOKUP($A367,raw_ub[],COLUMN(X$1)-COLUMN($A$1),FALSE)=0, VLOOKUP($D367, regions_ub[], COLUMN(X$1)-COLUMN($A$1), FALSE), VLOOKUP($A367,raw_ub[],COLUMN(X$1)-COLUMN($A$1),FALSE))</f>
        <v>9.736528948038746</v>
      </c>
      <c r="X367" s="70">
        <f>IF(VLOOKUP($A367,raw_ub[],COLUMN(Y$1)-COLUMN($A$1),FALSE)=0, VLOOKUP($D367, regions_ub[], COLUMN(Y$1)-COLUMN($A$1), FALSE), VLOOKUP($A367,raw_ub[],COLUMN(Y$1)-COLUMN($A$1),FALSE))</f>
        <v>9.6937871437455154</v>
      </c>
      <c r="Y367" s="70">
        <f>IF(VLOOKUP($A367,raw_ub[],COLUMN(Z$1)-COLUMN($A$1),FALSE)=0, VLOOKUP($D367, regions_ub[], COLUMN(Z$1)-COLUMN($A$1), FALSE), VLOOKUP($A367,raw_ub[],COLUMN(Z$1)-COLUMN($A$1),FALSE))</f>
        <v>9.7147871437455162</v>
      </c>
      <c r="Z367" s="70">
        <f>IF(VLOOKUP($A367,raw_ub[],COLUMN(AA$1)-COLUMN($A$1),FALSE)=0, VLOOKUP($D367, regions_ub[], COLUMN(AA$1)-COLUMN($A$1), FALSE), VLOOKUP($A367,raw_ub[],COLUMN(AA$1)-COLUMN($A$1),FALSE))</f>
        <v>9.7021410455671067</v>
      </c>
      <c r="AA367" s="70">
        <f>IF(VLOOKUP($A367,raw_ub[],COLUMN(AB$1)-COLUMN($A$1),FALSE)=0, VLOOKUP($D367, regions_ub[], COLUMN(AB$1)-COLUMN($A$1), FALSE), VLOOKUP($A367,raw_ub[],COLUMN(AB$1)-COLUMN($A$1),FALSE))</f>
        <v>9.7205462874910307</v>
      </c>
      <c r="AB367" s="70">
        <f>IF(VLOOKUP($A367,raw_ub[],COLUMN(AC$1)-COLUMN($A$1),FALSE)=0, VLOOKUP($D367, regions_ub[], COLUMN(AC$1)-COLUMN($A$1), FALSE), VLOOKUP($A367,raw_ub[],COLUMN(AC$1)-COLUMN($A$1),FALSE))</f>
        <v>9.7415462874910315</v>
      </c>
      <c r="AC367" s="72">
        <f>IF(VLOOKUP($A367,raw_ub[],COLUMN(AD$1)-COLUMN($A$1),FALSE)=0, VLOOKUP($D367, regions_ub[], COLUMN(AD$1)-COLUMN($A$1), FALSE), VLOOKUP($A367,raw_ub[],COLUMN(AD$1)-COLUMN($A$1),FALSE))</f>
        <v>1.7623231500000062E-2</v>
      </c>
      <c r="AD367" s="72">
        <f>IF(VLOOKUP($A367,raw_ub[],COLUMN(AE$1)-COLUMN($A$1),FALSE)=0, VLOOKUP($D367, regions_ub[], COLUMN(AE$1)-COLUMN($A$1), FALSE), VLOOKUP($A367,raw_ub[],COLUMN(AE$1)-COLUMN($A$1),FALSE))</f>
        <v>9.2555110247038357E-4</v>
      </c>
      <c r="AE367" s="72">
        <f>IF(VLOOKUP($A367,raw_ub[],COLUMN(AF$1)-COLUMN($A$1),FALSE)=0, VLOOKUP($D367, regions_ub[], COLUMN(AF$1)-COLUMN($A$1), FALSE), VLOOKUP($A367,raw_ub[],COLUMN(AF$1)-COLUMN($A$1),FALSE))</f>
        <v>4.8402385083757155E-4</v>
      </c>
      <c r="AF367" s="72">
        <f>IF(VLOOKUP($A367,raw_ub[],COLUMN(AG$1)-COLUMN($A$1),FALSE)=0, VLOOKUP($D367, regions_ub[], COLUMN(AG$1)-COLUMN($A$1), FALSE), VLOOKUP($A367,raw_ub[],COLUMN(AG$1)-COLUMN($A$1),FALSE))</f>
        <v>4.8372412702627675E-4</v>
      </c>
      <c r="AG367" s="72">
        <f>IF(VLOOKUP($A367,raw_ub[],COLUMN(AH$1)-COLUMN($A$1),FALSE)=0, VLOOKUP($D367, regions_ub[], COLUMN(AH$1)-COLUMN($A$1), FALSE), VLOOKUP($A367,raw_ub[],COLUMN(AH$1)-COLUMN($A$1),FALSE))</f>
        <v>1.1878667458321912E-3</v>
      </c>
      <c r="AH367" s="72">
        <f>IF(VLOOKUP($A367,raw_ub[],COLUMN(AI$1)-COLUMN($A$1),FALSE)=0, VLOOKUP($D367, regions_ub[], COLUMN(AI$1)-COLUMN($A$1), FALSE), VLOOKUP($A367,raw_ub[],COLUMN(AI$1)-COLUMN($A$1),FALSE))</f>
        <v>1.5830857016187641E-3</v>
      </c>
      <c r="AI367" s="72">
        <f>IF(VLOOKUP($A367,raw_ub[],COLUMN(AJ$1)-COLUMN($A$1),FALSE)=0, VLOOKUP($D367, regions_ub[], COLUMN(AJ$1)-COLUMN($A$1), FALSE), VLOOKUP($A367,raw_ub[],COLUMN(AJ$1)-COLUMN($A$1),FALSE))</f>
        <v>1.8574062294458567E-3</v>
      </c>
      <c r="AJ367" s="72">
        <f>IF(VLOOKUP($A367,raw_ub[],COLUMN(AK$1)-COLUMN($A$1),FALSE)=0, VLOOKUP($D367, regions_ub[], COLUMN(AK$1)-COLUMN($A$1), FALSE), VLOOKUP($A367,raw_ub[],COLUMN(AK$1)-COLUMN($A$1),FALSE))</f>
        <v>2.2337703415762408E-3</v>
      </c>
      <c r="AK367" s="72">
        <f>IF(VLOOKUP($A367,raw_ub[],COLUMN(AL$1)-COLUMN($A$1),FALSE)=0, VLOOKUP($D367, regions_ub[], COLUMN(AL$1)-COLUMN($A$1), FALSE), VLOOKUP($A367,raw_ub[],COLUMN(AL$1)-COLUMN($A$1),FALSE))</f>
        <v>2.8341732152057592E-3</v>
      </c>
      <c r="AL367" s="72">
        <f>IF(VLOOKUP($A367,raw_ub[],COLUMN(AM$1)-COLUMN($A$1),FALSE)=0, VLOOKUP($D367, regions_ub[], COLUMN(AM$1)-COLUMN($A$1), FALSE), VLOOKUP($A367,raw_ub[],COLUMN(AM$1)-COLUMN($A$1),FALSE))</f>
        <v>3.6067830742343705E-3</v>
      </c>
      <c r="AM367" s="72">
        <f>IF(VLOOKUP($A367,raw_ub[],COLUMN(AN$1)-COLUMN($A$1),FALSE)=0, VLOOKUP($D367, regions_ub[], COLUMN(AN$1)-COLUMN($A$1), FALSE), VLOOKUP($A367,raw_ub[],COLUMN(AN$1)-COLUMN($A$1),FALSE))</f>
        <v>4.7435174085627167E-3</v>
      </c>
      <c r="AN367" s="72">
        <f>IF(VLOOKUP($A367,raw_ub[],COLUMN(AO$1)-COLUMN($A$1),FALSE)=0, VLOOKUP($D367, regions_ub[], COLUMN(AO$1)-COLUMN($A$1), FALSE), VLOOKUP($A367,raw_ub[],COLUMN(AO$1)-COLUMN($A$1),FALSE))</f>
        <v>6.6735942830029957E-3</v>
      </c>
      <c r="AO367" s="72">
        <f>IF(VLOOKUP($A367,raw_ub[],COLUMN(AP$1)-COLUMN($A$1),FALSE)=0, VLOOKUP($D367, regions_ub[], COLUMN(AP$1)-COLUMN($A$1), FALSE), VLOOKUP($A367,raw_ub[],COLUMN(AP$1)-COLUMN($A$1),FALSE))</f>
        <v>9.4949513811554524E-3</v>
      </c>
      <c r="AP367" s="72">
        <f>IF(VLOOKUP($A367,raw_ub[],COLUMN(AQ$1)-COLUMN($A$1),FALSE)=0, VLOOKUP($D367, regions_ub[], COLUMN(AQ$1)-COLUMN($A$1), FALSE), VLOOKUP($A367,raw_ub[],COLUMN(AQ$1)-COLUMN($A$1),FALSE))</f>
        <v>1.367690861996898E-2</v>
      </c>
      <c r="AQ367" s="72">
        <f>IF(VLOOKUP($A367,raw_ub[],COLUMN(AR$1)-COLUMN($A$1),FALSE)=0, VLOOKUP($D367, regions_ub[], COLUMN(AR$1)-COLUMN($A$1), FALSE), VLOOKUP($A367,raw_ub[],COLUMN(AR$1)-COLUMN($A$1),FALSE))</f>
        <v>1.9976694075429284E-2</v>
      </c>
      <c r="AR367" s="72">
        <f>IF(VLOOKUP($A367,raw_ub[],COLUMN(AS$1)-COLUMN($A$1),FALSE)=0, VLOOKUP($D367, regions_ub[], COLUMN(AS$1)-COLUMN($A$1), FALSE), VLOOKUP($A367,raw_ub[],COLUMN(AS$1)-COLUMN($A$1),FALSE))</f>
        <v>2.8907905555558198E-2</v>
      </c>
      <c r="AS367" s="72">
        <f>IF(VLOOKUP($A367,raw_ub[],COLUMN(AT$1)-COLUMN($A$1),FALSE)=0, VLOOKUP($D367, regions_ub[], COLUMN(AT$1)-COLUMN($A$1), FALSE), VLOOKUP($A367,raw_ub[],COLUMN(AT$1)-COLUMN($A$1),FALSE))</f>
        <v>4.2407780221249462E-2</v>
      </c>
      <c r="AT367" s="82">
        <f>IF(VLOOKUP($A367,raw_ub[],COLUMN(AT$1),FALSE)=0, VLOOKUP($D367, regions_ub[], COLUMN(AT$1), FALSE), VLOOKUP($A367,raw_ub[],COLUMN(AT$1),FALSE))</f>
        <v>6.904178821352519E-2</v>
      </c>
      <c r="AU367" s="82">
        <f>IF(VLOOKUP($A367,raw_ub[],COLUMN(AU$1),FALSE)=0, VLOOKUP($D367, regions_ub[], COLUMN(AU$1), FALSE), VLOOKUP($A367,raw_ub[],COLUMN(AU$1),FALSE))</f>
        <v>9.736003705275012E-2</v>
      </c>
      <c r="AV367" s="82">
        <f>IF(VLOOKUP($A367,raw_ub[],COLUMN(AV$1),FALSE)=0, VLOOKUP($D367, regions_ub[], COLUMN(AV$1), FALSE), VLOOKUP($A367,raw_ub[],COLUMN(AV$1),FALSE))</f>
        <v>0.1270800478901048</v>
      </c>
      <c r="AW367" s="82">
        <f>IF(VLOOKUP($A367,raw_ub[],COLUMN(AW$1),FALSE)=0, VLOOKUP($D367, regions_ub[], COLUMN(AW$1), FALSE), VLOOKUP($A367,raw_ub[],COLUMN(AW$1),FALSE))</f>
        <v>0.15270474583406796</v>
      </c>
      <c r="AX367" s="82">
        <f>IF(VLOOKUP($A367,raw_ub[],COLUMN(AX$1),FALSE)=0, VLOOKUP($D367, regions_ub[], COLUMN(AX$1), FALSE), VLOOKUP($A367,raw_ub[],COLUMN(AX$1),FALSE))</f>
        <v>77.861699999999999</v>
      </c>
      <c r="AY367" t="str">
        <f t="shared" si="12"/>
        <v>Yes</v>
      </c>
    </row>
    <row r="368" spans="1:51" x14ac:dyDescent="0.25">
      <c r="A368" s="53" t="s">
        <v>404</v>
      </c>
      <c r="B368" s="54" t="s">
        <v>405</v>
      </c>
      <c r="C368" s="54">
        <v>562</v>
      </c>
      <c r="D368" s="54" t="s">
        <v>207</v>
      </c>
      <c r="E368" s="54" t="s">
        <v>235</v>
      </c>
      <c r="F368" s="54" t="s">
        <v>211</v>
      </c>
      <c r="G368" s="54" t="s">
        <v>198</v>
      </c>
      <c r="H368" s="73"/>
      <c r="I368" s="73"/>
      <c r="J368" s="67">
        <f>IF(VLOOKUP($A368,raw_ub[],COLUMN(J$1),FALSE)=0, VLOOKUP($D368, regions_ub[], COLUMN(J$1), FALSE), VLOOKUP($A368,raw_ub[],COLUMN(J$1),FALSE))</f>
        <v>0.61739999999999995</v>
      </c>
      <c r="K368" s="77">
        <f>VLOOKUP($A368, raw_ub[], 11, FALSE)</f>
        <v>0</v>
      </c>
      <c r="L368" s="77">
        <f>VLOOKUP($A368, raw_ub[], 12, FALSE)</f>
        <v>0.85050000000000014</v>
      </c>
      <c r="M368" s="77">
        <f>IF(VLOOKUP($A368,raw_ub[],COLUMN(M$1),FALSE)=0, VLOOKUP($D368, regions_ub[], COLUMN(M$1), FALSE), VLOOKUP($A368,raw_ub[],COLUMN(M$1),FALSE))</f>
        <v>0.1346</v>
      </c>
      <c r="N368" s="68">
        <f>IF(VLOOKUP($A368,raw_ub[],COLUMN(N$1),FALSE)=0, VLOOKUP($D368, regions_ub[], COLUMN(N$1), FALSE), VLOOKUP($A368,raw_ub[],COLUMN(N$1),FALSE))</f>
        <v>0.41070000000000001</v>
      </c>
      <c r="O368" s="67">
        <f>IF(VLOOKUP($A368,raw_ub[],COLUMN(O$1),FALSE)=0, VLOOKUP($D368, regions_ub[], COLUMN(O$1), FALSE), VLOOKUP($A368,raw_ub[],COLUMN(O$1),FALSE))</f>
        <v>0.74399999999999999</v>
      </c>
      <c r="P368" s="68">
        <f>IF(VLOOKUP($A368,raw_ub[],COLUMN(P$1),FALSE)=0, VLOOKUP($D368, regions_ub[], COLUMN(P$1), FALSE), VLOOKUP($A368,raw_ub[],COLUMN(P$1),FALSE))</f>
        <v>0.13300000000000001</v>
      </c>
      <c r="Q368" s="70">
        <f>IF(VLOOKUP($A368,raw_ub[],COLUMN(Q$1),FALSE)=0, VLOOKUP($D368, regions_ub[], COLUMN(Q$1), FALSE), VLOOKUP($A368,raw_ub[],COLUMN(Q$1),FALSE))</f>
        <v>5.8695483146067406</v>
      </c>
      <c r="R368" s="70">
        <f>IF(VLOOKUP($A368,raw_ub[],COLUMN(R$1),FALSE)=0, VLOOKUP($D368, regions_ub[], COLUMN(R$1), FALSE), VLOOKUP($A368,raw_ub[],COLUMN(R$1),FALSE))</f>
        <v>114.85534831460676</v>
      </c>
      <c r="S368" s="70">
        <f>IF(VLOOKUP($A368,raw_ub[],COLUMN(S$1),FALSE)=0, VLOOKUP($D368, regions_ub[], COLUMN(S$1), FALSE), VLOOKUP($A368,raw_ub[],COLUMN(S$1),FALSE))</f>
        <v>145.24920071735454</v>
      </c>
      <c r="T368" s="70">
        <f>IF(VLOOKUP($A368,raw_ub[],COLUMN(U$1)-COLUMN($A$1),FALSE)=0, VLOOKUP($D368, regions_ub[], COLUMN(U$1)-COLUMN($A$1), FALSE), VLOOKUP($A368,raw_ub[],COLUMN(U$1)-COLUMN($A$1),FALSE))</f>
        <v>145.86014986549631</v>
      </c>
      <c r="U368" s="70">
        <f>IF(VLOOKUP($A368,raw_ub[],COLUMN(V$1)-COLUMN($A$1),FALSE)=0, VLOOKUP($D368, regions_ub[], COLUMN(V$1)-COLUMN($A$1), FALSE), VLOOKUP($A368,raw_ub[],COLUMN(V$1)-COLUMN($A$1),FALSE))</f>
        <v>145.57961493048944</v>
      </c>
      <c r="V368" s="70">
        <f>IF(VLOOKUP($A368,raw_ub[],COLUMN(W$1)-COLUMN($A$1),FALSE)=0, VLOOKUP($D368, regions_ub[], COLUMN(W$1)-COLUMN($A$1), FALSE), VLOOKUP($A368,raw_ub[],COLUMN(W$1)-COLUMN($A$1),FALSE))</f>
        <v>2.8756967584698345</v>
      </c>
      <c r="W368" s="70">
        <f>IF(VLOOKUP($A368,raw_ub[],COLUMN(X$1)-COLUMN($A$1),FALSE)=0, VLOOKUP($D368, regions_ub[], COLUMN(X$1)-COLUMN($A$1), FALSE), VLOOKUP($A368,raw_ub[],COLUMN(X$1)-COLUMN($A$1),FALSE))</f>
        <v>7.9471967584698344</v>
      </c>
      <c r="X368" s="70">
        <f>IF(VLOOKUP($A368,raw_ub[],COLUMN(Y$1)-COLUMN($A$1),FALSE)=0, VLOOKUP($D368, regions_ub[], COLUMN(Y$1)-COLUMN($A$1), FALSE), VLOOKUP($A368,raw_ub[],COLUMN(Y$1)-COLUMN($A$1),FALSE))</f>
        <v>2.8663122115695638</v>
      </c>
      <c r="Y368" s="70">
        <f>IF(VLOOKUP($A368,raw_ub[],COLUMN(Z$1)-COLUMN($A$1),FALSE)=0, VLOOKUP($D368, regions_ub[], COLUMN(Z$1)-COLUMN($A$1), FALSE), VLOOKUP($A368,raw_ub[],COLUMN(Z$1)-COLUMN($A$1),FALSE))</f>
        <v>7.9378122115695646</v>
      </c>
      <c r="Z368" s="70">
        <f>IF(VLOOKUP($A368,raw_ub[],COLUMN(AA$1)-COLUMN($A$1),FALSE)=0, VLOOKUP($D368, regions_ub[], COLUMN(AA$1)-COLUMN($A$1), FALSE), VLOOKUP($A368,raw_ub[],COLUMN(AA$1)-COLUMN($A$1),FALSE))</f>
        <v>7.9327446500042225</v>
      </c>
      <c r="AA368" s="70">
        <f>IF(VLOOKUP($A368,raw_ub[],COLUMN(AB$1)-COLUMN($A$1),FALSE)=0, VLOOKUP($D368, regions_ub[], COLUMN(AB$1)-COLUMN($A$1), FALSE), VLOOKUP($A368,raw_ub[],COLUMN(AB$1)-COLUMN($A$1),FALSE))</f>
        <v>2.8778624231391277</v>
      </c>
      <c r="AB368" s="70">
        <f>IF(VLOOKUP($A368,raw_ub[],COLUMN(AC$1)-COLUMN($A$1),FALSE)=0, VLOOKUP($D368, regions_ub[], COLUMN(AC$1)-COLUMN($A$1), FALSE), VLOOKUP($A368,raw_ub[],COLUMN(AC$1)-COLUMN($A$1),FALSE))</f>
        <v>7.949362423139128</v>
      </c>
      <c r="AC368" s="72">
        <f>IF(VLOOKUP($A368,raw_ub[],COLUMN(AD$1)-COLUMN($A$1),FALSE)=0, VLOOKUP($D368, regions_ub[], COLUMN(AD$1)-COLUMN($A$1), FALSE), VLOOKUP($A368,raw_ub[],COLUMN(AD$1)-COLUMN($A$1),FALSE))</f>
        <v>4.8634046999999986E-2</v>
      </c>
      <c r="AD368" s="72">
        <f>IF(VLOOKUP($A368,raw_ub[],COLUMN(AE$1)-COLUMN($A$1),FALSE)=0, VLOOKUP($D368, regions_ub[], COLUMN(AE$1)-COLUMN($A$1), FALSE), VLOOKUP($A368,raw_ub[],COLUMN(AE$1)-COLUMN($A$1),FALSE))</f>
        <v>1.0552466757625034E-2</v>
      </c>
      <c r="AE368" s="72">
        <f>IF(VLOOKUP($A368,raw_ub[],COLUMN(AF$1)-COLUMN($A$1),FALSE)=0, VLOOKUP($D368, regions_ub[], COLUMN(AF$1)-COLUMN($A$1), FALSE), VLOOKUP($A368,raw_ub[],COLUMN(AF$1)-COLUMN($A$1),FALSE))</f>
        <v>2.3353548721143434E-3</v>
      </c>
      <c r="AF368" s="72">
        <f>IF(VLOOKUP($A368,raw_ub[],COLUMN(AG$1)-COLUMN($A$1),FALSE)=0, VLOOKUP($D368, regions_ub[], COLUMN(AG$1)-COLUMN($A$1), FALSE), VLOOKUP($A368,raw_ub[],COLUMN(AG$1)-COLUMN($A$1),FALSE))</f>
        <v>1.3975126757874877E-3</v>
      </c>
      <c r="AG368" s="72">
        <f>IF(VLOOKUP($A368,raw_ub[],COLUMN(AH$1)-COLUMN($A$1),FALSE)=0, VLOOKUP($D368, regions_ub[], COLUMN(AH$1)-COLUMN($A$1), FALSE), VLOOKUP($A368,raw_ub[],COLUMN(AH$1)-COLUMN($A$1),FALSE))</f>
        <v>2.3300716942091151E-3</v>
      </c>
      <c r="AH368" s="72">
        <f>IF(VLOOKUP($A368,raw_ub[],COLUMN(AI$1)-COLUMN($A$1),FALSE)=0, VLOOKUP($D368, regions_ub[], COLUMN(AI$1)-COLUMN($A$1), FALSE), VLOOKUP($A368,raw_ub[],COLUMN(AI$1)-COLUMN($A$1),FALSE))</f>
        <v>3.0456129224326633E-3</v>
      </c>
      <c r="AI368" s="72">
        <f>IF(VLOOKUP($A368,raw_ub[],COLUMN(AJ$1)-COLUMN($A$1),FALSE)=0, VLOOKUP($D368, regions_ub[], COLUMN(AJ$1)-COLUMN($A$1), FALSE), VLOOKUP($A368,raw_ub[],COLUMN(AJ$1)-COLUMN($A$1),FALSE))</f>
        <v>3.8194152003484679E-3</v>
      </c>
      <c r="AJ368" s="72">
        <f>IF(VLOOKUP($A368,raw_ub[],COLUMN(AK$1)-COLUMN($A$1),FALSE)=0, VLOOKUP($D368, regions_ub[], COLUMN(AK$1)-COLUMN($A$1), FALSE), VLOOKUP($A368,raw_ub[],COLUMN(AK$1)-COLUMN($A$1),FALSE))</f>
        <v>4.0854931670074226E-3</v>
      </c>
      <c r="AK368" s="72">
        <f>IF(VLOOKUP($A368,raw_ub[],COLUMN(AL$1)-COLUMN($A$1),FALSE)=0, VLOOKUP($D368, regions_ub[], COLUMN(AL$1)-COLUMN($A$1), FALSE), VLOOKUP($A368,raw_ub[],COLUMN(AL$1)-COLUMN($A$1),FALSE))</f>
        <v>4.6968283896133287E-3</v>
      </c>
      <c r="AL368" s="72">
        <f>IF(VLOOKUP($A368,raw_ub[],COLUMN(AM$1)-COLUMN($A$1),FALSE)=0, VLOOKUP($D368, regions_ub[], COLUMN(AM$1)-COLUMN($A$1), FALSE), VLOOKUP($A368,raw_ub[],COLUMN(AM$1)-COLUMN($A$1),FALSE))</f>
        <v>5.6832319894283469E-3</v>
      </c>
      <c r="AM368" s="72">
        <f>IF(VLOOKUP($A368,raw_ub[],COLUMN(AN$1)-COLUMN($A$1),FALSE)=0, VLOOKUP($D368, regions_ub[], COLUMN(AN$1)-COLUMN($A$1), FALSE), VLOOKUP($A368,raw_ub[],COLUMN(AN$1)-COLUMN($A$1),FALSE))</f>
        <v>7.3109941430212801E-3</v>
      </c>
      <c r="AN368" s="72">
        <f>IF(VLOOKUP($A368,raw_ub[],COLUMN(AO$1)-COLUMN($A$1),FALSE)=0, VLOOKUP($D368, regions_ub[], COLUMN(AO$1)-COLUMN($A$1), FALSE), VLOOKUP($A368,raw_ub[],COLUMN(AO$1)-COLUMN($A$1),FALSE))</f>
        <v>1.055984771450909E-2</v>
      </c>
      <c r="AO368" s="72">
        <f>IF(VLOOKUP($A368,raw_ub[],COLUMN(AP$1)-COLUMN($A$1),FALSE)=0, VLOOKUP($D368, regions_ub[], COLUMN(AP$1)-COLUMN($A$1), FALSE), VLOOKUP($A368,raw_ub[],COLUMN(AP$1)-COLUMN($A$1),FALSE))</f>
        <v>1.5204379067438645E-2</v>
      </c>
      <c r="AP368" s="72">
        <f>IF(VLOOKUP($A368,raw_ub[],COLUMN(AQ$1)-COLUMN($A$1),FALSE)=0, VLOOKUP($D368, regions_ub[], COLUMN(AQ$1)-COLUMN($A$1), FALSE), VLOOKUP($A368,raw_ub[],COLUMN(AQ$1)-COLUMN($A$1),FALSE))</f>
        <v>2.1547905535353431E-2</v>
      </c>
      <c r="AQ368" s="72">
        <f>IF(VLOOKUP($A368,raw_ub[],COLUMN(AR$1)-COLUMN($A$1),FALSE)=0, VLOOKUP($D368, regions_ub[], COLUMN(AR$1)-COLUMN($A$1), FALSE), VLOOKUP($A368,raw_ub[],COLUMN(AR$1)-COLUMN($A$1),FALSE))</f>
        <v>3.2587976004823264E-2</v>
      </c>
      <c r="AR368" s="72">
        <f>IF(VLOOKUP($A368,raw_ub[],COLUMN(AS$1)-COLUMN($A$1),FALSE)=0, VLOOKUP($D368, regions_ub[], COLUMN(AS$1)-COLUMN($A$1), FALSE), VLOOKUP($A368,raw_ub[],COLUMN(AS$1)-COLUMN($A$1),FALSE))</f>
        <v>5.3014225670050888E-2</v>
      </c>
      <c r="AS368" s="72">
        <f>IF(VLOOKUP($A368,raw_ub[],COLUMN(AT$1)-COLUMN($A$1),FALSE)=0, VLOOKUP($D368, regions_ub[], COLUMN(AT$1)-COLUMN($A$1), FALSE), VLOOKUP($A368,raw_ub[],COLUMN(AT$1)-COLUMN($A$1),FALSE))</f>
        <v>8.3358796286837664E-2</v>
      </c>
      <c r="AT368" s="82">
        <f>IF(VLOOKUP($A368,raw_ub[],COLUMN(AT$1),FALSE)=0, VLOOKUP($D368, regions_ub[], COLUMN(AT$1), FALSE), VLOOKUP($A368,raw_ub[],COLUMN(AT$1),FALSE))</f>
        <v>0.12202506750429573</v>
      </c>
      <c r="AU368" s="82">
        <f>IF(VLOOKUP($A368,raw_ub[],COLUMN(AU$1),FALSE)=0, VLOOKUP($D368, regions_ub[], COLUMN(AU$1), FALSE), VLOOKUP($A368,raw_ub[],COLUMN(AU$1),FALSE))</f>
        <v>0.15870013211775946</v>
      </c>
      <c r="AV368" s="82">
        <f>IF(VLOOKUP($A368,raw_ub[],COLUMN(AV$1),FALSE)=0, VLOOKUP($D368, regions_ub[], COLUMN(AV$1), FALSE), VLOOKUP($A368,raw_ub[],COLUMN(AV$1),FALSE))</f>
        <v>0.18399737123583385</v>
      </c>
      <c r="AW368" s="82">
        <f>IF(VLOOKUP($A368,raw_ub[],COLUMN(AW$1),FALSE)=0, VLOOKUP($D368, regions_ub[], COLUMN(AW$1), FALSE), VLOOKUP($A368,raw_ub[],COLUMN(AW$1),FALSE))</f>
        <v>0.19560070425905179</v>
      </c>
      <c r="AX368" s="82">
        <f>IF(VLOOKUP($A368,raw_ub[],COLUMN(AX$1),FALSE)=0, VLOOKUP($D368, regions_ub[], COLUMN(AX$1), FALSE), VLOOKUP($A368,raw_ub[],COLUMN(AX$1),FALSE))</f>
        <v>64.888950000000008</v>
      </c>
      <c r="AY368" t="str">
        <f t="shared" si="12"/>
        <v>Yes</v>
      </c>
    </row>
    <row r="369" spans="1:51" x14ac:dyDescent="0.25">
      <c r="A369" s="55" t="s">
        <v>406</v>
      </c>
      <c r="B369" s="56" t="s">
        <v>407</v>
      </c>
      <c r="C369" s="56">
        <v>566</v>
      </c>
      <c r="D369" s="56" t="s">
        <v>207</v>
      </c>
      <c r="E369" s="56" t="s">
        <v>235</v>
      </c>
      <c r="F369" s="56" t="s">
        <v>211</v>
      </c>
      <c r="G369" s="56" t="s">
        <v>212</v>
      </c>
      <c r="H369" s="74"/>
      <c r="I369" s="74"/>
      <c r="J369" s="67">
        <f>IF(VLOOKUP($A369,raw_ub[],COLUMN(J$1),FALSE)=0, VLOOKUP($D369, regions_ub[], COLUMN(J$1), FALSE), VLOOKUP($A369,raw_ub[],COLUMN(J$1),FALSE))</f>
        <v>0.41369999999999996</v>
      </c>
      <c r="K369" s="77">
        <f>VLOOKUP($A369, raw_ub[], 11, FALSE)</f>
        <v>0</v>
      </c>
      <c r="L369" s="77">
        <f>VLOOKUP($A369, raw_ub[], 12, FALSE)</f>
        <v>0.59849999999999992</v>
      </c>
      <c r="M369" s="77">
        <f>IF(VLOOKUP($A369,raw_ub[],COLUMN(M$1),FALSE)=0, VLOOKUP($D369, regions_ub[], COLUMN(M$1), FALSE), VLOOKUP($A369,raw_ub[],COLUMN(M$1),FALSE))</f>
        <v>6.25E-2</v>
      </c>
      <c r="N369" s="68">
        <f>IF(VLOOKUP($A369,raw_ub[],COLUMN(N$1),FALSE)=0, VLOOKUP($D369, regions_ub[], COLUMN(N$1), FALSE), VLOOKUP($A369,raw_ub[],COLUMN(N$1),FALSE))</f>
        <v>0.41070000000000001</v>
      </c>
      <c r="O369" s="67">
        <f>IF(VLOOKUP($A369,raw_ub[],COLUMN(O$1),FALSE)=0, VLOOKUP($D369, regions_ub[], COLUMN(O$1), FALSE), VLOOKUP($A369,raw_ub[],COLUMN(O$1),FALSE))</f>
        <v>0.74399999999999999</v>
      </c>
      <c r="P369" s="68">
        <f>IF(VLOOKUP($A369,raw_ub[],COLUMN(P$1),FALSE)=0, VLOOKUP($D369, regions_ub[], COLUMN(P$1), FALSE), VLOOKUP($A369,raw_ub[],COLUMN(P$1),FALSE))</f>
        <v>0.13300000000000001</v>
      </c>
      <c r="Q369" s="70">
        <f>IF(VLOOKUP($A369,raw_ub[],COLUMN(Q$1),FALSE)=0, VLOOKUP($D369, regions_ub[], COLUMN(Q$1), FALSE), VLOOKUP($A369,raw_ub[],COLUMN(Q$1),FALSE))</f>
        <v>9.91079751037344</v>
      </c>
      <c r="R369" s="70">
        <f>IF(VLOOKUP($A369,raw_ub[],COLUMN(R$1),FALSE)=0, VLOOKUP($D369, regions_ub[], COLUMN(R$1), FALSE), VLOOKUP($A369,raw_ub[],COLUMN(R$1),FALSE))</f>
        <v>118.89659751037345</v>
      </c>
      <c r="S369" s="70">
        <f>IF(VLOOKUP($A369,raw_ub[],COLUMN(S$1),FALSE)=0, VLOOKUP($D369, regions_ub[], COLUMN(S$1), FALSE), VLOOKUP($A369,raw_ub[],COLUMN(S$1),FALSE))</f>
        <v>155.29237845433528</v>
      </c>
      <c r="T369" s="70">
        <f>IF(VLOOKUP($A369,raw_ub[],COLUMN(U$1)-COLUMN($A$1),FALSE)=0, VLOOKUP($D369, regions_ub[], COLUMN(U$1)-COLUMN($A$1), FALSE), VLOOKUP($A369,raw_ub[],COLUMN(U$1)-COLUMN($A$1),FALSE))</f>
        <v>159.02712163388944</v>
      </c>
      <c r="U369" s="70">
        <f>IF(VLOOKUP($A369,raw_ub[],COLUMN(V$1)-COLUMN($A$1),FALSE)=0, VLOOKUP($D369, regions_ub[], COLUMN(V$1)-COLUMN($A$1), FALSE), VLOOKUP($A369,raw_ub[],COLUMN(V$1)-COLUMN($A$1),FALSE))</f>
        <v>157.3122065082521</v>
      </c>
      <c r="V369" s="70">
        <f>IF(VLOOKUP($A369,raw_ub[],COLUMN(W$1)-COLUMN($A$1),FALSE)=0, VLOOKUP($D369, regions_ub[], COLUMN(W$1)-COLUMN($A$1), FALSE), VLOOKUP($A369,raw_ub[],COLUMN(W$1)-COLUMN($A$1),FALSE))</f>
        <v>2.1645806207275577</v>
      </c>
      <c r="W369" s="70">
        <f>IF(VLOOKUP($A369,raw_ub[],COLUMN(X$1)-COLUMN($A$1),FALSE)=0, VLOOKUP($D369, regions_ub[], COLUMN(X$1)-COLUMN($A$1), FALSE), VLOOKUP($A369,raw_ub[],COLUMN(X$1)-COLUMN($A$1),FALSE))</f>
        <v>7.2360806207275576</v>
      </c>
      <c r="X369" s="70">
        <f>IF(VLOOKUP($A369,raw_ub[],COLUMN(Y$1)-COLUMN($A$1),FALSE)=0, VLOOKUP($D369, regions_ub[], COLUMN(Y$1)-COLUMN($A$1), FALSE), VLOOKUP($A369,raw_ub[],COLUMN(Y$1)-COLUMN($A$1),FALSE))</f>
        <v>2.1413372390221008</v>
      </c>
      <c r="Y369" s="70">
        <f>IF(VLOOKUP($A369,raw_ub[],COLUMN(Z$1)-COLUMN($A$1),FALSE)=0, VLOOKUP($D369, regions_ub[], COLUMN(Z$1)-COLUMN($A$1), FALSE), VLOOKUP($A369,raw_ub[],COLUMN(Z$1)-COLUMN($A$1),FALSE))</f>
        <v>7.2128372390221012</v>
      </c>
      <c r="Z369" s="70">
        <f>IF(VLOOKUP($A369,raw_ub[],COLUMN(AA$1)-COLUMN($A$1),FALSE)=0, VLOOKUP($D369, regions_ub[], COLUMN(AA$1)-COLUMN($A$1), FALSE), VLOOKUP($A369,raw_ub[],COLUMN(AA$1)-COLUMN($A$1),FALSE))</f>
        <v>7.1997640183177047</v>
      </c>
      <c r="AA369" s="70">
        <f>IF(VLOOKUP($A369,raw_ub[],COLUMN(AB$1)-COLUMN($A$1),FALSE)=0, VLOOKUP($D369, regions_ub[], COLUMN(AB$1)-COLUMN($A$1), FALSE), VLOOKUP($A369,raw_ub[],COLUMN(AB$1)-COLUMN($A$1),FALSE))</f>
        <v>2.1699444780442017</v>
      </c>
      <c r="AB369" s="70">
        <f>IF(VLOOKUP($A369,raw_ub[],COLUMN(AC$1)-COLUMN($A$1),FALSE)=0, VLOOKUP($D369, regions_ub[], COLUMN(AC$1)-COLUMN($A$1), FALSE), VLOOKUP($A369,raw_ub[],COLUMN(AC$1)-COLUMN($A$1),FALSE))</f>
        <v>7.241444478044202</v>
      </c>
      <c r="AC369" s="72">
        <f>IF(VLOOKUP($A369,raw_ub[],COLUMN(AD$1)-COLUMN($A$1),FALSE)=0, VLOOKUP($D369, regions_ub[], COLUMN(AD$1)-COLUMN($A$1), FALSE), VLOOKUP($A369,raw_ub[],COLUMN(AD$1)-COLUMN($A$1),FALSE))</f>
        <v>6.5264314500000059E-2</v>
      </c>
      <c r="AD369" s="72">
        <f>IF(VLOOKUP($A369,raw_ub[],COLUMN(AE$1)-COLUMN($A$1),FALSE)=0, VLOOKUP($D369, regions_ub[], COLUMN(AE$1)-COLUMN($A$1), FALSE), VLOOKUP($A369,raw_ub[],COLUMN(AE$1)-COLUMN($A$1),FALSE))</f>
        <v>1.1083045853780012E-2</v>
      </c>
      <c r="AE369" s="72">
        <f>IF(VLOOKUP($A369,raw_ub[],COLUMN(AF$1)-COLUMN($A$1),FALSE)=0, VLOOKUP($D369, regions_ub[], COLUMN(AF$1)-COLUMN($A$1), FALSE), VLOOKUP($A369,raw_ub[],COLUMN(AF$1)-COLUMN($A$1),FALSE))</f>
        <v>6.2056636556527189E-3</v>
      </c>
      <c r="AF369" s="72">
        <f>IF(VLOOKUP($A369,raw_ub[],COLUMN(AG$1)-COLUMN($A$1),FALSE)=0, VLOOKUP($D369, regions_ub[], COLUMN(AG$1)-COLUMN($A$1), FALSE), VLOOKUP($A369,raw_ub[],COLUMN(AG$1)-COLUMN($A$1),FALSE))</f>
        <v>3.376688896987729E-3</v>
      </c>
      <c r="AG369" s="72">
        <f>IF(VLOOKUP($A369,raw_ub[],COLUMN(AH$1)-COLUMN($A$1),FALSE)=0, VLOOKUP($D369, regions_ub[], COLUMN(AH$1)-COLUMN($A$1), FALSE), VLOOKUP($A369,raw_ub[],COLUMN(AH$1)-COLUMN($A$1),FALSE))</f>
        <v>5.3157757715819433E-3</v>
      </c>
      <c r="AH369" s="72">
        <f>IF(VLOOKUP($A369,raw_ub[],COLUMN(AI$1)-COLUMN($A$1),FALSE)=0, VLOOKUP($D369, regions_ub[], COLUMN(AI$1)-COLUMN($A$1), FALSE), VLOOKUP($A369,raw_ub[],COLUMN(AI$1)-COLUMN($A$1),FALSE))</f>
        <v>6.4114276843212229E-3</v>
      </c>
      <c r="AI369" s="72">
        <f>IF(VLOOKUP($A369,raw_ub[],COLUMN(AJ$1)-COLUMN($A$1),FALSE)=0, VLOOKUP($D369, regions_ub[], COLUMN(AJ$1)-COLUMN($A$1), FALSE), VLOOKUP($A369,raw_ub[],COLUMN(AJ$1)-COLUMN($A$1),FALSE))</f>
        <v>7.0503930118557693E-3</v>
      </c>
      <c r="AJ369" s="72">
        <f>IF(VLOOKUP($A369,raw_ub[],COLUMN(AK$1)-COLUMN($A$1),FALSE)=0, VLOOKUP($D369, regions_ub[], COLUMN(AK$1)-COLUMN($A$1), FALSE), VLOOKUP($A369,raw_ub[],COLUMN(AK$1)-COLUMN($A$1),FALSE))</f>
        <v>7.3860782785339155E-3</v>
      </c>
      <c r="AK369" s="72">
        <f>IF(VLOOKUP($A369,raw_ub[],COLUMN(AL$1)-COLUMN($A$1),FALSE)=0, VLOOKUP($D369, regions_ub[], COLUMN(AL$1)-COLUMN($A$1), FALSE), VLOOKUP($A369,raw_ub[],COLUMN(AL$1)-COLUMN($A$1),FALSE))</f>
        <v>8.0870402994986136E-3</v>
      </c>
      <c r="AL369" s="72">
        <f>IF(VLOOKUP($A369,raw_ub[],COLUMN(AM$1)-COLUMN($A$1),FALSE)=0, VLOOKUP($D369, regions_ub[], COLUMN(AM$1)-COLUMN($A$1), FALSE), VLOOKUP($A369,raw_ub[],COLUMN(AM$1)-COLUMN($A$1),FALSE))</f>
        <v>9.1878116538381422E-3</v>
      </c>
      <c r="AM369" s="72">
        <f>IF(VLOOKUP($A369,raw_ub[],COLUMN(AN$1)-COLUMN($A$1),FALSE)=0, VLOOKUP($D369, regions_ub[], COLUMN(AN$1)-COLUMN($A$1), FALSE), VLOOKUP($A369,raw_ub[],COLUMN(AN$1)-COLUMN($A$1),FALSE))</f>
        <v>1.0638852659240389E-2</v>
      </c>
      <c r="AN369" s="72">
        <f>IF(VLOOKUP($A369,raw_ub[],COLUMN(AO$1)-COLUMN($A$1),FALSE)=0, VLOOKUP($D369, regions_ub[], COLUMN(AO$1)-COLUMN($A$1), FALSE), VLOOKUP($A369,raw_ub[],COLUMN(AO$1)-COLUMN($A$1),FALSE))</f>
        <v>1.4049752740381725E-2</v>
      </c>
      <c r="AO369" s="72">
        <f>IF(VLOOKUP($A369,raw_ub[],COLUMN(AP$1)-COLUMN($A$1),FALSE)=0, VLOOKUP($D369, regions_ub[], COLUMN(AP$1)-COLUMN($A$1), FALSE), VLOOKUP($A369,raw_ub[],COLUMN(AP$1)-COLUMN($A$1),FALSE))</f>
        <v>1.922903842073817E-2</v>
      </c>
      <c r="AP369" s="72">
        <f>IF(VLOOKUP($A369,raw_ub[],COLUMN(AQ$1)-COLUMN($A$1),FALSE)=0, VLOOKUP($D369, regions_ub[], COLUMN(AQ$1)-COLUMN($A$1), FALSE), VLOOKUP($A369,raw_ub[],COLUMN(AQ$1)-COLUMN($A$1),FALSE))</f>
        <v>2.9592473551123877E-2</v>
      </c>
      <c r="AQ369" s="72">
        <f>IF(VLOOKUP($A369,raw_ub[],COLUMN(AR$1)-COLUMN($A$1),FALSE)=0, VLOOKUP($D369, regions_ub[], COLUMN(AR$1)-COLUMN($A$1), FALSE), VLOOKUP($A369,raw_ub[],COLUMN(AR$1)-COLUMN($A$1),FALSE))</f>
        <v>4.4531742602379673E-2</v>
      </c>
      <c r="AR369" s="72">
        <f>IF(VLOOKUP($A369,raw_ub[],COLUMN(AS$1)-COLUMN($A$1),FALSE)=0, VLOOKUP($D369, regions_ub[], COLUMN(AS$1)-COLUMN($A$1), FALSE), VLOOKUP($A369,raw_ub[],COLUMN(AS$1)-COLUMN($A$1),FALSE))</f>
        <v>6.8994272389426167E-2</v>
      </c>
      <c r="AS369" s="72">
        <f>IF(VLOOKUP($A369,raw_ub[],COLUMN(AT$1)-COLUMN($A$1),FALSE)=0, VLOOKUP($D369, regions_ub[], COLUMN(AT$1)-COLUMN($A$1), FALSE), VLOOKUP($A369,raw_ub[],COLUMN(AT$1)-COLUMN($A$1),FALSE))</f>
        <v>0.10174969103072433</v>
      </c>
      <c r="AT369" s="82">
        <f>IF(VLOOKUP($A369,raw_ub[],COLUMN(AT$1),FALSE)=0, VLOOKUP($D369, regions_ub[], COLUMN(AT$1), FALSE), VLOOKUP($A369,raw_ub[],COLUMN(AT$1),FALSE))</f>
        <v>0.13925653004002383</v>
      </c>
      <c r="AU369" s="82">
        <f>IF(VLOOKUP($A369,raw_ub[],COLUMN(AU$1),FALSE)=0, VLOOKUP($D369, regions_ub[], COLUMN(AU$1), FALSE), VLOOKUP($A369,raw_ub[],COLUMN(AU$1),FALSE))</f>
        <v>0.17066804141891234</v>
      </c>
      <c r="AV369" s="82">
        <f>IF(VLOOKUP($A369,raw_ub[],COLUMN(AV$1),FALSE)=0, VLOOKUP($D369, regions_ub[], COLUMN(AV$1), FALSE), VLOOKUP($A369,raw_ub[],COLUMN(AV$1),FALSE))</f>
        <v>0.1899024811429979</v>
      </c>
      <c r="AW369" s="82">
        <f>IF(VLOOKUP($A369,raw_ub[],COLUMN(AW$1),FALSE)=0, VLOOKUP($D369, regions_ub[], COLUMN(AW$1), FALSE), VLOOKUP($A369,raw_ub[],COLUMN(AW$1),FALSE))</f>
        <v>0.19572984161213169</v>
      </c>
      <c r="AX369" s="82">
        <f>IF(VLOOKUP($A369,raw_ub[],COLUMN(AX$1),FALSE)=0, VLOOKUP($D369, regions_ub[], COLUMN(AX$1), FALSE), VLOOKUP($A369,raw_ub[],COLUMN(AX$1),FALSE))</f>
        <v>56.884800000000006</v>
      </c>
      <c r="AY369" t="str">
        <f t="shared" si="12"/>
        <v>Yes</v>
      </c>
    </row>
    <row r="370" spans="1:51" x14ac:dyDescent="0.25">
      <c r="A370" s="53" t="s">
        <v>408</v>
      </c>
      <c r="B370" s="54" t="s">
        <v>409</v>
      </c>
      <c r="C370" s="54">
        <v>807</v>
      </c>
      <c r="D370" s="54" t="s">
        <v>201</v>
      </c>
      <c r="E370" s="54" t="s">
        <v>202</v>
      </c>
      <c r="F370" s="54" t="s">
        <v>203</v>
      </c>
      <c r="G370" s="54" t="s">
        <v>204</v>
      </c>
      <c r="H370" s="73"/>
      <c r="I370" s="73"/>
      <c r="J370" s="67">
        <f>IF(VLOOKUP($A370,raw_ub[],COLUMN(J$1),FALSE)=0, VLOOKUP($D370, regions_ub[], COLUMN(J$1), FALSE), VLOOKUP($A370,raw_ub[],COLUMN(J$1),FALSE))</f>
        <v>0.999</v>
      </c>
      <c r="K370" s="77">
        <f>VLOOKUP($A370, raw_ub[], 11, FALSE)</f>
        <v>0.999</v>
      </c>
      <c r="L370" s="77">
        <f>VLOOKUP($A370, raw_ub[], 12, FALSE)</f>
        <v>0.88200000000000001</v>
      </c>
      <c r="M370" s="77">
        <f>IF(VLOOKUP($A370,raw_ub[],COLUMN(M$1),FALSE)=0, VLOOKUP($D370, regions_ub[], COLUMN(M$1), FALSE), VLOOKUP($A370,raw_ub[],COLUMN(M$1),FALSE))</f>
        <v>8.0600000000000005E-2</v>
      </c>
      <c r="N370" s="68">
        <f>IF(VLOOKUP($A370,raw_ub[],COLUMN(N$1),FALSE)=0, VLOOKUP($D370, regions_ub[], COLUMN(N$1), FALSE), VLOOKUP($A370,raw_ub[],COLUMN(N$1),FALSE))</f>
        <v>0.42849999999999999</v>
      </c>
      <c r="O370" s="67">
        <f>IF(VLOOKUP($A370,raw_ub[],COLUMN(O$1),FALSE)=0, VLOOKUP($D370, regions_ub[], COLUMN(O$1), FALSE), VLOOKUP($A370,raw_ub[],COLUMN(O$1),FALSE))</f>
        <v>0.9</v>
      </c>
      <c r="P370" s="68">
        <f>IF(VLOOKUP($A370,raw_ub[],COLUMN(P$1),FALSE)=0, VLOOKUP($D370, regions_ub[], COLUMN(P$1), FALSE), VLOOKUP($A370,raw_ub[],COLUMN(P$1),FALSE))</f>
        <v>0.3</v>
      </c>
      <c r="Q370" s="70">
        <f>IF(VLOOKUP($A370,raw_ub[],COLUMN(Q$1),FALSE)=0, VLOOKUP($D370, regions_ub[], COLUMN(Q$1), FALSE), VLOOKUP($A370,raw_ub[],COLUMN(Q$1),FALSE))</f>
        <v>23.236011389191201</v>
      </c>
      <c r="R370" s="70">
        <f>IF(VLOOKUP($A370,raw_ub[],COLUMN(R$1),FALSE)=0, VLOOKUP($D370, regions_ub[], COLUMN(R$1), FALSE), VLOOKUP($A370,raw_ub[],COLUMN(R$1),FALSE))</f>
        <v>132.2218113891912</v>
      </c>
      <c r="S370" s="70">
        <f>IF(VLOOKUP($A370,raw_ub[],COLUMN(S$1),FALSE)=0, VLOOKUP($D370, regions_ub[], COLUMN(S$1), FALSE), VLOOKUP($A370,raw_ub[],COLUMN(S$1),FALSE))</f>
        <v>208.82226995459442</v>
      </c>
      <c r="T370" s="70">
        <f>IF(VLOOKUP($A370,raw_ub[],COLUMN(U$1)-COLUMN($A$1),FALSE)=0, VLOOKUP($D370, regions_ub[], COLUMN(U$1)-COLUMN($A$1), FALSE), VLOOKUP($A370,raw_ub[],COLUMN(U$1)-COLUMN($A$1),FALSE))</f>
        <v>233.48214263649228</v>
      </c>
      <c r="U370" s="70">
        <f>IF(VLOOKUP($A370,raw_ub[],COLUMN(V$1)-COLUMN($A$1),FALSE)=0, VLOOKUP($D370, regions_ub[], COLUMN(V$1)-COLUMN($A$1), FALSE), VLOOKUP($A370,raw_ub[],COLUMN(V$1)-COLUMN($A$1),FALSE))</f>
        <v>222.15885034426938</v>
      </c>
      <c r="V370" s="70">
        <f>IF(VLOOKUP($A370,raw_ub[],COLUMN(W$1)-COLUMN($A$1),FALSE)=0, VLOOKUP($D370, regions_ub[], COLUMN(W$1)-COLUMN($A$1), FALSE), VLOOKUP($A370,raw_ub[],COLUMN(W$1)-COLUMN($A$1),FALSE))</f>
        <v>11.777270178246729</v>
      </c>
      <c r="W370" s="70">
        <f>IF(VLOOKUP($A370,raw_ub[],COLUMN(X$1)-COLUMN($A$1),FALSE)=0, VLOOKUP($D370, regions_ub[], COLUMN(X$1)-COLUMN($A$1), FALSE), VLOOKUP($A370,raw_ub[],COLUMN(X$1)-COLUMN($A$1),FALSE))</f>
        <v>16.050770178246729</v>
      </c>
      <c r="X370" s="70">
        <f>IF(VLOOKUP($A370,raw_ub[],COLUMN(Y$1)-COLUMN($A$1),FALSE)=0, VLOOKUP($D370, regions_ub[], COLUMN(Y$1)-COLUMN($A$1), FALSE), VLOOKUP($A370,raw_ub[],COLUMN(Y$1)-COLUMN($A$1),FALSE))</f>
        <v>11.741425960411988</v>
      </c>
      <c r="Y370" s="70">
        <f>IF(VLOOKUP($A370,raw_ub[],COLUMN(Z$1)-COLUMN($A$1),FALSE)=0, VLOOKUP($D370, regions_ub[], COLUMN(Z$1)-COLUMN($A$1), FALSE), VLOOKUP($A370,raw_ub[],COLUMN(Z$1)-COLUMN($A$1),FALSE))</f>
        <v>16.014925960411986</v>
      </c>
      <c r="Z370" s="70">
        <f>IF(VLOOKUP($A370,raw_ub[],COLUMN(AA$1)-COLUMN($A$1),FALSE)=0, VLOOKUP($D370, regions_ub[], COLUMN(AA$1)-COLUMN($A$1), FALSE), VLOOKUP($A370,raw_ub[],COLUMN(AA$1)-COLUMN($A$1),FALSE))</f>
        <v>15.994552102926198</v>
      </c>
      <c r="AA370" s="70">
        <f>IF(VLOOKUP($A370,raw_ub[],COLUMN(AB$1)-COLUMN($A$1),FALSE)=0, VLOOKUP($D370, regions_ub[], COLUMN(AB$1)-COLUMN($A$1), FALSE), VLOOKUP($A370,raw_ub[],COLUMN(AB$1)-COLUMN($A$1),FALSE))</f>
        <v>11.785541920823977</v>
      </c>
      <c r="AB370" s="70">
        <f>IF(VLOOKUP($A370,raw_ub[],COLUMN(AC$1)-COLUMN($A$1),FALSE)=0, VLOOKUP($D370, regions_ub[], COLUMN(AC$1)-COLUMN($A$1), FALSE), VLOOKUP($A370,raw_ub[],COLUMN(AC$1)-COLUMN($A$1),FALSE))</f>
        <v>16.059041920823979</v>
      </c>
      <c r="AC370" s="72">
        <f>IF(VLOOKUP($A370,raw_ub[],COLUMN(AD$1)-COLUMN($A$1),FALSE)=0, VLOOKUP($D370, regions_ub[], COLUMN(AD$1)-COLUMN($A$1), FALSE), VLOOKUP($A370,raw_ub[],COLUMN(AD$1)-COLUMN($A$1),FALSE))</f>
        <v>1.1223764999999926E-2</v>
      </c>
      <c r="AD370" s="72">
        <f>IF(VLOOKUP($A370,raw_ub[],COLUMN(AE$1)-COLUMN($A$1),FALSE)=0, VLOOKUP($D370, regions_ub[], COLUMN(AE$1)-COLUMN($A$1), FALSE), VLOOKUP($A370,raw_ub[],COLUMN(AE$1)-COLUMN($A$1),FALSE))</f>
        <v>2.9894374942071432E-4</v>
      </c>
      <c r="AE370" s="72">
        <f>IF(VLOOKUP($A370,raw_ub[],COLUMN(AF$1)-COLUMN($A$1),FALSE)=0, VLOOKUP($D370, regions_ub[], COLUMN(AF$1)-COLUMN($A$1), FALSE), VLOOKUP($A370,raw_ub[],COLUMN(AF$1)-COLUMN($A$1),FALSE))</f>
        <v>1.4644772040641436E-4</v>
      </c>
      <c r="AF370" s="72">
        <f>IF(VLOOKUP($A370,raw_ub[],COLUMN(AG$1)-COLUMN($A$1),FALSE)=0, VLOOKUP($D370, regions_ub[], COLUMN(AG$1)-COLUMN($A$1), FALSE), VLOOKUP($A370,raw_ub[],COLUMN(AG$1)-COLUMN($A$1),FALSE))</f>
        <v>1.9445781244582054E-4</v>
      </c>
      <c r="AG370" s="72">
        <f>IF(VLOOKUP($A370,raw_ub[],COLUMN(AH$1)-COLUMN($A$1),FALSE)=0, VLOOKUP($D370, regions_ub[], COLUMN(AH$1)-COLUMN($A$1), FALSE), VLOOKUP($A370,raw_ub[],COLUMN(AH$1)-COLUMN($A$1),FALSE))</f>
        <v>3.0612159879504303E-4</v>
      </c>
      <c r="AH370" s="72">
        <f>IF(VLOOKUP($A370,raw_ub[],COLUMN(AI$1)-COLUMN($A$1),FALSE)=0, VLOOKUP($D370, regions_ub[], COLUMN(AI$1)-COLUMN($A$1), FALSE), VLOOKUP($A370,raw_ub[],COLUMN(AI$1)-COLUMN($A$1),FALSE))</f>
        <v>3.2939443045355225E-4</v>
      </c>
      <c r="AI370" s="72">
        <f>IF(VLOOKUP($A370,raw_ub[],COLUMN(AJ$1)-COLUMN($A$1),FALSE)=0, VLOOKUP($D370, regions_ub[], COLUMN(AJ$1)-COLUMN($A$1), FALSE), VLOOKUP($A370,raw_ub[],COLUMN(AJ$1)-COLUMN($A$1),FALSE))</f>
        <v>4.9107607169644925E-4</v>
      </c>
      <c r="AJ370" s="72">
        <f>IF(VLOOKUP($A370,raw_ub[],COLUMN(AK$1)-COLUMN($A$1),FALSE)=0, VLOOKUP($D370, regions_ub[], COLUMN(AK$1)-COLUMN($A$1), FALSE), VLOOKUP($A370,raw_ub[],COLUMN(AK$1)-COLUMN($A$1),FALSE))</f>
        <v>5.8666428206749911E-4</v>
      </c>
      <c r="AK370" s="72">
        <f>IF(VLOOKUP($A370,raw_ub[],COLUMN(AL$1)-COLUMN($A$1),FALSE)=0, VLOOKUP($D370, regions_ub[], COLUMN(AL$1)-COLUMN($A$1), FALSE), VLOOKUP($A370,raw_ub[],COLUMN(AL$1)-COLUMN($A$1),FALSE))</f>
        <v>9.3562613166154923E-4</v>
      </c>
      <c r="AL370" s="72">
        <f>IF(VLOOKUP($A370,raw_ub[],COLUMN(AM$1)-COLUMN($A$1),FALSE)=0, VLOOKUP($D370, regions_ub[], COLUMN(AM$1)-COLUMN($A$1), FALSE), VLOOKUP($A370,raw_ub[],COLUMN(AM$1)-COLUMN($A$1),FALSE))</f>
        <v>1.7088150216703402E-3</v>
      </c>
      <c r="AM370" s="72">
        <f>IF(VLOOKUP($A370,raw_ub[],COLUMN(AN$1)-COLUMN($A$1),FALSE)=0, VLOOKUP($D370, regions_ub[], COLUMN(AN$1)-COLUMN($A$1), FALSE), VLOOKUP($A370,raw_ub[],COLUMN(AN$1)-COLUMN($A$1),FALSE))</f>
        <v>2.6393162646140044E-3</v>
      </c>
      <c r="AN370" s="72">
        <f>IF(VLOOKUP($A370,raw_ub[],COLUMN(AO$1)-COLUMN($A$1),FALSE)=0, VLOOKUP($D370, regions_ub[], COLUMN(AO$1)-COLUMN($A$1), FALSE), VLOOKUP($A370,raw_ub[],COLUMN(AO$1)-COLUMN($A$1),FALSE))</f>
        <v>4.9233961461122768E-3</v>
      </c>
      <c r="AO370" s="72">
        <f>IF(VLOOKUP($A370,raw_ub[],COLUMN(AP$1)-COLUMN($A$1),FALSE)=0, VLOOKUP($D370, regions_ub[], COLUMN(AP$1)-COLUMN($A$1), FALSE), VLOOKUP($A370,raw_ub[],COLUMN(AP$1)-COLUMN($A$1),FALSE))</f>
        <v>8.3691374832477548E-3</v>
      </c>
      <c r="AP370" s="72">
        <f>IF(VLOOKUP($A370,raw_ub[],COLUMN(AQ$1)-COLUMN($A$1),FALSE)=0, VLOOKUP($D370, regions_ub[], COLUMN(AQ$1)-COLUMN($A$1), FALSE), VLOOKUP($A370,raw_ub[],COLUMN(AQ$1)-COLUMN($A$1),FALSE))</f>
        <v>1.3828995569468826E-2</v>
      </c>
      <c r="AQ370" s="72">
        <f>IF(VLOOKUP($A370,raw_ub[],COLUMN(AR$1)-COLUMN($A$1),FALSE)=0, VLOOKUP($D370, regions_ub[], COLUMN(AR$1)-COLUMN($A$1), FALSE), VLOOKUP($A370,raw_ub[],COLUMN(AR$1)-COLUMN($A$1),FALSE))</f>
        <v>2.1402531568139704E-2</v>
      </c>
      <c r="AR370" s="72">
        <f>IF(VLOOKUP($A370,raw_ub[],COLUMN(AS$1)-COLUMN($A$1),FALSE)=0, VLOOKUP($D370, regions_ub[], COLUMN(AS$1)-COLUMN($A$1), FALSE), VLOOKUP($A370,raw_ub[],COLUMN(AS$1)-COLUMN($A$1),FALSE))</f>
        <v>3.361912544912897E-2</v>
      </c>
      <c r="AS370" s="72">
        <f>IF(VLOOKUP($A370,raw_ub[],COLUMN(AT$1)-COLUMN($A$1),FALSE)=0, VLOOKUP($D370, regions_ub[], COLUMN(AT$1)-COLUMN($A$1), FALSE), VLOOKUP($A370,raw_ub[],COLUMN(AT$1)-COLUMN($A$1),FALSE))</f>
        <v>5.9658325729081384E-2</v>
      </c>
      <c r="AT370" s="82">
        <f>IF(VLOOKUP($A370,raw_ub[],COLUMN(AT$1),FALSE)=0, VLOOKUP($D370, regions_ub[], COLUMN(AT$1), FALSE), VLOOKUP($A370,raw_ub[],COLUMN(AT$1),FALSE))</f>
        <v>9.6105397474416487E-2</v>
      </c>
      <c r="AU370" s="82">
        <f>IF(VLOOKUP($A370,raw_ub[],COLUMN(AU$1),FALSE)=0, VLOOKUP($D370, regions_ub[], COLUMN(AU$1), FALSE), VLOOKUP($A370,raw_ub[],COLUMN(AU$1),FALSE))</f>
        <v>0.13620687662120384</v>
      </c>
      <c r="AV370" s="82">
        <f>IF(VLOOKUP($A370,raw_ub[],COLUMN(AV$1),FALSE)=0, VLOOKUP($D370, regions_ub[], COLUMN(AV$1), FALSE), VLOOKUP($A370,raw_ub[],COLUMN(AV$1),FALSE))</f>
        <v>0.17509103800118414</v>
      </c>
      <c r="AW370" s="82">
        <f>IF(VLOOKUP($A370,raw_ub[],COLUMN(AW$1),FALSE)=0, VLOOKUP($D370, regions_ub[], COLUMN(AW$1), FALSE), VLOOKUP($A370,raw_ub[],COLUMN(AW$1),FALSE))</f>
        <v>0.19555991184090768</v>
      </c>
      <c r="AX370" s="82">
        <f>IF(VLOOKUP($A370,raw_ub[],COLUMN(AX$1),FALSE)=0, VLOOKUP($D370, regions_ub[], COLUMN(AX$1), FALSE), VLOOKUP($A370,raw_ub[],COLUMN(AX$1),FALSE))</f>
        <v>79.383150000000001</v>
      </c>
      <c r="AY370" t="str">
        <f t="shared" si="12"/>
        <v>No</v>
      </c>
    </row>
    <row r="371" spans="1:51" x14ac:dyDescent="0.25">
      <c r="A371" s="55" t="s">
        <v>410</v>
      </c>
      <c r="B371" s="56" t="s">
        <v>411</v>
      </c>
      <c r="C371" s="56">
        <v>586</v>
      </c>
      <c r="D371" s="56" t="s">
        <v>196</v>
      </c>
      <c r="E371" s="56" t="s">
        <v>226</v>
      </c>
      <c r="F371" s="56" t="s">
        <v>226</v>
      </c>
      <c r="G371" s="56" t="s">
        <v>212</v>
      </c>
      <c r="H371" s="74"/>
      <c r="I371" s="74"/>
      <c r="J371" s="67">
        <f>IF(VLOOKUP($A371,raw_ub[],COLUMN(J$1),FALSE)=0, VLOOKUP($D371, regions_ub[], COLUMN(J$1), FALSE), VLOOKUP($A371,raw_ub[],COLUMN(J$1),FALSE))</f>
        <v>0.69510000000000005</v>
      </c>
      <c r="K371" s="77">
        <f>VLOOKUP($A371, raw_ub[], 11, FALSE)</f>
        <v>0</v>
      </c>
      <c r="L371" s="77">
        <f>VLOOKUP($A371, raw_ub[], 12, FALSE)</f>
        <v>0.80850000000000011</v>
      </c>
      <c r="M371" s="77">
        <f>IF(VLOOKUP($A371,raw_ub[],COLUMN(M$1),FALSE)=0, VLOOKUP($D371, regions_ub[], COLUMN(M$1), FALSE), VLOOKUP($A371,raw_ub[],COLUMN(M$1),FALSE))</f>
        <v>3.3300000000000003E-2</v>
      </c>
      <c r="N371" s="68">
        <f>IF(VLOOKUP($A371,raw_ub[],COLUMN(N$1),FALSE)=0, VLOOKUP($D371, regions_ub[], COLUMN(N$1), FALSE), VLOOKUP($A371,raw_ub[],COLUMN(N$1),FALSE))</f>
        <v>0.35830000000000001</v>
      </c>
      <c r="O371" s="67">
        <f>IF(VLOOKUP($A371,raw_ub[],COLUMN(O$1),FALSE)=0, VLOOKUP($D371, regions_ub[], COLUMN(O$1), FALSE), VLOOKUP($A371,raw_ub[],COLUMN(O$1),FALSE))</f>
        <v>0.9</v>
      </c>
      <c r="P371" s="68">
        <f>IF(VLOOKUP($A371,raw_ub[],COLUMN(P$1),FALSE)=0, VLOOKUP($D371, regions_ub[], COLUMN(P$1), FALSE), VLOOKUP($A371,raw_ub[],COLUMN(P$1),FALSE))</f>
        <v>0.3</v>
      </c>
      <c r="Q371" s="70">
        <f>IF(VLOOKUP($A371,raw_ub[],COLUMN(Q$1),FALSE)=0, VLOOKUP($D371, regions_ub[], COLUMN(Q$1), FALSE), VLOOKUP($A371,raw_ub[],COLUMN(Q$1),FALSE))</f>
        <v>7.4591044585987305</v>
      </c>
      <c r="R371" s="70">
        <f>IF(VLOOKUP($A371,raw_ub[],COLUMN(R$1),FALSE)=0, VLOOKUP($D371, regions_ub[], COLUMN(R$1), FALSE), VLOOKUP($A371,raw_ub[],COLUMN(R$1),FALSE))</f>
        <v>116.44490445859874</v>
      </c>
      <c r="S371" s="70">
        <f>IF(VLOOKUP($A371,raw_ub[],COLUMN(S$1),FALSE)=0, VLOOKUP($D371, regions_ub[], COLUMN(S$1), FALSE), VLOOKUP($A371,raw_ub[],COLUMN(S$1),FALSE))</f>
        <v>150.23580828511695</v>
      </c>
      <c r="T371" s="70">
        <f>IF(VLOOKUP($A371,raw_ub[],COLUMN(U$1)-COLUMN($A$1),FALSE)=0, VLOOKUP($D371, regions_ub[], COLUMN(U$1)-COLUMN($A$1), FALSE), VLOOKUP($A371,raw_ub[],COLUMN(U$1)-COLUMN($A$1),FALSE))</f>
        <v>152.61480396848594</v>
      </c>
      <c r="U371" s="70">
        <f>IF(VLOOKUP($A371,raw_ub[],COLUMN(V$1)-COLUMN($A$1),FALSE)=0, VLOOKUP($D371, regions_ub[], COLUMN(V$1)-COLUMN($A$1), FALSE), VLOOKUP($A371,raw_ub[],COLUMN(V$1)-COLUMN($A$1),FALSE))</f>
        <v>151.52241943624551</v>
      </c>
      <c r="V371" s="70">
        <f>IF(VLOOKUP($A371,raw_ub[],COLUMN(W$1)-COLUMN($A$1),FALSE)=0, VLOOKUP($D371, regions_ub[], COLUMN(W$1)-COLUMN($A$1), FALSE), VLOOKUP($A371,raw_ub[],COLUMN(W$1)-COLUMN($A$1),FALSE))</f>
        <v>2.5152380856619945</v>
      </c>
      <c r="W371" s="70">
        <f>IF(VLOOKUP($A371,raw_ub[],COLUMN(X$1)-COLUMN($A$1),FALSE)=0, VLOOKUP($D371, regions_ub[], COLUMN(X$1)-COLUMN($A$1), FALSE), VLOOKUP($A371,raw_ub[],COLUMN(X$1)-COLUMN($A$1),FALSE))</f>
        <v>4.4155779197206719</v>
      </c>
      <c r="X371" s="70">
        <f>IF(VLOOKUP($A371,raw_ub[],COLUMN(Y$1)-COLUMN($A$1),FALSE)=0, VLOOKUP($D371, regions_ub[], COLUMN(Y$1)-COLUMN($A$1), FALSE), VLOOKUP($A371,raw_ub[],COLUMN(Y$1)-COLUMN($A$1),FALSE))</f>
        <v>2.5011209438135142</v>
      </c>
      <c r="Y371" s="70">
        <f>IF(VLOOKUP($A371,raw_ub[],COLUMN(Z$1)-COLUMN($A$1),FALSE)=0, VLOOKUP($D371, regions_ub[], COLUMN(Z$1)-COLUMN($A$1), FALSE), VLOOKUP($A371,raw_ub[],COLUMN(Z$1)-COLUMN($A$1),FALSE))</f>
        <v>4.4014607778721917</v>
      </c>
      <c r="Z371" s="70">
        <f>IF(VLOOKUP($A371,raw_ub[],COLUMN(AA$1)-COLUMN($A$1),FALSE)=0, VLOOKUP($D371, regions_ub[], COLUMN(AA$1)-COLUMN($A$1), FALSE), VLOOKUP($A371,raw_ub[],COLUMN(AA$1)-COLUMN($A$1),FALSE))</f>
        <v>4.3928922026284667</v>
      </c>
      <c r="AA371" s="70">
        <f>IF(VLOOKUP($A371,raw_ub[],COLUMN(AB$1)-COLUMN($A$1),FALSE)=0, VLOOKUP($D371, regions_ub[], COLUMN(AB$1)-COLUMN($A$1), FALSE), VLOOKUP($A371,raw_ub[],COLUMN(AB$1)-COLUMN($A$1),FALSE))</f>
        <v>2.5184958876270285</v>
      </c>
      <c r="AB371" s="70">
        <f>IF(VLOOKUP($A371,raw_ub[],COLUMN(AC$1)-COLUMN($A$1),FALSE)=0, VLOOKUP($D371, regions_ub[], COLUMN(AC$1)-COLUMN($A$1), FALSE), VLOOKUP($A371,raw_ub[],COLUMN(AC$1)-COLUMN($A$1),FALSE))</f>
        <v>4.4188357216857064</v>
      </c>
      <c r="AC371" s="72">
        <f>IF(VLOOKUP($A371,raw_ub[],COLUMN(AD$1)-COLUMN($A$1),FALSE)=0, VLOOKUP($D371, regions_ub[], COLUMN(AD$1)-COLUMN($A$1), FALSE), VLOOKUP($A371,raw_ub[],COLUMN(AD$1)-COLUMN($A$1),FALSE))</f>
        <v>6.4400227499999962E-2</v>
      </c>
      <c r="AD371" s="72">
        <f>IF(VLOOKUP($A371,raw_ub[],COLUMN(AE$1)-COLUMN($A$1),FALSE)=0, VLOOKUP($D371, regions_ub[], COLUMN(AE$1)-COLUMN($A$1), FALSE), VLOOKUP($A371,raw_ub[],COLUMN(AE$1)-COLUMN($A$1),FALSE))</f>
        <v>3.7936031483814339E-3</v>
      </c>
      <c r="AE371" s="72">
        <f>IF(VLOOKUP($A371,raw_ub[],COLUMN(AF$1)-COLUMN($A$1),FALSE)=0, VLOOKUP($D371, regions_ub[], COLUMN(AF$1)-COLUMN($A$1), FALSE), VLOOKUP($A371,raw_ub[],COLUMN(AF$1)-COLUMN($A$1),FALSE))</f>
        <v>1.1150690452710593E-3</v>
      </c>
      <c r="AF371" s="72">
        <f>IF(VLOOKUP($A371,raw_ub[],COLUMN(AG$1)-COLUMN($A$1),FALSE)=0, VLOOKUP($D371, regions_ub[], COLUMN(AG$1)-COLUMN($A$1), FALSE), VLOOKUP($A371,raw_ub[],COLUMN(AG$1)-COLUMN($A$1),FALSE))</f>
        <v>7.1842002086396019E-4</v>
      </c>
      <c r="AG371" s="72">
        <f>IF(VLOOKUP($A371,raw_ub[],COLUMN(AH$1)-COLUMN($A$1),FALSE)=0, VLOOKUP($D371, regions_ub[], COLUMN(AH$1)-COLUMN($A$1), FALSE), VLOOKUP($A371,raw_ub[],COLUMN(AH$1)-COLUMN($A$1),FALSE))</f>
        <v>9.4642577808832075E-4</v>
      </c>
      <c r="AH371" s="72">
        <f>IF(VLOOKUP($A371,raw_ub[],COLUMN(AI$1)-COLUMN($A$1),FALSE)=0, VLOOKUP($D371, regions_ub[], COLUMN(AI$1)-COLUMN($A$1), FALSE), VLOOKUP($A371,raw_ub[],COLUMN(AI$1)-COLUMN($A$1),FALSE))</f>
        <v>1.2680931442002605E-3</v>
      </c>
      <c r="AI371" s="72">
        <f>IF(VLOOKUP($A371,raw_ub[],COLUMN(AJ$1)-COLUMN($A$1),FALSE)=0, VLOOKUP($D371, regions_ub[], COLUMN(AJ$1)-COLUMN($A$1), FALSE), VLOOKUP($A371,raw_ub[],COLUMN(AJ$1)-COLUMN($A$1),FALSE))</f>
        <v>1.4150865514171729E-3</v>
      </c>
      <c r="AJ371" s="72">
        <f>IF(VLOOKUP($A371,raw_ub[],COLUMN(AK$1)-COLUMN($A$1),FALSE)=0, VLOOKUP($D371, regions_ub[], COLUMN(AK$1)-COLUMN($A$1), FALSE), VLOOKUP($A371,raw_ub[],COLUMN(AK$1)-COLUMN($A$1),FALSE))</f>
        <v>1.7783554963479496E-3</v>
      </c>
      <c r="AK371" s="72">
        <f>IF(VLOOKUP($A371,raw_ub[],COLUMN(AL$1)-COLUMN($A$1),FALSE)=0, VLOOKUP($D371, regions_ub[], COLUMN(AL$1)-COLUMN($A$1), FALSE), VLOOKUP($A371,raw_ub[],COLUMN(AL$1)-COLUMN($A$1),FALSE))</f>
        <v>2.37201597563336E-3</v>
      </c>
      <c r="AL371" s="72">
        <f>IF(VLOOKUP($A371,raw_ub[],COLUMN(AM$1)-COLUMN($A$1),FALSE)=0, VLOOKUP($D371, regions_ub[], COLUMN(AM$1)-COLUMN($A$1), FALSE), VLOOKUP($A371,raw_ub[],COLUMN(AM$1)-COLUMN($A$1),FALSE))</f>
        <v>3.3433648981504365E-3</v>
      </c>
      <c r="AM371" s="72">
        <f>IF(VLOOKUP($A371,raw_ub[],COLUMN(AN$1)-COLUMN($A$1),FALSE)=0, VLOOKUP($D371, regions_ub[], COLUMN(AN$1)-COLUMN($A$1), FALSE), VLOOKUP($A371,raw_ub[],COLUMN(AN$1)-COLUMN($A$1),FALSE))</f>
        <v>4.9296437868407237E-3</v>
      </c>
      <c r="AN371" s="72">
        <f>IF(VLOOKUP($A371,raw_ub[],COLUMN(AO$1)-COLUMN($A$1),FALSE)=0, VLOOKUP($D371, regions_ub[], COLUMN(AO$1)-COLUMN($A$1), FALSE), VLOOKUP($A371,raw_ub[],COLUMN(AO$1)-COLUMN($A$1),FALSE))</f>
        <v>7.5127547656911068E-3</v>
      </c>
      <c r="AO371" s="72">
        <f>IF(VLOOKUP($A371,raw_ub[],COLUMN(AP$1)-COLUMN($A$1),FALSE)=0, VLOOKUP($D371, regions_ub[], COLUMN(AP$1)-COLUMN($A$1), FALSE), VLOOKUP($A371,raw_ub[],COLUMN(AP$1)-COLUMN($A$1),FALSE))</f>
        <v>1.1637091909780331E-2</v>
      </c>
      <c r="AP371" s="72">
        <f>IF(VLOOKUP($A371,raw_ub[],COLUMN(AQ$1)-COLUMN($A$1),FALSE)=0, VLOOKUP($D371, regions_ub[], COLUMN(AQ$1)-COLUMN($A$1), FALSE), VLOOKUP($A371,raw_ub[],COLUMN(AQ$1)-COLUMN($A$1),FALSE))</f>
        <v>1.8628526120419119E-2</v>
      </c>
      <c r="AQ371" s="72">
        <f>IF(VLOOKUP($A371,raw_ub[],COLUMN(AR$1)-COLUMN($A$1),FALSE)=0, VLOOKUP($D371, regions_ub[], COLUMN(AR$1)-COLUMN($A$1), FALSE), VLOOKUP($A371,raw_ub[],COLUMN(AR$1)-COLUMN($A$1),FALSE))</f>
        <v>2.9021238649259751E-2</v>
      </c>
      <c r="AR371" s="72">
        <f>IF(VLOOKUP($A371,raw_ub[],COLUMN(AS$1)-COLUMN($A$1),FALSE)=0, VLOOKUP($D371, regions_ub[], COLUMN(AS$1)-COLUMN($A$1), FALSE), VLOOKUP($A371,raw_ub[],COLUMN(AS$1)-COLUMN($A$1),FALSE))</f>
        <v>4.4277806492189549E-2</v>
      </c>
      <c r="AS371" s="72">
        <f>IF(VLOOKUP($A371,raw_ub[],COLUMN(AT$1)-COLUMN($A$1),FALSE)=0, VLOOKUP($D371, regions_ub[], COLUMN(AT$1)-COLUMN($A$1), FALSE), VLOOKUP($A371,raw_ub[],COLUMN(AT$1)-COLUMN($A$1),FALSE))</f>
        <v>6.70581995120276E-2</v>
      </c>
      <c r="AT371" s="82">
        <f>IF(VLOOKUP($A371,raw_ub[],COLUMN(AT$1),FALSE)=0, VLOOKUP($D371, regions_ub[], COLUMN(AT$1), FALSE), VLOOKUP($A371,raw_ub[],COLUMN(AT$1),FALSE))</f>
        <v>9.9138582817684159E-2</v>
      </c>
      <c r="AU371" s="82">
        <f>IF(VLOOKUP($A371,raw_ub[],COLUMN(AU$1),FALSE)=0, VLOOKUP($D371, regions_ub[], COLUMN(AU$1), FALSE), VLOOKUP($A371,raw_ub[],COLUMN(AU$1),FALSE))</f>
        <v>0.13863188325012804</v>
      </c>
      <c r="AV371" s="82">
        <f>IF(VLOOKUP($A371,raw_ub[],COLUMN(AV$1),FALSE)=0, VLOOKUP($D371, regions_ub[], COLUMN(AV$1), FALSE), VLOOKUP($A371,raw_ub[],COLUMN(AV$1),FALSE))</f>
        <v>0.17178126405684202</v>
      </c>
      <c r="AW371" s="82">
        <f>IF(VLOOKUP($A371,raw_ub[],COLUMN(AW$1),FALSE)=0, VLOOKUP($D371, regions_ub[], COLUMN(AW$1), FALSE), VLOOKUP($A371,raw_ub[],COLUMN(AW$1),FALSE))</f>
        <v>0.19023737618341166</v>
      </c>
      <c r="AX371" s="82">
        <f>IF(VLOOKUP($A371,raw_ub[],COLUMN(AX$1),FALSE)=0, VLOOKUP($D371, regions_ub[], COLUMN(AX$1), FALSE), VLOOKUP($A371,raw_ub[],COLUMN(AX$1),FALSE))</f>
        <v>70.367850000000004</v>
      </c>
      <c r="AY371" t="str">
        <f t="shared" si="12"/>
        <v>Yes</v>
      </c>
    </row>
    <row r="372" spans="1:51" x14ac:dyDescent="0.25">
      <c r="A372" s="53" t="s">
        <v>412</v>
      </c>
      <c r="B372" s="54" t="s">
        <v>413</v>
      </c>
      <c r="C372" s="54">
        <v>275</v>
      </c>
      <c r="D372" s="54" t="s">
        <v>196</v>
      </c>
      <c r="E372" s="54" t="s">
        <v>197</v>
      </c>
      <c r="F372" s="54" t="s">
        <v>197</v>
      </c>
      <c r="G372" s="54" t="s">
        <v>212</v>
      </c>
      <c r="H372" s="73"/>
      <c r="I372" s="73"/>
      <c r="J372" s="67">
        <f>IF(VLOOKUP($A372,raw_ub[],COLUMN(J$1),FALSE)=0, VLOOKUP($D372, regions_ub[], COLUMN(J$1), FALSE), VLOOKUP($A372,raw_ub[],COLUMN(J$1),FALSE))</f>
        <v>0.999</v>
      </c>
      <c r="K372" s="77">
        <f>VLOOKUP($A372, raw_ub[], 11, FALSE)</f>
        <v>0.999</v>
      </c>
      <c r="L372" s="77">
        <f>VLOOKUP($A372, raw_ub[], 12, FALSE)</f>
        <v>0.999</v>
      </c>
      <c r="M372" s="77">
        <f>IF(VLOOKUP($A372,raw_ub[],COLUMN(M$1),FALSE)=0, VLOOKUP($D372, regions_ub[], COLUMN(M$1), FALSE), VLOOKUP($A372,raw_ub[],COLUMN(M$1),FALSE))</f>
        <v>1.8980670946307378E-2</v>
      </c>
      <c r="N372" s="68">
        <f>IF(VLOOKUP($A372,raw_ub[],COLUMN(N$1),FALSE)=0, VLOOKUP($D372, regions_ub[], COLUMN(N$1), FALSE), VLOOKUP($A372,raw_ub[],COLUMN(N$1),FALSE))</f>
        <v>0.37626410299895763</v>
      </c>
      <c r="O372" s="67">
        <f>IF(VLOOKUP($A372,raw_ub[],COLUMN(O$1),FALSE)=0, VLOOKUP($D372, regions_ub[], COLUMN(O$1), FALSE), VLOOKUP($A372,raw_ub[],COLUMN(O$1),FALSE))</f>
        <v>0.9</v>
      </c>
      <c r="P372" s="68">
        <f>IF(VLOOKUP($A372,raw_ub[],COLUMN(P$1),FALSE)=0, VLOOKUP($D372, regions_ub[], COLUMN(P$1), FALSE), VLOOKUP($A372,raw_ub[],COLUMN(P$1),FALSE))</f>
        <v>0.3</v>
      </c>
      <c r="Q372" s="70">
        <f>IF(VLOOKUP($A372,raw_ub[],COLUMN(Q$1),FALSE)=0, VLOOKUP($D372, regions_ub[], COLUMN(Q$1), FALSE), VLOOKUP($A372,raw_ub[],COLUMN(Q$1),FALSE))</f>
        <v>16.115531541408856</v>
      </c>
      <c r="R372" s="70">
        <f>IF(VLOOKUP($A372,raw_ub[],COLUMN(R$1),FALSE)=0, VLOOKUP($D372, regions_ub[], COLUMN(R$1), FALSE), VLOOKUP($A372,raw_ub[],COLUMN(R$1),FALSE))</f>
        <v>125.10133154140887</v>
      </c>
      <c r="S372" s="70">
        <f>IF(VLOOKUP($A372,raw_ub[],COLUMN(S$1),FALSE)=0, VLOOKUP($D372, regions_ub[], COLUMN(S$1), FALSE), VLOOKUP($A372,raw_ub[],COLUMN(S$1),FALSE))</f>
        <v>183.32559742757255</v>
      </c>
      <c r="T372" s="70">
        <f>IF(VLOOKUP($A372,raw_ub[],COLUMN(U$1)-COLUMN($A$1),FALSE)=0, VLOOKUP($D372, regions_ub[], COLUMN(U$1)-COLUMN($A$1), FALSE), VLOOKUP($A372,raw_ub[],COLUMN(U$1)-COLUMN($A$1),FALSE))</f>
        <v>198.42130408894653</v>
      </c>
      <c r="U372" s="70">
        <f>IF(VLOOKUP($A372,raw_ub[],COLUMN(V$1)-COLUMN($A$1),FALSE)=0, VLOOKUP($D372, regions_ub[], COLUMN(V$1)-COLUMN($A$1), FALSE), VLOOKUP($A372,raw_ub[],COLUMN(V$1)-COLUMN($A$1),FALSE))</f>
        <v>191.48967467263284</v>
      </c>
      <c r="V372" s="70">
        <f>IF(VLOOKUP($A372,raw_ub[],COLUMN(W$1)-COLUMN($A$1),FALSE)=0, VLOOKUP($D372, regions_ub[], COLUMN(W$1)-COLUMN($A$1), FALSE), VLOOKUP($A372,raw_ub[],COLUMN(W$1)-COLUMN($A$1),FALSE))</f>
        <v>5.5600446020903922</v>
      </c>
      <c r="W372" s="70">
        <f>IF(VLOOKUP($A372,raw_ub[],COLUMN(X$1)-COLUMN($A$1),FALSE)=0, VLOOKUP($D372, regions_ub[], COLUMN(X$1)-COLUMN($A$1), FALSE), VLOOKUP($A372,raw_ub[],COLUMN(X$1)-COLUMN($A$1),FALSE))</f>
        <v>6.0765570143869274</v>
      </c>
      <c r="X372" s="70">
        <f>IF(VLOOKUP($A372,raw_ub[],COLUMN(Y$1)-COLUMN($A$1),FALSE)=0, VLOOKUP($D372, regions_ub[], COLUMN(Y$1)-COLUMN($A$1), FALSE), VLOOKUP($A372,raw_ub[],COLUMN(Y$1)-COLUMN($A$1),FALSE))</f>
        <v>5.5305255732143213</v>
      </c>
      <c r="Y372" s="70">
        <f>IF(VLOOKUP($A372,raw_ub[],COLUMN(Z$1)-COLUMN($A$1),FALSE)=0, VLOOKUP($D372, regions_ub[], COLUMN(Z$1)-COLUMN($A$1), FALSE), VLOOKUP($A372,raw_ub[],COLUMN(Z$1)-COLUMN($A$1),FALSE))</f>
        <v>6.0470379855108591</v>
      </c>
      <c r="Z372" s="70">
        <f>IF(VLOOKUP($A372,raw_ub[],COLUMN(AA$1)-COLUMN($A$1),FALSE)=0, VLOOKUP($D372, regions_ub[], COLUMN(AA$1)-COLUMN($A$1), FALSE), VLOOKUP($A372,raw_ub[],COLUMN(AA$1)-COLUMN($A$1),FALSE))</f>
        <v>6.030074383580815</v>
      </c>
      <c r="AA372" s="70">
        <f>IF(VLOOKUP($A372,raw_ub[],COLUMN(AB$1)-COLUMN($A$1),FALSE)=0, VLOOKUP($D372, regions_ub[], COLUMN(AB$1)-COLUMN($A$1), FALSE), VLOOKUP($A372,raw_ub[],COLUMN(AB$1)-COLUMN($A$1),FALSE))</f>
        <v>5.5668566856771751</v>
      </c>
      <c r="AB372" s="70">
        <f>IF(VLOOKUP($A372,raw_ub[],COLUMN(AC$1)-COLUMN($A$1),FALSE)=0, VLOOKUP($D372, regions_ub[], COLUMN(AC$1)-COLUMN($A$1), FALSE), VLOOKUP($A372,raw_ub[],COLUMN(AC$1)-COLUMN($A$1),FALSE))</f>
        <v>6.0833690979737129</v>
      </c>
      <c r="AC372" s="72">
        <f>IF(VLOOKUP($A372,raw_ub[],COLUMN(AD$1)-COLUMN($A$1),FALSE)=0, VLOOKUP($D372, regions_ub[], COLUMN(AD$1)-COLUMN($A$1), FALSE), VLOOKUP($A372,raw_ub[],COLUMN(AD$1)-COLUMN($A$1),FALSE))</f>
        <v>1.8333493500000062E-2</v>
      </c>
      <c r="AD372" s="72">
        <f>IF(VLOOKUP($A372,raw_ub[],COLUMN(AE$1)-COLUMN($A$1),FALSE)=0, VLOOKUP($D372, regions_ub[], COLUMN(AE$1)-COLUMN($A$1), FALSE), VLOOKUP($A372,raw_ub[],COLUMN(AE$1)-COLUMN($A$1),FALSE))</f>
        <v>7.7777557713120185E-4</v>
      </c>
      <c r="AE372" s="72">
        <f>IF(VLOOKUP($A372,raw_ub[],COLUMN(AF$1)-COLUMN($A$1),FALSE)=0, VLOOKUP($D372, regions_ub[], COLUMN(AF$1)-COLUMN($A$1), FALSE), VLOOKUP($A372,raw_ub[],COLUMN(AF$1)-COLUMN($A$1),FALSE))</f>
        <v>3.6304126408925647E-4</v>
      </c>
      <c r="AF372" s="72">
        <f>IF(VLOOKUP($A372,raw_ub[],COLUMN(AG$1)-COLUMN($A$1),FALSE)=0, VLOOKUP($D372, regions_ub[], COLUMN(AG$1)-COLUMN($A$1), FALSE), VLOOKUP($A372,raw_ub[],COLUMN(AG$1)-COLUMN($A$1),FALSE))</f>
        <v>3.043871760934072E-4</v>
      </c>
      <c r="AG372" s="72">
        <f>IF(VLOOKUP($A372,raw_ub[],COLUMN(AH$1)-COLUMN($A$1),FALSE)=0, VLOOKUP($D372, regions_ub[], COLUMN(AH$1)-COLUMN($A$1), FALSE), VLOOKUP($A372,raw_ub[],COLUMN(AH$1)-COLUMN($A$1),FALSE))</f>
        <v>5.6220080406564816E-4</v>
      </c>
      <c r="AH372" s="72">
        <f>IF(VLOOKUP($A372,raw_ub[],COLUMN(AI$1)-COLUMN($A$1),FALSE)=0, VLOOKUP($D372, regions_ub[], COLUMN(AI$1)-COLUMN($A$1), FALSE), VLOOKUP($A372,raw_ub[],COLUMN(AI$1)-COLUMN($A$1),FALSE))</f>
        <v>7.8587713560795177E-4</v>
      </c>
      <c r="AI372" s="72">
        <f>IF(VLOOKUP($A372,raw_ub[],COLUMN(AJ$1)-COLUMN($A$1),FALSE)=0, VLOOKUP($D372, regions_ub[], COLUMN(AJ$1)-COLUMN($A$1), FALSE), VLOOKUP($A372,raw_ub[],COLUMN(AJ$1)-COLUMN($A$1),FALSE))</f>
        <v>8.4716979360521176E-4</v>
      </c>
      <c r="AJ372" s="72">
        <f>IF(VLOOKUP($A372,raw_ub[],COLUMN(AK$1)-COLUMN($A$1),FALSE)=0, VLOOKUP($D372, regions_ub[], COLUMN(AK$1)-COLUMN($A$1), FALSE), VLOOKUP($A372,raw_ub[],COLUMN(AK$1)-COLUMN($A$1),FALSE))</f>
        <v>9.9932650293776113E-4</v>
      </c>
      <c r="AK372" s="72">
        <f>IF(VLOOKUP($A372,raw_ub[],COLUMN(AL$1)-COLUMN($A$1),FALSE)=0, VLOOKUP($D372, regions_ub[], COLUMN(AL$1)-COLUMN($A$1), FALSE), VLOOKUP($A372,raw_ub[],COLUMN(AL$1)-COLUMN($A$1),FALSE))</f>
        <v>1.3356998771681531E-3</v>
      </c>
      <c r="AL372" s="72">
        <f>IF(VLOOKUP($A372,raw_ub[],COLUMN(AM$1)-COLUMN($A$1),FALSE)=0, VLOOKUP($D372, regions_ub[], COLUMN(AM$1)-COLUMN($A$1), FALSE), VLOOKUP($A372,raw_ub[],COLUMN(AM$1)-COLUMN($A$1),FALSE))</f>
        <v>2.0208929928033957E-3</v>
      </c>
      <c r="AM372" s="72">
        <f>IF(VLOOKUP($A372,raw_ub[],COLUMN(AN$1)-COLUMN($A$1),FALSE)=0, VLOOKUP($D372, regions_ub[], COLUMN(AN$1)-COLUMN($A$1), FALSE), VLOOKUP($A372,raw_ub[],COLUMN(AN$1)-COLUMN($A$1),FALSE))</f>
        <v>3.373602566345381E-3</v>
      </c>
      <c r="AN372" s="72">
        <f>IF(VLOOKUP($A372,raw_ub[],COLUMN(AO$1)-COLUMN($A$1),FALSE)=0, VLOOKUP($D372, regions_ub[], COLUMN(AO$1)-COLUMN($A$1), FALSE), VLOOKUP($A372,raw_ub[],COLUMN(AO$1)-COLUMN($A$1),FALSE))</f>
        <v>5.4799534004566991E-3</v>
      </c>
      <c r="AO372" s="72">
        <f>IF(VLOOKUP($A372,raw_ub[],COLUMN(AP$1)-COLUMN($A$1),FALSE)=0, VLOOKUP($D372, regions_ub[], COLUMN(AP$1)-COLUMN($A$1), FALSE), VLOOKUP($A372,raw_ub[],COLUMN(AP$1)-COLUMN($A$1),FALSE))</f>
        <v>9.0294380720136579E-3</v>
      </c>
      <c r="AP372" s="72">
        <f>IF(VLOOKUP($A372,raw_ub[],COLUMN(AQ$1)-COLUMN($A$1),FALSE)=0, VLOOKUP($D372, regions_ub[], COLUMN(AQ$1)-COLUMN($A$1), FALSE), VLOOKUP($A372,raw_ub[],COLUMN(AQ$1)-COLUMN($A$1),FALSE))</f>
        <v>1.4424106704932039E-2</v>
      </c>
      <c r="AQ372" s="72">
        <f>IF(VLOOKUP($A372,raw_ub[],COLUMN(AR$1)-COLUMN($A$1),FALSE)=0, VLOOKUP($D372, regions_ub[], COLUMN(AR$1)-COLUMN($A$1), FALSE), VLOOKUP($A372,raw_ub[],COLUMN(AR$1)-COLUMN($A$1),FALSE))</f>
        <v>2.385603653397635E-2</v>
      </c>
      <c r="AR372" s="72">
        <f>IF(VLOOKUP($A372,raw_ub[],COLUMN(AS$1)-COLUMN($A$1),FALSE)=0, VLOOKUP($D372, regions_ub[], COLUMN(AS$1)-COLUMN($A$1), FALSE), VLOOKUP($A372,raw_ub[],COLUMN(AS$1)-COLUMN($A$1),FALSE))</f>
        <v>3.8996120809076787E-2</v>
      </c>
      <c r="AS372" s="72">
        <f>IF(VLOOKUP($A372,raw_ub[],COLUMN(AT$1)-COLUMN($A$1),FALSE)=0, VLOOKUP($D372, regions_ub[], COLUMN(AT$1)-COLUMN($A$1), FALSE), VLOOKUP($A372,raw_ub[],COLUMN(AT$1)-COLUMN($A$1),FALSE))</f>
        <v>6.1425810721154231E-2</v>
      </c>
      <c r="AT372" s="82">
        <f>IF(VLOOKUP($A372,raw_ub[],COLUMN(AT$1),FALSE)=0, VLOOKUP($D372, regions_ub[], COLUMN(AT$1), FALSE), VLOOKUP($A372,raw_ub[],COLUMN(AT$1),FALSE))</f>
        <v>9.3868040908042391E-2</v>
      </c>
      <c r="AU372" s="82">
        <f>IF(VLOOKUP($A372,raw_ub[],COLUMN(AU$1),FALSE)=0, VLOOKUP($D372, regions_ub[], COLUMN(AU$1), FALSE), VLOOKUP($A372,raw_ub[],COLUMN(AU$1),FALSE))</f>
        <v>0.13085606737825306</v>
      </c>
      <c r="AV372" s="82">
        <f>IF(VLOOKUP($A372,raw_ub[],COLUMN(AV$1),FALSE)=0, VLOOKUP($D372, regions_ub[], COLUMN(AV$1), FALSE), VLOOKUP($A372,raw_ub[],COLUMN(AV$1),FALSE))</f>
        <v>0.16267174375891894</v>
      </c>
      <c r="AW372" s="82">
        <f>IF(VLOOKUP($A372,raw_ub[],COLUMN(AW$1),FALSE)=0, VLOOKUP($D372, regions_ub[], COLUMN(AW$1), FALSE), VLOOKUP($A372,raw_ub[],COLUMN(AW$1),FALSE))</f>
        <v>0.18483485301367081</v>
      </c>
      <c r="AX372" s="82">
        <f>IF(VLOOKUP($A372,raw_ub[],COLUMN(AX$1),FALSE)=0, VLOOKUP($D372, regions_ub[], COLUMN(AX$1), FALSE), VLOOKUP($A372,raw_ub[],COLUMN(AX$1),FALSE))</f>
        <v>77.506800000000013</v>
      </c>
      <c r="AY372" t="str">
        <f t="shared" si="12"/>
        <v>No</v>
      </c>
    </row>
    <row r="373" spans="1:51" x14ac:dyDescent="0.25">
      <c r="A373" s="55" t="s">
        <v>414</v>
      </c>
      <c r="B373" s="56" t="s">
        <v>415</v>
      </c>
      <c r="C373" s="56">
        <v>598</v>
      </c>
      <c r="D373" s="56" t="s">
        <v>260</v>
      </c>
      <c r="E373" s="56" t="s">
        <v>309</v>
      </c>
      <c r="F373" s="56" t="s">
        <v>262</v>
      </c>
      <c r="G373" s="56" t="s">
        <v>212</v>
      </c>
      <c r="H373" s="74"/>
      <c r="I373" s="74"/>
      <c r="J373" s="67">
        <f>IF(VLOOKUP($A373,raw_ub[],COLUMN(J$1),FALSE)=0, VLOOKUP($D373, regions_ub[], COLUMN(J$1), FALSE), VLOOKUP($A373,raw_ub[],COLUMN(J$1),FALSE))</f>
        <v>0.57435000000000003</v>
      </c>
      <c r="K373" s="77">
        <f>VLOOKUP($A373, raw_ub[], 11, FALSE)</f>
        <v>0.252</v>
      </c>
      <c r="L373" s="77">
        <f>VLOOKUP($A373, raw_ub[], 12, FALSE)</f>
        <v>0.40950000000000003</v>
      </c>
      <c r="M373" s="77">
        <f>IF(VLOOKUP($A373,raw_ub[],COLUMN(M$1),FALSE)=0, VLOOKUP($D373, regions_ub[], COLUMN(M$1), FALSE), VLOOKUP($A373,raw_ub[],COLUMN(M$1),FALSE))</f>
        <v>6.6100000000000006E-2</v>
      </c>
      <c r="N373" s="68">
        <f>IF(VLOOKUP($A373,raw_ub[],COLUMN(N$1),FALSE)=0, VLOOKUP($D373, regions_ub[], COLUMN(N$1), FALSE), VLOOKUP($A373,raw_ub[],COLUMN(N$1),FALSE))</f>
        <v>0.47889999999999999</v>
      </c>
      <c r="O373" s="67">
        <f>IF(VLOOKUP($A373,raw_ub[],COLUMN(O$1),FALSE)=0, VLOOKUP($D373, regions_ub[], COLUMN(O$1), FALSE), VLOOKUP($A373,raw_ub[],COLUMN(O$1),FALSE))</f>
        <v>0.9</v>
      </c>
      <c r="P373" s="68">
        <f>IF(VLOOKUP($A373,raw_ub[],COLUMN(P$1),FALSE)=0, VLOOKUP($D373, regions_ub[], COLUMN(P$1), FALSE), VLOOKUP($A373,raw_ub[],COLUMN(P$1),FALSE))</f>
        <v>0.3</v>
      </c>
      <c r="Q373" s="70">
        <f>IF(VLOOKUP($A373,raw_ub[],COLUMN(Q$1),FALSE)=0, VLOOKUP($D373, regions_ub[], COLUMN(Q$1), FALSE), VLOOKUP($A373,raw_ub[],COLUMN(Q$1),FALSE))</f>
        <v>12.517533333333331</v>
      </c>
      <c r="R373" s="70">
        <f>IF(VLOOKUP($A373,raw_ub[],COLUMN(R$1),FALSE)=0, VLOOKUP($D373, regions_ub[], COLUMN(R$1), FALSE), VLOOKUP($A373,raw_ub[],COLUMN(R$1),FALSE))</f>
        <v>121.50333333333334</v>
      </c>
      <c r="S373" s="70">
        <f>IF(VLOOKUP($A373,raw_ub[],COLUMN(S$1),FALSE)=0, VLOOKUP($D373, regions_ub[], COLUMN(S$1), FALSE), VLOOKUP($A373,raw_ub[],COLUMN(S$1),FALSE))</f>
        <v>162.52113300948417</v>
      </c>
      <c r="T373" s="70">
        <f>IF(VLOOKUP($A373,raw_ub[],COLUMN(U$1)-COLUMN($A$1),FALSE)=0, VLOOKUP($D373, regions_ub[], COLUMN(U$1)-COLUMN($A$1), FALSE), VLOOKUP($A373,raw_ub[],COLUMN(U$1)-COLUMN($A$1),FALSE))</f>
        <v>168.66147539428439</v>
      </c>
      <c r="U373" s="70">
        <f>IF(VLOOKUP($A373,raw_ub[],COLUMN(V$1)-COLUMN($A$1),FALSE)=0, VLOOKUP($D373, regions_ub[], COLUMN(V$1)-COLUMN($A$1), FALSE), VLOOKUP($A373,raw_ub[],COLUMN(V$1)-COLUMN($A$1),FALSE))</f>
        <v>165.84195996148748</v>
      </c>
      <c r="V373" s="70">
        <f>IF(VLOOKUP($A373,raw_ub[],COLUMN(W$1)-COLUMN($A$1),FALSE)=0, VLOOKUP($D373, regions_ub[], COLUMN(W$1)-COLUMN($A$1), FALSE), VLOOKUP($A373,raw_ub[],COLUMN(W$1)-COLUMN($A$1),FALSE))</f>
        <v>3.9623007569686428</v>
      </c>
      <c r="W373" s="70">
        <f>IF(VLOOKUP($A373,raw_ub[],COLUMN(X$1)-COLUMN($A$1),FALSE)=0, VLOOKUP($D373, regions_ub[], COLUMN(X$1)-COLUMN($A$1), FALSE), VLOOKUP($A373,raw_ub[],COLUMN(X$1)-COLUMN($A$1),FALSE))</f>
        <v>4.6238007569686426</v>
      </c>
      <c r="X373" s="70">
        <f>IF(VLOOKUP($A373,raw_ub[],COLUMN(Y$1)-COLUMN($A$1),FALSE)=0, VLOOKUP($D373, regions_ub[], COLUMN(Y$1)-COLUMN($A$1), FALSE), VLOOKUP($A373,raw_ub[],COLUMN(Y$1)-COLUMN($A$1),FALSE))</f>
        <v>3.9324309003964926</v>
      </c>
      <c r="Y373" s="70">
        <f>IF(VLOOKUP($A373,raw_ub[],COLUMN(Z$1)-COLUMN($A$1),FALSE)=0, VLOOKUP($D373, regions_ub[], COLUMN(Z$1)-COLUMN($A$1), FALSE), VLOOKUP($A373,raw_ub[],COLUMN(Z$1)-COLUMN($A$1),FALSE))</f>
        <v>4.5939309003964928</v>
      </c>
      <c r="Z373" s="70">
        <f>IF(VLOOKUP($A373,raw_ub[],COLUMN(AA$1)-COLUMN($A$1),FALSE)=0, VLOOKUP($D373, regions_ub[], COLUMN(AA$1)-COLUMN($A$1), FALSE), VLOOKUP($A373,raw_ub[],COLUMN(AA$1)-COLUMN($A$1),FALSE))</f>
        <v>4.5775918335536065</v>
      </c>
      <c r="AA373" s="70">
        <f>IF(VLOOKUP($A373,raw_ub[],COLUMN(AB$1)-COLUMN($A$1),FALSE)=0, VLOOKUP($D373, regions_ub[], COLUMN(AB$1)-COLUMN($A$1), FALSE), VLOOKUP($A373,raw_ub[],COLUMN(AB$1)-COLUMN($A$1),FALSE))</f>
        <v>3.9691938007929854</v>
      </c>
      <c r="AB373" s="70">
        <f>IF(VLOOKUP($A373,raw_ub[],COLUMN(AC$1)-COLUMN($A$1),FALSE)=0, VLOOKUP($D373, regions_ub[], COLUMN(AC$1)-COLUMN($A$1), FALSE), VLOOKUP($A373,raw_ub[],COLUMN(AC$1)-COLUMN($A$1),FALSE))</f>
        <v>4.6306938007929856</v>
      </c>
      <c r="AC373" s="72">
        <f>IF(VLOOKUP($A373,raw_ub[],COLUMN(AD$1)-COLUMN($A$1),FALSE)=0, VLOOKUP($D373, regions_ub[], COLUMN(AD$1)-COLUMN($A$1), FALSE), VLOOKUP($A373,raw_ub[],COLUMN(AD$1)-COLUMN($A$1),FALSE))</f>
        <v>4.405847249999998E-2</v>
      </c>
      <c r="AD373" s="72">
        <f>IF(VLOOKUP($A373,raw_ub[],COLUMN(AE$1)-COLUMN($A$1),FALSE)=0, VLOOKUP($D373, regions_ub[], COLUMN(AE$1)-COLUMN($A$1), FALSE), VLOOKUP($A373,raw_ub[],COLUMN(AE$1)-COLUMN($A$1),FALSE))</f>
        <v>3.03119362347827E-3</v>
      </c>
      <c r="AE373" s="72">
        <f>IF(VLOOKUP($A373,raw_ub[],COLUMN(AF$1)-COLUMN($A$1),FALSE)=0, VLOOKUP($D373, regions_ub[], COLUMN(AF$1)-COLUMN($A$1), FALSE), VLOOKUP($A373,raw_ub[],COLUMN(AF$1)-COLUMN($A$1),FALSE))</f>
        <v>1.2297920578149789E-3</v>
      </c>
      <c r="AF373" s="72">
        <f>IF(VLOOKUP($A373,raw_ub[],COLUMN(AG$1)-COLUMN($A$1),FALSE)=0, VLOOKUP($D373, regions_ub[], COLUMN(AG$1)-COLUMN($A$1), FALSE), VLOOKUP($A373,raw_ub[],COLUMN(AG$1)-COLUMN($A$1),FALSE))</f>
        <v>9.7104510172090213E-4</v>
      </c>
      <c r="AG373" s="72">
        <f>IF(VLOOKUP($A373,raw_ub[],COLUMN(AH$1)-COLUMN($A$1),FALSE)=0, VLOOKUP($D373, regions_ub[], COLUMN(AH$1)-COLUMN($A$1), FALSE), VLOOKUP($A373,raw_ub[],COLUMN(AH$1)-COLUMN($A$1),FALSE))</f>
        <v>1.7595462507148725E-3</v>
      </c>
      <c r="AH373" s="72">
        <f>IF(VLOOKUP($A373,raw_ub[],COLUMN(AI$1)-COLUMN($A$1),FALSE)=0, VLOOKUP($D373, regions_ub[], COLUMN(AI$1)-COLUMN($A$1), FALSE), VLOOKUP($A373,raw_ub[],COLUMN(AI$1)-COLUMN($A$1),FALSE))</f>
        <v>2.3735883228267951E-3</v>
      </c>
      <c r="AI373" s="72">
        <f>IF(VLOOKUP($A373,raw_ub[],COLUMN(AJ$1)-COLUMN($A$1),FALSE)=0, VLOOKUP($D373, regions_ub[], COLUMN(AJ$1)-COLUMN($A$1), FALSE), VLOOKUP($A373,raw_ub[],COLUMN(AJ$1)-COLUMN($A$1),FALSE))</f>
        <v>2.5794803963847886E-3</v>
      </c>
      <c r="AJ373" s="72">
        <f>IF(VLOOKUP($A373,raw_ub[],COLUMN(AK$1)-COLUMN($A$1),FALSE)=0, VLOOKUP($D373, regions_ub[], COLUMN(AK$1)-COLUMN($A$1), FALSE), VLOOKUP($A373,raw_ub[],COLUMN(AK$1)-COLUMN($A$1),FALSE))</f>
        <v>2.9988667000573816E-3</v>
      </c>
      <c r="AK373" s="72">
        <f>IF(VLOOKUP($A373,raw_ub[],COLUMN(AL$1)-COLUMN($A$1),FALSE)=0, VLOOKUP($D373, regions_ub[], COLUMN(AL$1)-COLUMN($A$1), FALSE), VLOOKUP($A373,raw_ub[],COLUMN(AL$1)-COLUMN($A$1),FALSE))</f>
        <v>3.8246633108025225E-3</v>
      </c>
      <c r="AL373" s="72">
        <f>IF(VLOOKUP($A373,raw_ub[],COLUMN(AM$1)-COLUMN($A$1),FALSE)=0, VLOOKUP($D373, regions_ub[], COLUMN(AM$1)-COLUMN($A$1), FALSE), VLOOKUP($A373,raw_ub[],COLUMN(AM$1)-COLUMN($A$1),FALSE))</f>
        <v>5.1034100160954792E-3</v>
      </c>
      <c r="AM373" s="72">
        <f>IF(VLOOKUP($A373,raw_ub[],COLUMN(AN$1)-COLUMN($A$1),FALSE)=0, VLOOKUP($D373, regions_ub[], COLUMN(AN$1)-COLUMN($A$1), FALSE), VLOOKUP($A373,raw_ub[],COLUMN(AN$1)-COLUMN($A$1),FALSE))</f>
        <v>7.2077630159116035E-3</v>
      </c>
      <c r="AN373" s="72">
        <f>IF(VLOOKUP($A373,raw_ub[],COLUMN(AO$1)-COLUMN($A$1),FALSE)=0, VLOOKUP($D373, regions_ub[], COLUMN(AO$1)-COLUMN($A$1), FALSE), VLOOKUP($A373,raw_ub[],COLUMN(AO$1)-COLUMN($A$1),FALSE))</f>
        <v>1.0489755547877224E-2</v>
      </c>
      <c r="AO373" s="72">
        <f>IF(VLOOKUP($A373,raw_ub[],COLUMN(AP$1)-COLUMN($A$1),FALSE)=0, VLOOKUP($D373, regions_ub[], COLUMN(AP$1)-COLUMN($A$1), FALSE), VLOOKUP($A373,raw_ub[],COLUMN(AP$1)-COLUMN($A$1),FALSE))</f>
        <v>1.5400901755609332E-2</v>
      </c>
      <c r="AP373" s="72">
        <f>IF(VLOOKUP($A373,raw_ub[],COLUMN(AQ$1)-COLUMN($A$1),FALSE)=0, VLOOKUP($D373, regions_ub[], COLUMN(AQ$1)-COLUMN($A$1), FALSE), VLOOKUP($A373,raw_ub[],COLUMN(AQ$1)-COLUMN($A$1),FALSE))</f>
        <v>2.5488614353958279E-2</v>
      </c>
      <c r="AQ373" s="72">
        <f>IF(VLOOKUP($A373,raw_ub[],COLUMN(AR$1)-COLUMN($A$1),FALSE)=0, VLOOKUP($D373, regions_ub[], COLUMN(AR$1)-COLUMN($A$1), FALSE), VLOOKUP($A373,raw_ub[],COLUMN(AR$1)-COLUMN($A$1),FALSE))</f>
        <v>4.1881185408583425E-2</v>
      </c>
      <c r="AR373" s="72">
        <f>IF(VLOOKUP($A373,raw_ub[],COLUMN(AS$1)-COLUMN($A$1),FALSE)=0, VLOOKUP($D373, regions_ub[], COLUMN(AS$1)-COLUMN($A$1), FALSE), VLOOKUP($A373,raw_ub[],COLUMN(AS$1)-COLUMN($A$1),FALSE))</f>
        <v>6.5071687443200424E-2</v>
      </c>
      <c r="AS373" s="72">
        <f>IF(VLOOKUP($A373,raw_ub[],COLUMN(AT$1)-COLUMN($A$1),FALSE)=0, VLOOKUP($D373, regions_ub[], COLUMN(AT$1)-COLUMN($A$1), FALSE), VLOOKUP($A373,raw_ub[],COLUMN(AT$1)-COLUMN($A$1),FALSE))</f>
        <v>9.4105646333746379E-2</v>
      </c>
      <c r="AT373" s="82">
        <f>IF(VLOOKUP($A373,raw_ub[],COLUMN(AT$1),FALSE)=0, VLOOKUP($D373, regions_ub[], COLUMN(AT$1), FALSE), VLOOKUP($A373,raw_ub[],COLUMN(AT$1),FALSE))</f>
        <v>0.12784274308655114</v>
      </c>
      <c r="AU373" s="82">
        <f>IF(VLOOKUP($A373,raw_ub[],COLUMN(AU$1),FALSE)=0, VLOOKUP($D373, regions_ub[], COLUMN(AU$1), FALSE), VLOOKUP($A373,raw_ub[],COLUMN(AU$1),FALSE))</f>
        <v>0.1607844487902659</v>
      </c>
      <c r="AV373" s="82">
        <f>IF(VLOOKUP($A373,raw_ub[],COLUMN(AV$1),FALSE)=0, VLOOKUP($D373, regions_ub[], COLUMN(AV$1), FALSE), VLOOKUP($A373,raw_ub[],COLUMN(AV$1),FALSE))</f>
        <v>0.18368851298036062</v>
      </c>
      <c r="AW373" s="82">
        <f>IF(VLOOKUP($A373,raw_ub[],COLUMN(AW$1),FALSE)=0, VLOOKUP($D373, regions_ub[], COLUMN(AW$1), FALSE), VLOOKUP($A373,raw_ub[],COLUMN(AW$1),FALSE))</f>
        <v>0.19574218075663177</v>
      </c>
      <c r="AX373" s="82">
        <f>IF(VLOOKUP($A373,raw_ub[],COLUMN(AX$1),FALSE)=0, VLOOKUP($D373, regions_ub[], COLUMN(AX$1), FALSE), VLOOKUP($A373,raw_ub[],COLUMN(AX$1),FALSE))</f>
        <v>67.358549999999994</v>
      </c>
      <c r="AY373" t="str">
        <f t="shared" si="12"/>
        <v>No</v>
      </c>
    </row>
    <row r="374" spans="1:51" x14ac:dyDescent="0.25">
      <c r="A374" s="53" t="s">
        <v>416</v>
      </c>
      <c r="B374" s="54" t="s">
        <v>417</v>
      </c>
      <c r="C374" s="54">
        <v>600</v>
      </c>
      <c r="D374" s="54" t="s">
        <v>215</v>
      </c>
      <c r="E374" s="54" t="s">
        <v>248</v>
      </c>
      <c r="F374" s="54" t="s">
        <v>217</v>
      </c>
      <c r="G374" s="54" t="s">
        <v>204</v>
      </c>
      <c r="H374" s="73"/>
      <c r="I374" s="73"/>
      <c r="J374" s="67">
        <f>IF(VLOOKUP($A374,raw_ub[],COLUMN(J$1),FALSE)=0, VLOOKUP($D374, regions_ub[], COLUMN(J$1), FALSE), VLOOKUP($A374,raw_ub[],COLUMN(J$1),FALSE))</f>
        <v>0.97860000000000014</v>
      </c>
      <c r="K374" s="77">
        <f>VLOOKUP($A374, raw_ub[], 11, FALSE)</f>
        <v>0</v>
      </c>
      <c r="L374" s="77">
        <f>VLOOKUP($A374, raw_ub[], 12, FALSE)</f>
        <v>0.82950000000000013</v>
      </c>
      <c r="M374" s="77">
        <f>IF(VLOOKUP($A374,raw_ub[],COLUMN(M$1),FALSE)=0, VLOOKUP($D374, regions_ub[], COLUMN(M$1), FALSE), VLOOKUP($A374,raw_ub[],COLUMN(M$1),FALSE))</f>
        <v>9.6000000000000002E-2</v>
      </c>
      <c r="N374" s="68">
        <f>IF(VLOOKUP($A374,raw_ub[],COLUMN(N$1),FALSE)=0, VLOOKUP($D374, regions_ub[], COLUMN(N$1), FALSE), VLOOKUP($A374,raw_ub[],COLUMN(N$1),FALSE))</f>
        <v>0.433</v>
      </c>
      <c r="O374" s="67">
        <f>IF(VLOOKUP($A374,raw_ub[],COLUMN(O$1),FALSE)=0, VLOOKUP($D374, regions_ub[], COLUMN(O$1), FALSE), VLOOKUP($A374,raw_ub[],COLUMN(O$1),FALSE))</f>
        <v>0.9</v>
      </c>
      <c r="P374" s="68">
        <f>IF(VLOOKUP($A374,raw_ub[],COLUMN(P$1),FALSE)=0, VLOOKUP($D374, regions_ub[], COLUMN(P$1), FALSE), VLOOKUP($A374,raw_ub[],COLUMN(P$1),FALSE))</f>
        <v>0.3</v>
      </c>
      <c r="Q374" s="70">
        <f>IF(VLOOKUP($A374,raw_ub[],COLUMN(Q$1),FALSE)=0, VLOOKUP($D374, regions_ub[], COLUMN(Q$1), FALSE), VLOOKUP($A374,raw_ub[],COLUMN(Q$1),FALSE))</f>
        <v>15.7220535080956</v>
      </c>
      <c r="R374" s="70">
        <f>IF(VLOOKUP($A374,raw_ub[],COLUMN(R$1),FALSE)=0, VLOOKUP($D374, regions_ub[], COLUMN(R$1), FALSE), VLOOKUP($A374,raw_ub[],COLUMN(R$1),FALSE))</f>
        <v>124.70785350809561</v>
      </c>
      <c r="S374" s="70">
        <f>IF(VLOOKUP($A374,raw_ub[],COLUMN(S$1),FALSE)=0, VLOOKUP($D374, regions_ub[], COLUMN(S$1), FALSE), VLOOKUP($A374,raw_ub[],COLUMN(S$1),FALSE))</f>
        <v>177.69299148207816</v>
      </c>
      <c r="T374" s="70">
        <f>IF(VLOOKUP($A374,raw_ub[],COLUMN(U$1)-COLUMN($A$1),FALSE)=0, VLOOKUP($D374, regions_ub[], COLUMN(U$1)-COLUMN($A$1), FALSE), VLOOKUP($A374,raw_ub[],COLUMN(U$1)-COLUMN($A$1),FALSE))</f>
        <v>190.06191517869414</v>
      </c>
      <c r="U374" s="70">
        <f>IF(VLOOKUP($A374,raw_ub[],COLUMN(V$1)-COLUMN($A$1),FALSE)=0, VLOOKUP($D374, regions_ub[], COLUMN(V$1)-COLUMN($A$1), FALSE), VLOOKUP($A374,raw_ub[],COLUMN(V$1)-COLUMN($A$1),FALSE))</f>
        <v>184.38236686294809</v>
      </c>
      <c r="V374" s="70">
        <f>IF(VLOOKUP($A374,raw_ub[],COLUMN(W$1)-COLUMN($A$1),FALSE)=0, VLOOKUP($D374, regions_ub[], COLUMN(W$1)-COLUMN($A$1), FALSE), VLOOKUP($A374,raw_ub[],COLUMN(W$1)-COLUMN($A$1),FALSE))</f>
        <v>8.7764027748571252</v>
      </c>
      <c r="W374" s="70">
        <f>IF(VLOOKUP($A374,raw_ub[],COLUMN(X$1)-COLUMN($A$1),FALSE)=0, VLOOKUP($D374, regions_ub[], COLUMN(X$1)-COLUMN($A$1), FALSE), VLOOKUP($A374,raw_ub[],COLUMN(X$1)-COLUMN($A$1),FALSE))</f>
        <v>8.797402774857126</v>
      </c>
      <c r="X374" s="70">
        <f>IF(VLOOKUP($A374,raw_ub[],COLUMN(Y$1)-COLUMN($A$1),FALSE)=0, VLOOKUP($D374, regions_ub[], COLUMN(Y$1)-COLUMN($A$1), FALSE), VLOOKUP($A374,raw_ub[],COLUMN(Y$1)-COLUMN($A$1),FALSE))</f>
        <v>8.7459949792315168</v>
      </c>
      <c r="Y374" s="70">
        <f>IF(VLOOKUP($A374,raw_ub[],COLUMN(Z$1)-COLUMN($A$1),FALSE)=0, VLOOKUP($D374, regions_ub[], COLUMN(Z$1)-COLUMN($A$1), FALSE), VLOOKUP($A374,raw_ub[],COLUMN(Z$1)-COLUMN($A$1),FALSE))</f>
        <v>8.7669949792315176</v>
      </c>
      <c r="Z374" s="70">
        <f>IF(VLOOKUP($A374,raw_ub[],COLUMN(AA$1)-COLUMN($A$1),FALSE)=0, VLOOKUP($D374, regions_ub[], COLUMN(AA$1)-COLUMN($A$1), FALSE), VLOOKUP($A374,raw_ub[],COLUMN(AA$1)-COLUMN($A$1),FALSE))</f>
        <v>8.749636032680824</v>
      </c>
      <c r="AA374" s="70">
        <f>IF(VLOOKUP($A374,raw_ub[],COLUMN(AB$1)-COLUMN($A$1),FALSE)=0, VLOOKUP($D374, regions_ub[], COLUMN(AB$1)-COLUMN($A$1), FALSE), VLOOKUP($A374,raw_ub[],COLUMN(AB$1)-COLUMN($A$1),FALSE))</f>
        <v>8.7834199584630355</v>
      </c>
      <c r="AB374" s="70">
        <f>IF(VLOOKUP($A374,raw_ub[],COLUMN(AC$1)-COLUMN($A$1),FALSE)=0, VLOOKUP($D374, regions_ub[], COLUMN(AC$1)-COLUMN($A$1), FALSE), VLOOKUP($A374,raw_ub[],COLUMN(AC$1)-COLUMN($A$1),FALSE))</f>
        <v>8.8044199584630363</v>
      </c>
      <c r="AC374" s="72">
        <f>IF(VLOOKUP($A374,raw_ub[],COLUMN(AD$1)-COLUMN($A$1),FALSE)=0, VLOOKUP($D374, regions_ub[], COLUMN(AD$1)-COLUMN($A$1), FALSE), VLOOKUP($A374,raw_ub[],COLUMN(AD$1)-COLUMN($A$1),FALSE))</f>
        <v>1.9976155499999947E-2</v>
      </c>
      <c r="AD374" s="72">
        <f>IF(VLOOKUP($A374,raw_ub[],COLUMN(AE$1)-COLUMN($A$1),FALSE)=0, VLOOKUP($D374, regions_ub[], COLUMN(AE$1)-COLUMN($A$1), FALSE), VLOOKUP($A374,raw_ub[],COLUMN(AE$1)-COLUMN($A$1),FALSE))</f>
        <v>6.592395990401873E-4</v>
      </c>
      <c r="AE374" s="72">
        <f>IF(VLOOKUP($A374,raw_ub[],COLUMN(AF$1)-COLUMN($A$1),FALSE)=0, VLOOKUP($D374, regions_ub[], COLUMN(AF$1)-COLUMN($A$1), FALSE), VLOOKUP($A374,raw_ub[],COLUMN(AF$1)-COLUMN($A$1),FALSE))</f>
        <v>5.7916826893027835E-4</v>
      </c>
      <c r="AF374" s="72">
        <f>IF(VLOOKUP($A374,raw_ub[],COLUMN(AG$1)-COLUMN($A$1),FALSE)=0, VLOOKUP($D374, regions_ub[], COLUMN(AG$1)-COLUMN($A$1), FALSE), VLOOKUP($A374,raw_ub[],COLUMN(AG$1)-COLUMN($A$1),FALSE))</f>
        <v>4.7146081707474412E-4</v>
      </c>
      <c r="AG374" s="72">
        <f>IF(VLOOKUP($A374,raw_ub[],COLUMN(AH$1)-COLUMN($A$1),FALSE)=0, VLOOKUP($D374, regions_ub[], COLUMN(AH$1)-COLUMN($A$1), FALSE), VLOOKUP($A374,raw_ub[],COLUMN(AH$1)-COLUMN($A$1),FALSE))</f>
        <v>1.1044011379980467E-3</v>
      </c>
      <c r="AH374" s="72">
        <f>IF(VLOOKUP($A374,raw_ub[],COLUMN(AI$1)-COLUMN($A$1),FALSE)=0, VLOOKUP($D374, regions_ub[], COLUMN(AI$1)-COLUMN($A$1), FALSE), VLOOKUP($A374,raw_ub[],COLUMN(AI$1)-COLUMN($A$1),FALSE))</f>
        <v>1.6797931964436898E-3</v>
      </c>
      <c r="AI374" s="72">
        <f>IF(VLOOKUP($A374,raw_ub[],COLUMN(AJ$1)-COLUMN($A$1),FALSE)=0, VLOOKUP($D374, regions_ub[], COLUMN(AJ$1)-COLUMN($A$1), FALSE), VLOOKUP($A374,raw_ub[],COLUMN(AJ$1)-COLUMN($A$1),FALSE))</f>
        <v>2.0468796893475488E-3</v>
      </c>
      <c r="AJ374" s="72">
        <f>IF(VLOOKUP($A374,raw_ub[],COLUMN(AK$1)-COLUMN($A$1),FALSE)=0, VLOOKUP($D374, regions_ub[], COLUMN(AK$1)-COLUMN($A$1), FALSE), VLOOKUP($A374,raw_ub[],COLUMN(AK$1)-COLUMN($A$1),FALSE))</f>
        <v>2.0848289430453683E-3</v>
      </c>
      <c r="AK374" s="72">
        <f>IF(VLOOKUP($A374,raw_ub[],COLUMN(AL$1)-COLUMN($A$1),FALSE)=0, VLOOKUP($D374, regions_ub[], COLUMN(AL$1)-COLUMN($A$1), FALSE), VLOOKUP($A374,raw_ub[],COLUMN(AL$1)-COLUMN($A$1),FALSE))</f>
        <v>2.4687142816846338E-3</v>
      </c>
      <c r="AL374" s="72">
        <f>IF(VLOOKUP($A374,raw_ub[],COLUMN(AM$1)-COLUMN($A$1),FALSE)=0, VLOOKUP($D374, regions_ub[], COLUMN(AM$1)-COLUMN($A$1), FALSE), VLOOKUP($A374,raw_ub[],COLUMN(AM$1)-COLUMN($A$1),FALSE))</f>
        <v>3.0219827186275883E-3</v>
      </c>
      <c r="AM374" s="72">
        <f>IF(VLOOKUP($A374,raw_ub[],COLUMN(AN$1)-COLUMN($A$1),FALSE)=0, VLOOKUP($D374, regions_ub[], COLUMN(AN$1)-COLUMN($A$1), FALSE), VLOOKUP($A374,raw_ub[],COLUMN(AN$1)-COLUMN($A$1),FALSE))</f>
        <v>4.411863782036984E-3</v>
      </c>
      <c r="AN374" s="72">
        <f>IF(VLOOKUP($A374,raw_ub[],COLUMN(AO$1)-COLUMN($A$1),FALSE)=0, VLOOKUP($D374, regions_ub[], COLUMN(AO$1)-COLUMN($A$1), FALSE), VLOOKUP($A374,raw_ub[],COLUMN(AO$1)-COLUMN($A$1),FALSE))</f>
        <v>6.4042733334096456E-3</v>
      </c>
      <c r="AO374" s="72">
        <f>IF(VLOOKUP($A374,raw_ub[],COLUMN(AP$1)-COLUMN($A$1),FALSE)=0, VLOOKUP($D374, regions_ub[], COLUMN(AP$1)-COLUMN($A$1), FALSE), VLOOKUP($A374,raw_ub[],COLUMN(AP$1)-COLUMN($A$1),FALSE))</f>
        <v>8.9608625956854454E-3</v>
      </c>
      <c r="AP374" s="72">
        <f>IF(VLOOKUP($A374,raw_ub[],COLUMN(AQ$1)-COLUMN($A$1),FALSE)=0, VLOOKUP($D374, regions_ub[], COLUMN(AQ$1)-COLUMN($A$1), FALSE), VLOOKUP($A374,raw_ub[],COLUMN(AQ$1)-COLUMN($A$1),FALSE))</f>
        <v>1.3880028017965946E-2</v>
      </c>
      <c r="AQ374" s="72">
        <f>IF(VLOOKUP($A374,raw_ub[],COLUMN(AR$1)-COLUMN($A$1),FALSE)=0, VLOOKUP($D374, regions_ub[], COLUMN(AR$1)-COLUMN($A$1), FALSE), VLOOKUP($A374,raw_ub[],COLUMN(AR$1)-COLUMN($A$1),FALSE))</f>
        <v>2.0231394411421202E-2</v>
      </c>
      <c r="AR374" s="72">
        <f>IF(VLOOKUP($A374,raw_ub[],COLUMN(AS$1)-COLUMN($A$1),FALSE)=0, VLOOKUP($D374, regions_ub[], COLUMN(AS$1)-COLUMN($A$1), FALSE), VLOOKUP($A374,raw_ub[],COLUMN(AS$1)-COLUMN($A$1),FALSE))</f>
        <v>2.9089567185078994E-2</v>
      </c>
      <c r="AS374" s="72">
        <f>IF(VLOOKUP($A374,raw_ub[],COLUMN(AT$1)-COLUMN($A$1),FALSE)=0, VLOOKUP($D374, regions_ub[], COLUMN(AT$1)-COLUMN($A$1), FALSE), VLOOKUP($A374,raw_ub[],COLUMN(AT$1)-COLUMN($A$1),FALSE))</f>
        <v>4.0901654687201923E-2</v>
      </c>
      <c r="AT374" s="82">
        <f>IF(VLOOKUP($A374,raw_ub[],COLUMN(AT$1),FALSE)=0, VLOOKUP($D374, regions_ub[], COLUMN(AT$1), FALSE), VLOOKUP($A374,raw_ub[],COLUMN(AT$1),FALSE))</f>
        <v>7.3392207369207194E-2</v>
      </c>
      <c r="AU374" s="82">
        <f>IF(VLOOKUP($A374,raw_ub[],COLUMN(AU$1),FALSE)=0, VLOOKUP($D374, regions_ub[], COLUMN(AU$1), FALSE), VLOOKUP($A374,raw_ub[],COLUMN(AU$1),FALSE))</f>
        <v>0.10490435544868519</v>
      </c>
      <c r="AV374" s="82">
        <f>IF(VLOOKUP($A374,raw_ub[],COLUMN(AV$1),FALSE)=0, VLOOKUP($D374, regions_ub[], COLUMN(AV$1), FALSE), VLOOKUP($A374,raw_ub[],COLUMN(AV$1),FALSE))</f>
        <v>0.13548066616516596</v>
      </c>
      <c r="AW374" s="82">
        <f>IF(VLOOKUP($A374,raw_ub[],COLUMN(AW$1),FALSE)=0, VLOOKUP($D374, regions_ub[], COLUMN(AW$1), FALSE), VLOOKUP($A374,raw_ub[],COLUMN(AW$1),FALSE))</f>
        <v>0.16075847424453499</v>
      </c>
      <c r="AX374" s="82">
        <f>IF(VLOOKUP($A374,raw_ub[],COLUMN(AX$1),FALSE)=0, VLOOKUP($D374, regions_ub[], COLUMN(AX$1), FALSE), VLOOKUP($A374,raw_ub[],COLUMN(AX$1),FALSE))</f>
        <v>77.78609999999999</v>
      </c>
      <c r="AY374" t="str">
        <f t="shared" ref="AY374:AY405" si="13">IF($K374=0,"Yes", "No")</f>
        <v>Yes</v>
      </c>
    </row>
    <row r="375" spans="1:51" x14ac:dyDescent="0.25">
      <c r="A375" s="55" t="s">
        <v>418</v>
      </c>
      <c r="B375" s="56" t="s">
        <v>419</v>
      </c>
      <c r="C375" s="56">
        <v>604</v>
      </c>
      <c r="D375" s="56" t="s">
        <v>215</v>
      </c>
      <c r="E375" s="56" t="s">
        <v>240</v>
      </c>
      <c r="F375" s="56" t="s">
        <v>217</v>
      </c>
      <c r="G375" s="56" t="s">
        <v>204</v>
      </c>
      <c r="H375" s="74"/>
      <c r="I375" s="74"/>
      <c r="J375" s="67">
        <f>IF(VLOOKUP($A375,raw_ub[],COLUMN(J$1),FALSE)=0, VLOOKUP($D375, regions_ub[], COLUMN(J$1), FALSE), VLOOKUP($A375,raw_ub[],COLUMN(J$1),FALSE))</f>
        <v>0.95550000000000013</v>
      </c>
      <c r="K375" s="77">
        <f>VLOOKUP($A375, raw_ub[], 11, FALSE)</f>
        <v>0.78750000000000009</v>
      </c>
      <c r="L375" s="77">
        <f>VLOOKUP($A375, raw_ub[], 12, FALSE)</f>
        <v>0.75600000000000001</v>
      </c>
      <c r="M375" s="77">
        <f>IF(VLOOKUP($A375,raw_ub[],COLUMN(M$1),FALSE)=0, VLOOKUP($D375, regions_ub[], COLUMN(M$1), FALSE), VLOOKUP($A375,raw_ub[],COLUMN(M$1),FALSE))</f>
        <v>1.3100000000000001E-2</v>
      </c>
      <c r="N375" s="68">
        <f>IF(VLOOKUP($A375,raw_ub[],COLUMN(N$1),FALSE)=0, VLOOKUP($D375, regions_ub[], COLUMN(N$1), FALSE), VLOOKUP($A375,raw_ub[],COLUMN(N$1),FALSE))</f>
        <v>0.43020000000000003</v>
      </c>
      <c r="O375" s="67">
        <f>IF(VLOOKUP($A375,raw_ub[],COLUMN(O$1),FALSE)=0, VLOOKUP($D375, regions_ub[], COLUMN(O$1), FALSE), VLOOKUP($A375,raw_ub[],COLUMN(O$1),FALSE))</f>
        <v>0.9</v>
      </c>
      <c r="P375" s="68">
        <f>IF(VLOOKUP($A375,raw_ub[],COLUMN(P$1),FALSE)=0, VLOOKUP($D375, regions_ub[], COLUMN(P$1), FALSE), VLOOKUP($A375,raw_ub[],COLUMN(P$1),FALSE))</f>
        <v>0.3</v>
      </c>
      <c r="Q375" s="70">
        <f>IF(VLOOKUP($A375,raw_ub[],COLUMN(Q$1),FALSE)=0, VLOOKUP($D375, regions_ub[], COLUMN(Q$1), FALSE), VLOOKUP($A375,raw_ub[],COLUMN(Q$1),FALSE))</f>
        <v>25.268881806178999</v>
      </c>
      <c r="R375" s="70">
        <f>IF(VLOOKUP($A375,raw_ub[],COLUMN(R$1),FALSE)=0, VLOOKUP($D375, regions_ub[], COLUMN(R$1), FALSE), VLOOKUP($A375,raw_ub[],COLUMN(R$1),FALSE))</f>
        <v>134.25468180617901</v>
      </c>
      <c r="S375" s="70">
        <f>IF(VLOOKUP($A375,raw_ub[],COLUMN(S$1),FALSE)=0, VLOOKUP($D375, regions_ub[], COLUMN(S$1), FALSE), VLOOKUP($A375,raw_ub[],COLUMN(S$1),FALSE))</f>
        <v>211.40077083568872</v>
      </c>
      <c r="T375" s="70">
        <f>IF(VLOOKUP($A375,raw_ub[],COLUMN(U$1)-COLUMN($A$1),FALSE)=0, VLOOKUP($D375, regions_ub[], COLUMN(U$1)-COLUMN($A$1), FALSE), VLOOKUP($A375,raw_ub[],COLUMN(U$1)-COLUMN($A$1),FALSE))</f>
        <v>236.3446251037432</v>
      </c>
      <c r="U375" s="70">
        <f>IF(VLOOKUP($A375,raw_ub[],COLUMN(V$1)-COLUMN($A$1),FALSE)=0, VLOOKUP($D375, regions_ub[], COLUMN(V$1)-COLUMN($A$1), FALSE), VLOOKUP($A375,raw_ub[],COLUMN(V$1)-COLUMN($A$1),FALSE))</f>
        <v>224.89093446976321</v>
      </c>
      <c r="V375" s="70">
        <f>IF(VLOOKUP($A375,raw_ub[],COLUMN(W$1)-COLUMN($A$1),FALSE)=0, VLOOKUP($D375, regions_ub[], COLUMN(W$1)-COLUMN($A$1), FALSE), VLOOKUP($A375,raw_ub[],COLUMN(W$1)-COLUMN($A$1),FALSE))</f>
        <v>6.7081337872711657</v>
      </c>
      <c r="W375" s="70">
        <f>IF(VLOOKUP($A375,raw_ub[],COLUMN(X$1)-COLUMN($A$1),FALSE)=0, VLOOKUP($D375, regions_ub[], COLUMN(X$1)-COLUMN($A$1), FALSE), VLOOKUP($A375,raw_ub[],COLUMN(X$1)-COLUMN($A$1),FALSE))</f>
        <v>6.7291337872711656</v>
      </c>
      <c r="X375" s="70">
        <f>IF(VLOOKUP($A375,raw_ub[],COLUMN(Y$1)-COLUMN($A$1),FALSE)=0, VLOOKUP($D375, regions_ub[], COLUMN(Y$1)-COLUMN($A$1), FALSE), VLOOKUP($A375,raw_ub[],COLUMN(Y$1)-COLUMN($A$1),FALSE))</f>
        <v>6.6716549860806431</v>
      </c>
      <c r="Y375" s="70">
        <f>IF(VLOOKUP($A375,raw_ub[],COLUMN(Z$1)-COLUMN($A$1),FALSE)=0, VLOOKUP($D375, regions_ub[], COLUMN(Z$1)-COLUMN($A$1), FALSE), VLOOKUP($A375,raw_ub[],COLUMN(Z$1)-COLUMN($A$1),FALSE))</f>
        <v>6.692654986080643</v>
      </c>
      <c r="Z375" s="70">
        <f>IF(VLOOKUP($A375,raw_ub[],COLUMN(AA$1)-COLUMN($A$1),FALSE)=0, VLOOKUP($D375, regions_ub[], COLUMN(AA$1)-COLUMN($A$1), FALSE), VLOOKUP($A375,raw_ub[],COLUMN(AA$1)-COLUMN($A$1),FALSE))</f>
        <v>6.6723411385855718</v>
      </c>
      <c r="AA375" s="70">
        <f>IF(VLOOKUP($A375,raw_ub[],COLUMN(AB$1)-COLUMN($A$1),FALSE)=0, VLOOKUP($D375, regions_ub[], COLUMN(AB$1)-COLUMN($A$1), FALSE), VLOOKUP($A375,raw_ub[],COLUMN(AB$1)-COLUMN($A$1),FALSE))</f>
        <v>6.7165519721612865</v>
      </c>
      <c r="AB375" s="70">
        <f>IF(VLOOKUP($A375,raw_ub[],COLUMN(AC$1)-COLUMN($A$1),FALSE)=0, VLOOKUP($D375, regions_ub[], COLUMN(AC$1)-COLUMN($A$1), FALSE), VLOOKUP($A375,raw_ub[],COLUMN(AC$1)-COLUMN($A$1),FALSE))</f>
        <v>6.7375519721612864</v>
      </c>
      <c r="AC375" s="72">
        <f>IF(VLOOKUP($A375,raw_ub[],COLUMN(AD$1)-COLUMN($A$1),FALSE)=0, VLOOKUP($D375, regions_ub[], COLUMN(AD$1)-COLUMN($A$1), FALSE), VLOOKUP($A375,raw_ub[],COLUMN(AD$1)-COLUMN($A$1),FALSE))</f>
        <v>1.3426759500000015E-2</v>
      </c>
      <c r="AD375" s="72">
        <f>IF(VLOOKUP($A375,raw_ub[],COLUMN(AE$1)-COLUMN($A$1),FALSE)=0, VLOOKUP($D375, regions_ub[], COLUMN(AE$1)-COLUMN($A$1), FALSE), VLOOKUP($A375,raw_ub[],COLUMN(AE$1)-COLUMN($A$1),FALSE))</f>
        <v>9.1898555165335015E-4</v>
      </c>
      <c r="AE375" s="72">
        <f>IF(VLOOKUP($A375,raw_ub[],COLUMN(AF$1)-COLUMN($A$1),FALSE)=0, VLOOKUP($D375, regions_ub[], COLUMN(AF$1)-COLUMN($A$1), FALSE), VLOOKUP($A375,raw_ub[],COLUMN(AF$1)-COLUMN($A$1),FALSE))</f>
        <v>5.196993467326505E-4</v>
      </c>
      <c r="AF375" s="72">
        <f>IF(VLOOKUP($A375,raw_ub[],COLUMN(AG$1)-COLUMN($A$1),FALSE)=0, VLOOKUP($D375, regions_ub[], COLUMN(AG$1)-COLUMN($A$1), FALSE), VLOOKUP($A375,raw_ub[],COLUMN(AG$1)-COLUMN($A$1),FALSE))</f>
        <v>3.5268426491479884E-4</v>
      </c>
      <c r="AG375" s="72">
        <f>IF(VLOOKUP($A375,raw_ub[],COLUMN(AH$1)-COLUMN($A$1),FALSE)=0, VLOOKUP($D375, regions_ub[], COLUMN(AH$1)-COLUMN($A$1), FALSE), VLOOKUP($A375,raw_ub[],COLUMN(AH$1)-COLUMN($A$1),FALSE))</f>
        <v>8.3423264624480308E-4</v>
      </c>
      <c r="AH375" s="72">
        <f>IF(VLOOKUP($A375,raw_ub[],COLUMN(AI$1)-COLUMN($A$1),FALSE)=0, VLOOKUP($D375, regions_ub[], COLUMN(AI$1)-COLUMN($A$1), FALSE), VLOOKUP($A375,raw_ub[],COLUMN(AI$1)-COLUMN($A$1),FALSE))</f>
        <v>1.2393025676174282E-3</v>
      </c>
      <c r="AI375" s="72">
        <f>IF(VLOOKUP($A375,raw_ub[],COLUMN(AJ$1)-COLUMN($A$1),FALSE)=0, VLOOKUP($D375, regions_ub[], COLUMN(AJ$1)-COLUMN($A$1), FALSE), VLOOKUP($A375,raw_ub[],COLUMN(AJ$1)-COLUMN($A$1),FALSE))</f>
        <v>1.6079807878475031E-3</v>
      </c>
      <c r="AJ375" s="72">
        <f>IF(VLOOKUP($A375,raw_ub[],COLUMN(AK$1)-COLUMN($A$1),FALSE)=0, VLOOKUP($D375, regions_ub[], COLUMN(AK$1)-COLUMN($A$1), FALSE), VLOOKUP($A375,raw_ub[],COLUMN(AK$1)-COLUMN($A$1),FALSE))</f>
        <v>1.7676069527859284E-3</v>
      </c>
      <c r="AK375" s="72">
        <f>IF(VLOOKUP($A375,raw_ub[],COLUMN(AL$1)-COLUMN($A$1),FALSE)=0, VLOOKUP($D375, regions_ub[], COLUMN(AL$1)-COLUMN($A$1), FALSE), VLOOKUP($A375,raw_ub[],COLUMN(AL$1)-COLUMN($A$1),FALSE))</f>
        <v>2.1137470717851872E-3</v>
      </c>
      <c r="AL375" s="72">
        <f>IF(VLOOKUP($A375,raw_ub[],COLUMN(AM$1)-COLUMN($A$1),FALSE)=0, VLOOKUP($D375, regions_ub[], COLUMN(AM$1)-COLUMN($A$1), FALSE), VLOOKUP($A375,raw_ub[],COLUMN(AM$1)-COLUMN($A$1),FALSE))</f>
        <v>2.6939064887440017E-3</v>
      </c>
      <c r="AM375" s="72">
        <f>IF(VLOOKUP($A375,raw_ub[],COLUMN(AN$1)-COLUMN($A$1),FALSE)=0, VLOOKUP($D375, regions_ub[], COLUMN(AN$1)-COLUMN($A$1), FALSE), VLOOKUP($A375,raw_ub[],COLUMN(AN$1)-COLUMN($A$1),FALSE))</f>
        <v>3.5935612215692763E-3</v>
      </c>
      <c r="AN375" s="72">
        <f>IF(VLOOKUP($A375,raw_ub[],COLUMN(AO$1)-COLUMN($A$1),FALSE)=0, VLOOKUP($D375, regions_ub[], COLUMN(AO$1)-COLUMN($A$1), FALSE), VLOOKUP($A375,raw_ub[],COLUMN(AO$1)-COLUMN($A$1),FALSE))</f>
        <v>4.9975000639995177E-3</v>
      </c>
      <c r="AO375" s="72">
        <f>IF(VLOOKUP($A375,raw_ub[],COLUMN(AP$1)-COLUMN($A$1),FALSE)=0, VLOOKUP($D375, regions_ub[], COLUMN(AP$1)-COLUMN($A$1), FALSE), VLOOKUP($A375,raw_ub[],COLUMN(AP$1)-COLUMN($A$1),FALSE))</f>
        <v>7.1320586307002031E-3</v>
      </c>
      <c r="AP375" s="72">
        <f>IF(VLOOKUP($A375,raw_ub[],COLUMN(AQ$1)-COLUMN($A$1),FALSE)=0, VLOOKUP($D375, regions_ub[], COLUMN(AQ$1)-COLUMN($A$1), FALSE), VLOOKUP($A375,raw_ub[],COLUMN(AQ$1)-COLUMN($A$1),FALSE))</f>
        <v>1.075482940435377E-2</v>
      </c>
      <c r="AQ375" s="72">
        <f>IF(VLOOKUP($A375,raw_ub[],COLUMN(AR$1)-COLUMN($A$1),FALSE)=0, VLOOKUP($D375, regions_ub[], COLUMN(AR$1)-COLUMN($A$1), FALSE), VLOOKUP($A375,raw_ub[],COLUMN(AR$1)-COLUMN($A$1),FALSE))</f>
        <v>1.603789158604892E-2</v>
      </c>
      <c r="AR375" s="72">
        <f>IF(VLOOKUP($A375,raw_ub[],COLUMN(AS$1)-COLUMN($A$1),FALSE)=0, VLOOKUP($D375, regions_ub[], COLUMN(AS$1)-COLUMN($A$1), FALSE), VLOOKUP($A375,raw_ub[],COLUMN(AS$1)-COLUMN($A$1),FALSE))</f>
        <v>2.7057960046562624E-2</v>
      </c>
      <c r="AS375" s="72">
        <f>IF(VLOOKUP($A375,raw_ub[],COLUMN(AT$1)-COLUMN($A$1),FALSE)=0, VLOOKUP($D375, regions_ub[], COLUMN(AT$1)-COLUMN($A$1), FALSE), VLOOKUP($A375,raw_ub[],COLUMN(AT$1)-COLUMN($A$1),FALSE))</f>
        <v>4.187231319509372E-2</v>
      </c>
      <c r="AT375" s="82">
        <f>IF(VLOOKUP($A375,raw_ub[],COLUMN(AT$1),FALSE)=0, VLOOKUP($D375, regions_ub[], COLUMN(AT$1), FALSE), VLOOKUP($A375,raw_ub[],COLUMN(AT$1),FALSE))</f>
        <v>6.5694086397326934E-2</v>
      </c>
      <c r="AU375" s="82">
        <f>IF(VLOOKUP($A375,raw_ub[],COLUMN(AU$1),FALSE)=0, VLOOKUP($D375, regions_ub[], COLUMN(AU$1), FALSE), VLOOKUP($A375,raw_ub[],COLUMN(AU$1),FALSE))</f>
        <v>9.7817125060168778E-2</v>
      </c>
      <c r="AV375" s="82">
        <f>IF(VLOOKUP($A375,raw_ub[],COLUMN(AV$1),FALSE)=0, VLOOKUP($D375, regions_ub[], COLUMN(AV$1), FALSE), VLOOKUP($A375,raw_ub[],COLUMN(AV$1),FALSE))</f>
        <v>0.12983467794754508</v>
      </c>
      <c r="AW375" s="82">
        <f>IF(VLOOKUP($A375,raw_ub[],COLUMN(AW$1),FALSE)=0, VLOOKUP($D375, regions_ub[], COLUMN(AW$1), FALSE), VLOOKUP($A375,raw_ub[],COLUMN(AW$1),FALSE))</f>
        <v>0.15742495312577165</v>
      </c>
      <c r="AX375" s="82">
        <f>IF(VLOOKUP($A375,raw_ub[],COLUMN(AX$1),FALSE)=0, VLOOKUP($D375, regions_ub[], COLUMN(AX$1), FALSE), VLOOKUP($A375,raw_ub[],COLUMN(AX$1),FALSE))</f>
        <v>80.229450000000014</v>
      </c>
      <c r="AY375" t="str">
        <f t="shared" si="13"/>
        <v>No</v>
      </c>
    </row>
    <row r="376" spans="1:51" x14ac:dyDescent="0.25">
      <c r="A376" s="53" t="s">
        <v>420</v>
      </c>
      <c r="B376" s="54" t="s">
        <v>421</v>
      </c>
      <c r="C376" s="54">
        <v>608</v>
      </c>
      <c r="D376" s="54" t="s">
        <v>260</v>
      </c>
      <c r="E376" s="54" t="s">
        <v>261</v>
      </c>
      <c r="F376" s="54" t="s">
        <v>262</v>
      </c>
      <c r="G376" s="54" t="s">
        <v>212</v>
      </c>
      <c r="H376" s="73"/>
      <c r="I376" s="73"/>
      <c r="J376" s="67">
        <f>IF(VLOOKUP($A376,raw_ub[],COLUMN(J$1),FALSE)=0, VLOOKUP($D376, regions_ub[], COLUMN(J$1), FALSE), VLOOKUP($A376,raw_ub[],COLUMN(J$1),FALSE))</f>
        <v>0.81585000000000008</v>
      </c>
      <c r="K376" s="77">
        <f>VLOOKUP($A376, raw_ub[], 11, FALSE)</f>
        <v>0.55650000000000011</v>
      </c>
      <c r="L376" s="77">
        <f>VLOOKUP($A376, raw_ub[], 12, FALSE)</f>
        <v>0.74549999999999994</v>
      </c>
      <c r="M376" s="77">
        <f>IF(VLOOKUP($A376,raw_ub[],COLUMN(M$1),FALSE)=0, VLOOKUP($D376, regions_ub[], COLUMN(M$1), FALSE), VLOOKUP($A376,raw_ub[],COLUMN(M$1),FALSE))</f>
        <v>3.8399999999999997E-2</v>
      </c>
      <c r="N376" s="68">
        <f>IF(VLOOKUP($A376,raw_ub[],COLUMN(N$1),FALSE)=0, VLOOKUP($D376, regions_ub[], COLUMN(N$1), FALSE), VLOOKUP($A376,raw_ub[],COLUMN(N$1),FALSE))</f>
        <v>0.4773</v>
      </c>
      <c r="O376" s="67">
        <f>IF(VLOOKUP($A376,raw_ub[],COLUMN(O$1),FALSE)=0, VLOOKUP($D376, regions_ub[], COLUMN(O$1), FALSE), VLOOKUP($A376,raw_ub[],COLUMN(O$1),FALSE))</f>
        <v>0.9</v>
      </c>
      <c r="P376" s="68">
        <f>IF(VLOOKUP($A376,raw_ub[],COLUMN(P$1),FALSE)=0, VLOOKUP($D376, regions_ub[], COLUMN(P$1), FALSE), VLOOKUP($A376,raw_ub[],COLUMN(P$1),FALSE))</f>
        <v>0.3</v>
      </c>
      <c r="Q376" s="70">
        <f>IF(VLOOKUP($A376,raw_ub[],COLUMN(Q$1),FALSE)=0, VLOOKUP($D376, regions_ub[], COLUMN(Q$1), FALSE), VLOOKUP($A376,raw_ub[],COLUMN(Q$1),FALSE))</f>
        <v>11.161843835616441</v>
      </c>
      <c r="R376" s="70">
        <f>IF(VLOOKUP($A376,raw_ub[],COLUMN(R$1),FALSE)=0, VLOOKUP($D376, regions_ub[], COLUMN(R$1), FALSE), VLOOKUP($A376,raw_ub[],COLUMN(R$1),FALSE))</f>
        <v>120.14764383561645</v>
      </c>
      <c r="S376" s="70">
        <f>IF(VLOOKUP($A376,raw_ub[],COLUMN(S$1),FALSE)=0, VLOOKUP($D376, regions_ub[], COLUMN(S$1), FALSE), VLOOKUP($A376,raw_ub[],COLUMN(S$1),FALSE))</f>
        <v>160.39399616911948</v>
      </c>
      <c r="T376" s="70">
        <f>IF(VLOOKUP($A376,raw_ub[],COLUMN(U$1)-COLUMN($A$1),FALSE)=0, VLOOKUP($D376, regions_ub[], COLUMN(U$1)-COLUMN($A$1), FALSE), VLOOKUP($A376,raw_ub[],COLUMN(U$1)-COLUMN($A$1),FALSE))</f>
        <v>166.13282717504134</v>
      </c>
      <c r="U376" s="70">
        <f>IF(VLOOKUP($A376,raw_ub[],COLUMN(V$1)-COLUMN($A$1),FALSE)=0, VLOOKUP($D376, regions_ub[], COLUMN(V$1)-COLUMN($A$1), FALSE), VLOOKUP($A376,raw_ub[],COLUMN(V$1)-COLUMN($A$1),FALSE))</f>
        <v>163.49767728055602</v>
      </c>
      <c r="V376" s="70">
        <f>IF(VLOOKUP($A376,raw_ub[],COLUMN(W$1)-COLUMN($A$1),FALSE)=0, VLOOKUP($D376, regions_ub[], COLUMN(W$1)-COLUMN($A$1), FALSE), VLOOKUP($A376,raw_ub[],COLUMN(W$1)-COLUMN($A$1),FALSE))</f>
        <v>3.0268236229721484</v>
      </c>
      <c r="W376" s="70">
        <f>IF(VLOOKUP($A376,raw_ub[],COLUMN(X$1)-COLUMN($A$1),FALSE)=0, VLOOKUP($D376, regions_ub[], COLUMN(X$1)-COLUMN($A$1), FALSE), VLOOKUP($A376,raw_ub[],COLUMN(X$1)-COLUMN($A$1),FALSE))</f>
        <v>3.6883236229721486</v>
      </c>
      <c r="X376" s="70">
        <f>IF(VLOOKUP($A376,raw_ub[],COLUMN(Y$1)-COLUMN($A$1),FALSE)=0, VLOOKUP($D376, regions_ub[], COLUMN(Y$1)-COLUMN($A$1), FALSE), VLOOKUP($A376,raw_ub[],COLUMN(Y$1)-COLUMN($A$1),FALSE))</f>
        <v>2.9912719299156678</v>
      </c>
      <c r="Y376" s="70">
        <f>IF(VLOOKUP($A376,raw_ub[],COLUMN(Z$1)-COLUMN($A$1),FALSE)=0, VLOOKUP($D376, regions_ub[], COLUMN(Z$1)-COLUMN($A$1), FALSE), VLOOKUP($A376,raw_ub[],COLUMN(Z$1)-COLUMN($A$1),FALSE))</f>
        <v>3.652771929915668</v>
      </c>
      <c r="Z376" s="70">
        <f>IF(VLOOKUP($A376,raw_ub[],COLUMN(AA$1)-COLUMN($A$1),FALSE)=0, VLOOKUP($D376, regions_ub[], COLUMN(AA$1)-COLUMN($A$1), FALSE), VLOOKUP($A376,raw_ub[],COLUMN(AA$1)-COLUMN($A$1),FALSE))</f>
        <v>3.6334517747088633</v>
      </c>
      <c r="AA376" s="70">
        <f>IF(VLOOKUP($A376,raw_ub[],COLUMN(AB$1)-COLUMN($A$1),FALSE)=0, VLOOKUP($D376, regions_ub[], COLUMN(AB$1)-COLUMN($A$1), FALSE), VLOOKUP($A376,raw_ub[],COLUMN(AB$1)-COLUMN($A$1),FALSE))</f>
        <v>3.0350278598313363</v>
      </c>
      <c r="AB376" s="70">
        <f>IF(VLOOKUP($A376,raw_ub[],COLUMN(AC$1)-COLUMN($A$1),FALSE)=0, VLOOKUP($D376, regions_ub[], COLUMN(AC$1)-COLUMN($A$1), FALSE), VLOOKUP($A376,raw_ub[],COLUMN(AC$1)-COLUMN($A$1),FALSE))</f>
        <v>3.6965278598313365</v>
      </c>
      <c r="AC376" s="72">
        <f>IF(VLOOKUP($A376,raw_ub[],COLUMN(AD$1)-COLUMN($A$1),FALSE)=0, VLOOKUP($D376, regions_ub[], COLUMN(AD$1)-COLUMN($A$1), FALSE), VLOOKUP($A376,raw_ub[],COLUMN(AD$1)-COLUMN($A$1),FALSE))</f>
        <v>2.0638337999999968E-2</v>
      </c>
      <c r="AD376" s="72">
        <f>IF(VLOOKUP($A376,raw_ub[],COLUMN(AE$1)-COLUMN($A$1),FALSE)=0, VLOOKUP($D376, regions_ub[], COLUMN(AE$1)-COLUMN($A$1), FALSE), VLOOKUP($A376,raw_ub[],COLUMN(AE$1)-COLUMN($A$1),FALSE))</f>
        <v>2.1465544803824163E-3</v>
      </c>
      <c r="AE376" s="72">
        <f>IF(VLOOKUP($A376,raw_ub[],COLUMN(AF$1)-COLUMN($A$1),FALSE)=0, VLOOKUP($D376, regions_ub[], COLUMN(AF$1)-COLUMN($A$1), FALSE), VLOOKUP($A376,raw_ub[],COLUMN(AF$1)-COLUMN($A$1),FALSE))</f>
        <v>6.436360115665569E-4</v>
      </c>
      <c r="AF376" s="72">
        <f>IF(VLOOKUP($A376,raw_ub[],COLUMN(AG$1)-COLUMN($A$1),FALSE)=0, VLOOKUP($D376, regions_ub[], COLUMN(AG$1)-COLUMN($A$1), FALSE), VLOOKUP($A376,raw_ub[],COLUMN(AG$1)-COLUMN($A$1),FALSE))</f>
        <v>5.5867260014132159E-4</v>
      </c>
      <c r="AG376" s="72">
        <f>IF(VLOOKUP($A376,raw_ub[],COLUMN(AH$1)-COLUMN($A$1),FALSE)=0, VLOOKUP($D376, regions_ub[], COLUMN(AH$1)-COLUMN($A$1), FALSE), VLOOKUP($A376,raw_ub[],COLUMN(AH$1)-COLUMN($A$1),FALSE))</f>
        <v>1.1950531300706849E-3</v>
      </c>
      <c r="AH376" s="72">
        <f>IF(VLOOKUP($A376,raw_ub[],COLUMN(AI$1)-COLUMN($A$1),FALSE)=0, VLOOKUP($D376, regions_ub[], COLUMN(AI$1)-COLUMN($A$1), FALSE), VLOOKUP($A376,raw_ub[],COLUMN(AI$1)-COLUMN($A$1),FALSE))</f>
        <v>1.6716158278059919E-3</v>
      </c>
      <c r="AI376" s="72">
        <f>IF(VLOOKUP($A376,raw_ub[],COLUMN(AJ$1)-COLUMN($A$1),FALSE)=0, VLOOKUP($D376, regions_ub[], COLUMN(AJ$1)-COLUMN($A$1), FALSE), VLOOKUP($A376,raw_ub[],COLUMN(AJ$1)-COLUMN($A$1),FALSE))</f>
        <v>1.826884382083029E-3</v>
      </c>
      <c r="AJ376" s="72">
        <f>IF(VLOOKUP($A376,raw_ub[],COLUMN(AK$1)-COLUMN($A$1),FALSE)=0, VLOOKUP($D376, regions_ub[], COLUMN(AK$1)-COLUMN($A$1), FALSE), VLOOKUP($A376,raw_ub[],COLUMN(AK$1)-COLUMN($A$1),FALSE))</f>
        <v>2.1801471394451923E-3</v>
      </c>
      <c r="AK376" s="72">
        <f>IF(VLOOKUP($A376,raw_ub[],COLUMN(AL$1)-COLUMN($A$1),FALSE)=0, VLOOKUP($D376, regions_ub[], COLUMN(AL$1)-COLUMN($A$1), FALSE), VLOOKUP($A376,raw_ub[],COLUMN(AL$1)-COLUMN($A$1),FALSE))</f>
        <v>2.8934391959445343E-3</v>
      </c>
      <c r="AL376" s="72">
        <f>IF(VLOOKUP($A376,raw_ub[],COLUMN(AM$1)-COLUMN($A$1),FALSE)=0, VLOOKUP($D376, regions_ub[], COLUMN(AM$1)-COLUMN($A$1), FALSE), VLOOKUP($A376,raw_ub[],COLUMN(AM$1)-COLUMN($A$1),FALSE))</f>
        <v>4.061991232646698E-3</v>
      </c>
      <c r="AM376" s="72">
        <f>IF(VLOOKUP($A376,raw_ub[],COLUMN(AN$1)-COLUMN($A$1),FALSE)=0, VLOOKUP($D376, regions_ub[], COLUMN(AN$1)-COLUMN($A$1), FALSE), VLOOKUP($A376,raw_ub[],COLUMN(AN$1)-COLUMN($A$1),FALSE))</f>
        <v>6.0182455659779097E-3</v>
      </c>
      <c r="AN376" s="72">
        <f>IF(VLOOKUP($A376,raw_ub[],COLUMN(AO$1)-COLUMN($A$1),FALSE)=0, VLOOKUP($D376, regions_ub[], COLUMN(AO$1)-COLUMN($A$1), FALSE), VLOOKUP($A376,raw_ub[],COLUMN(AO$1)-COLUMN($A$1),FALSE))</f>
        <v>9.0041804842055512E-3</v>
      </c>
      <c r="AO376" s="72">
        <f>IF(VLOOKUP($A376,raw_ub[],COLUMN(AP$1)-COLUMN($A$1),FALSE)=0, VLOOKUP($D376, regions_ub[], COLUMN(AP$1)-COLUMN($A$1), FALSE), VLOOKUP($A376,raw_ub[],COLUMN(AP$1)-COLUMN($A$1),FALSE))</f>
        <v>1.3434441287582026E-2</v>
      </c>
      <c r="AP376" s="72">
        <f>IF(VLOOKUP($A376,raw_ub[],COLUMN(AQ$1)-COLUMN($A$1),FALSE)=0, VLOOKUP($D376, regions_ub[], COLUMN(AQ$1)-COLUMN($A$1), FALSE), VLOOKUP($A376,raw_ub[],COLUMN(AQ$1)-COLUMN($A$1),FALSE))</f>
        <v>1.8310575699432279E-2</v>
      </c>
      <c r="AQ376" s="72">
        <f>IF(VLOOKUP($A376,raw_ub[],COLUMN(AR$1)-COLUMN($A$1),FALSE)=0, VLOOKUP($D376, regions_ub[], COLUMN(AR$1)-COLUMN($A$1), FALSE), VLOOKUP($A376,raw_ub[],COLUMN(AR$1)-COLUMN($A$1),FALSE))</f>
        <v>2.4708956083751128E-2</v>
      </c>
      <c r="AR376" s="72">
        <f>IF(VLOOKUP($A376,raw_ub[],COLUMN(AS$1)-COLUMN($A$1),FALSE)=0, VLOOKUP($D376, regions_ub[], COLUMN(AS$1)-COLUMN($A$1), FALSE), VLOOKUP($A376,raw_ub[],COLUMN(AS$1)-COLUMN($A$1),FALSE))</f>
        <v>3.5444719476318963E-2</v>
      </c>
      <c r="AS376" s="72">
        <f>IF(VLOOKUP($A376,raw_ub[],COLUMN(AT$1)-COLUMN($A$1),FALSE)=0, VLOOKUP($D376, regions_ub[], COLUMN(AT$1)-COLUMN($A$1), FALSE), VLOOKUP($A376,raw_ub[],COLUMN(AT$1)-COLUMN($A$1),FALSE))</f>
        <v>5.4321709075467496E-2</v>
      </c>
      <c r="AT376" s="82">
        <f>IF(VLOOKUP($A376,raw_ub[],COLUMN(AT$1),FALSE)=0, VLOOKUP($D376, regions_ub[], COLUMN(AT$1), FALSE), VLOOKUP($A376,raw_ub[],COLUMN(AT$1),FALSE))</f>
        <v>7.9794365327861591E-2</v>
      </c>
      <c r="AU376" s="82">
        <f>IF(VLOOKUP($A376,raw_ub[],COLUMN(AU$1),FALSE)=0, VLOOKUP($D376, regions_ub[], COLUMN(AU$1), FALSE), VLOOKUP($A376,raw_ub[],COLUMN(AU$1),FALSE))</f>
        <v>0.10999647594111628</v>
      </c>
      <c r="AV376" s="82">
        <f>IF(VLOOKUP($A376,raw_ub[],COLUMN(AV$1),FALSE)=0, VLOOKUP($D376, regions_ub[], COLUMN(AV$1), FALSE), VLOOKUP($A376,raw_ub[],COLUMN(AV$1),FALSE))</f>
        <v>0.13885622289473876</v>
      </c>
      <c r="AW376" s="82">
        <f>IF(VLOOKUP($A376,raw_ub[],COLUMN(AW$1),FALSE)=0, VLOOKUP($D376, regions_ub[], COLUMN(AW$1), FALSE), VLOOKUP($A376,raw_ub[],COLUMN(AW$1),FALSE))</f>
        <v>0.16463104304132126</v>
      </c>
      <c r="AX376" s="82">
        <f>IF(VLOOKUP($A376,raw_ub[],COLUMN(AX$1),FALSE)=0, VLOOKUP($D376, regions_ub[], COLUMN(AX$1), FALSE), VLOOKUP($A376,raw_ub[],COLUMN(AX$1),FALSE))</f>
        <v>74.586749999999995</v>
      </c>
      <c r="AY376" t="str">
        <f t="shared" si="13"/>
        <v>No</v>
      </c>
    </row>
    <row r="377" spans="1:51" x14ac:dyDescent="0.25">
      <c r="A377" s="55" t="s">
        <v>422</v>
      </c>
      <c r="B377" s="56" t="s">
        <v>423</v>
      </c>
      <c r="C377" s="56">
        <v>642</v>
      </c>
      <c r="D377" s="56" t="s">
        <v>201</v>
      </c>
      <c r="E377" s="56" t="s">
        <v>202</v>
      </c>
      <c r="F377" s="56" t="s">
        <v>203</v>
      </c>
      <c r="G377" s="56" t="s">
        <v>204</v>
      </c>
      <c r="H377" s="74"/>
      <c r="I377" s="74"/>
      <c r="J377" s="67">
        <f>IF(VLOOKUP($A377,raw_ub[],COLUMN(J$1),FALSE)=0, VLOOKUP($D377, regions_ub[], COLUMN(J$1), FALSE), VLOOKUP($A377,raw_ub[],COLUMN(J$1),FALSE))</f>
        <v>0.99645000000000006</v>
      </c>
      <c r="K377" s="77">
        <f>VLOOKUP($A377, raw_ub[], 11, FALSE)</f>
        <v>0.999</v>
      </c>
      <c r="L377" s="77">
        <f>VLOOKUP($A377, raw_ub[], 12, FALSE)</f>
        <v>0.91349999999999998</v>
      </c>
      <c r="M377" s="77">
        <f>IF(VLOOKUP($A377,raw_ub[],COLUMN(M$1),FALSE)=0, VLOOKUP($D377, regions_ub[], COLUMN(M$1), FALSE), VLOOKUP($A377,raw_ub[],COLUMN(M$1),FALSE))</f>
        <v>4.4699999999999997E-2</v>
      </c>
      <c r="N377" s="68">
        <f>IF(VLOOKUP($A377,raw_ub[],COLUMN(N$1),FALSE)=0, VLOOKUP($D377, regions_ub[], COLUMN(N$1), FALSE), VLOOKUP($A377,raw_ub[],COLUMN(N$1),FALSE))</f>
        <v>0.42849999999999999</v>
      </c>
      <c r="O377" s="67">
        <f>IF(VLOOKUP($A377,raw_ub[],COLUMN(O$1),FALSE)=0, VLOOKUP($D377, regions_ub[], COLUMN(O$1), FALSE), VLOOKUP($A377,raw_ub[],COLUMN(O$1),FALSE))</f>
        <v>0.9</v>
      </c>
      <c r="P377" s="68">
        <f>IF(VLOOKUP($A377,raw_ub[],COLUMN(P$1),FALSE)=0, VLOOKUP($D377, regions_ub[], COLUMN(P$1), FALSE), VLOOKUP($A377,raw_ub[],COLUMN(P$1),FALSE))</f>
        <v>0.3</v>
      </c>
      <c r="Q377" s="70">
        <f>IF(VLOOKUP($A377,raw_ub[],COLUMN(Q$1),FALSE)=0, VLOOKUP($D377, regions_ub[], COLUMN(Q$1), FALSE), VLOOKUP($A377,raw_ub[],COLUMN(Q$1),FALSE))</f>
        <v>32.896352263374496</v>
      </c>
      <c r="R377" s="70">
        <f>IF(VLOOKUP($A377,raw_ub[],COLUMN(R$1),FALSE)=0, VLOOKUP($D377, regions_ub[], COLUMN(R$1), FALSE), VLOOKUP($A377,raw_ub[],COLUMN(R$1),FALSE))</f>
        <v>141.88215226337451</v>
      </c>
      <c r="S377" s="70">
        <f>IF(VLOOKUP($A377,raw_ub[],COLUMN(S$1),FALSE)=0, VLOOKUP($D377, regions_ub[], COLUMN(S$1), FALSE), VLOOKUP($A377,raw_ub[],COLUMN(S$1),FALSE))</f>
        <v>253.94048812810053</v>
      </c>
      <c r="T377" s="70">
        <f>IF(VLOOKUP($A377,raw_ub[],COLUMN(U$1)-COLUMN($A$1),FALSE)=0, VLOOKUP($D377, regions_ub[], COLUMN(U$1)-COLUMN($A$1), FALSE), VLOOKUP($A377,raw_ub[],COLUMN(U$1)-COLUMN($A$1),FALSE))</f>
        <v>297.05494665079743</v>
      </c>
      <c r="U377" s="70">
        <f>IF(VLOOKUP($A377,raw_ub[],COLUMN(V$1)-COLUMN($A$1),FALSE)=0, VLOOKUP($D377, regions_ub[], COLUMN(V$1)-COLUMN($A$1), FALSE), VLOOKUP($A377,raw_ub[],COLUMN(V$1)-COLUMN($A$1),FALSE))</f>
        <v>277.25769862072991</v>
      </c>
      <c r="V377" s="70">
        <f>IF(VLOOKUP($A377,raw_ub[],COLUMN(W$1)-COLUMN($A$1),FALSE)=0, VLOOKUP($D377, regions_ub[], COLUMN(W$1)-COLUMN($A$1), FALSE), VLOOKUP($A377,raw_ub[],COLUMN(W$1)-COLUMN($A$1),FALSE))</f>
        <v>9.9597826121561273</v>
      </c>
      <c r="W377" s="70">
        <f>IF(VLOOKUP($A377,raw_ub[],COLUMN(X$1)-COLUMN($A$1),FALSE)=0, VLOOKUP($D377, regions_ub[], COLUMN(X$1)-COLUMN($A$1), FALSE), VLOOKUP($A377,raw_ub[],COLUMN(X$1)-COLUMN($A$1),FALSE))</f>
        <v>14.233282612156128</v>
      </c>
      <c r="X377" s="70">
        <f>IF(VLOOKUP($A377,raw_ub[],COLUMN(Y$1)-COLUMN($A$1),FALSE)=0, VLOOKUP($D377, regions_ub[], COLUMN(Y$1)-COLUMN($A$1), FALSE), VLOOKUP($A377,raw_ub[],COLUMN(Y$1)-COLUMN($A$1),FALSE))</f>
        <v>9.8839869584309668</v>
      </c>
      <c r="Y377" s="70">
        <f>IF(VLOOKUP($A377,raw_ub[],COLUMN(Z$1)-COLUMN($A$1),FALSE)=0, VLOOKUP($D377, regions_ub[], COLUMN(Z$1)-COLUMN($A$1), FALSE), VLOOKUP($A377,raw_ub[],COLUMN(Z$1)-COLUMN($A$1),FALSE))</f>
        <v>14.157486958430967</v>
      </c>
      <c r="Z377" s="70">
        <f>IF(VLOOKUP($A377,raw_ub[],COLUMN(AA$1)-COLUMN($A$1),FALSE)=0, VLOOKUP($D377, regions_ub[], COLUMN(AA$1)-COLUMN($A$1), FALSE), VLOOKUP($A377,raw_ub[],COLUMN(AA$1)-COLUMN($A$1),FALSE))</f>
        <v>14.115943565455281</v>
      </c>
      <c r="AA377" s="70">
        <f>IF(VLOOKUP($A377,raw_ub[],COLUMN(AB$1)-COLUMN($A$1),FALSE)=0, VLOOKUP($D377, regions_ub[], COLUMN(AB$1)-COLUMN($A$1), FALSE), VLOOKUP($A377,raw_ub[],COLUMN(AB$1)-COLUMN($A$1),FALSE))</f>
        <v>9.9772739168619324</v>
      </c>
      <c r="AB377" s="70">
        <f>IF(VLOOKUP($A377,raw_ub[],COLUMN(AC$1)-COLUMN($A$1),FALSE)=0, VLOOKUP($D377, regions_ub[], COLUMN(AC$1)-COLUMN($A$1), FALSE), VLOOKUP($A377,raw_ub[],COLUMN(AC$1)-COLUMN($A$1),FALSE))</f>
        <v>14.250773916861933</v>
      </c>
      <c r="AC377" s="72">
        <f>IF(VLOOKUP($A377,raw_ub[],COLUMN(AD$1)-COLUMN($A$1),FALSE)=0, VLOOKUP($D377, regions_ub[], COLUMN(AD$1)-COLUMN($A$1), FALSE), VLOOKUP($A377,raw_ub[],COLUMN(AD$1)-COLUMN($A$1),FALSE))</f>
        <v>7.0184519999999901E-3</v>
      </c>
      <c r="AD377" s="72">
        <f>IF(VLOOKUP($A377,raw_ub[],COLUMN(AE$1)-COLUMN($A$1),FALSE)=0, VLOOKUP($D377, regions_ub[], COLUMN(AE$1)-COLUMN($A$1), FALSE), VLOOKUP($A377,raw_ub[],COLUMN(AE$1)-COLUMN($A$1),FALSE))</f>
        <v>3.1834325773710554E-4</v>
      </c>
      <c r="AE377" s="72">
        <f>IF(VLOOKUP($A377,raw_ub[],COLUMN(AF$1)-COLUMN($A$1),FALSE)=0, VLOOKUP($D377, regions_ub[], COLUMN(AF$1)-COLUMN($A$1), FALSE), VLOOKUP($A377,raw_ub[],COLUMN(AF$1)-COLUMN($A$1),FALSE))</f>
        <v>1.4962940693952795E-4</v>
      </c>
      <c r="AF377" s="72">
        <f>IF(VLOOKUP($A377,raw_ub[],COLUMN(AG$1)-COLUMN($A$1),FALSE)=0, VLOOKUP($D377, regions_ub[], COLUMN(AG$1)-COLUMN($A$1), FALSE), VLOOKUP($A377,raw_ub[],COLUMN(AG$1)-COLUMN($A$1),FALSE))</f>
        <v>2.0458284709961075E-4</v>
      </c>
      <c r="AG377" s="72">
        <f>IF(VLOOKUP($A377,raw_ub[],COLUMN(AH$1)-COLUMN($A$1),FALSE)=0, VLOOKUP($D377, regions_ub[], COLUMN(AH$1)-COLUMN($A$1), FALSE), VLOOKUP($A377,raw_ub[],COLUMN(AH$1)-COLUMN($A$1),FALSE))</f>
        <v>3.7920874231048008E-4</v>
      </c>
      <c r="AH377" s="72">
        <f>IF(VLOOKUP($A377,raw_ub[],COLUMN(AI$1)-COLUMN($A$1),FALSE)=0, VLOOKUP($D377, regions_ub[], COLUMN(AI$1)-COLUMN($A$1), FALSE), VLOOKUP($A377,raw_ub[],COLUMN(AI$1)-COLUMN($A$1),FALSE))</f>
        <v>4.9271677979517009E-4</v>
      </c>
      <c r="AI377" s="72">
        <f>IF(VLOOKUP($A377,raw_ub[],COLUMN(AJ$1)-COLUMN($A$1),FALSE)=0, VLOOKUP($D377, regions_ub[], COLUMN(AJ$1)-COLUMN($A$1), FALSE), VLOOKUP($A377,raw_ub[],COLUMN(AJ$1)-COLUMN($A$1),FALSE))</f>
        <v>6.8378951808910923E-4</v>
      </c>
      <c r="AJ377" s="72">
        <f>IF(VLOOKUP($A377,raw_ub[],COLUMN(AK$1)-COLUMN($A$1),FALSE)=0, VLOOKUP($D377, regions_ub[], COLUMN(AK$1)-COLUMN($A$1), FALSE), VLOOKUP($A377,raw_ub[],COLUMN(AK$1)-COLUMN($A$1),FALSE))</f>
        <v>7.8254756719900031E-4</v>
      </c>
      <c r="AK377" s="72">
        <f>IF(VLOOKUP($A377,raw_ub[],COLUMN(AL$1)-COLUMN($A$1),FALSE)=0, VLOOKUP($D377, regions_ub[], COLUMN(AL$1)-COLUMN($A$1), FALSE), VLOOKUP($A377,raw_ub[],COLUMN(AL$1)-COLUMN($A$1),FALSE))</f>
        <v>1.2626091406555792E-3</v>
      </c>
      <c r="AL377" s="72">
        <f>IF(VLOOKUP($A377,raw_ub[],COLUMN(AM$1)-COLUMN($A$1),FALSE)=0, VLOOKUP($D377, regions_ub[], COLUMN(AM$1)-COLUMN($A$1), FALSE), VLOOKUP($A377,raw_ub[],COLUMN(AM$1)-COLUMN($A$1),FALSE))</f>
        <v>2.356641519909749E-3</v>
      </c>
      <c r="AM377" s="72">
        <f>IF(VLOOKUP($A377,raw_ub[],COLUMN(AN$1)-COLUMN($A$1),FALSE)=0, VLOOKUP($D377, regions_ub[], COLUMN(AN$1)-COLUMN($A$1), FALSE), VLOOKUP($A377,raw_ub[],COLUMN(AN$1)-COLUMN($A$1),FALSE))</f>
        <v>3.7139673608463765E-3</v>
      </c>
      <c r="AN377" s="72">
        <f>IF(VLOOKUP($A377,raw_ub[],COLUMN(AO$1)-COLUMN($A$1),FALSE)=0, VLOOKUP($D377, regions_ub[], COLUMN(AO$1)-COLUMN($A$1), FALSE), VLOOKUP($A377,raw_ub[],COLUMN(AO$1)-COLUMN($A$1),FALSE))</f>
        <v>6.6573697632187744E-3</v>
      </c>
      <c r="AO377" s="72">
        <f>IF(VLOOKUP($A377,raw_ub[],COLUMN(AP$1)-COLUMN($A$1),FALSE)=0, VLOOKUP($D377, regions_ub[], COLUMN(AP$1)-COLUMN($A$1), FALSE), VLOOKUP($A377,raw_ub[],COLUMN(AP$1)-COLUMN($A$1),FALSE))</f>
        <v>1.1168292730980739E-2</v>
      </c>
      <c r="AP377" s="72">
        <f>IF(VLOOKUP($A377,raw_ub[],COLUMN(AQ$1)-COLUMN($A$1),FALSE)=0, VLOOKUP($D377, regions_ub[], COLUMN(AQ$1)-COLUMN($A$1), FALSE), VLOOKUP($A377,raw_ub[],COLUMN(AQ$1)-COLUMN($A$1),FALSE))</f>
        <v>1.612834392871175E-2</v>
      </c>
      <c r="AQ377" s="72">
        <f>IF(VLOOKUP($A377,raw_ub[],COLUMN(AR$1)-COLUMN($A$1),FALSE)=0, VLOOKUP($D377, regions_ub[], COLUMN(AR$1)-COLUMN($A$1), FALSE), VLOOKUP($A377,raw_ub[],COLUMN(AR$1)-COLUMN($A$1),FALSE))</f>
        <v>2.0966345575680733E-2</v>
      </c>
      <c r="AR377" s="72">
        <f>IF(VLOOKUP($A377,raw_ub[],COLUMN(AS$1)-COLUMN($A$1),FALSE)=0, VLOOKUP($D377, regions_ub[], COLUMN(AS$1)-COLUMN($A$1), FALSE), VLOOKUP($A377,raw_ub[],COLUMN(AS$1)-COLUMN($A$1),FALSE))</f>
        <v>3.0368320793221909E-2</v>
      </c>
      <c r="AS377" s="72">
        <f>IF(VLOOKUP($A377,raw_ub[],COLUMN(AT$1)-COLUMN($A$1),FALSE)=0, VLOOKUP($D377, regions_ub[], COLUMN(AT$1)-COLUMN($A$1), FALSE), VLOOKUP($A377,raw_ub[],COLUMN(AT$1)-COLUMN($A$1),FALSE))</f>
        <v>4.855983006970082E-2</v>
      </c>
      <c r="AT377" s="82">
        <f>IF(VLOOKUP($A377,raw_ub[],COLUMN(AT$1),FALSE)=0, VLOOKUP($D377, regions_ub[], COLUMN(AT$1), FALSE), VLOOKUP($A377,raw_ub[],COLUMN(AT$1),FALSE))</f>
        <v>7.719790908925693E-2</v>
      </c>
      <c r="AU377" s="82">
        <f>IF(VLOOKUP($A377,raw_ub[],COLUMN(AU$1),FALSE)=0, VLOOKUP($D377, regions_ub[], COLUMN(AU$1), FALSE), VLOOKUP($A377,raw_ub[],COLUMN(AU$1),FALSE))</f>
        <v>0.1140872377370121</v>
      </c>
      <c r="AV377" s="82">
        <f>IF(VLOOKUP($A377,raw_ub[],COLUMN(AV$1),FALSE)=0, VLOOKUP($D377, regions_ub[], COLUMN(AV$1), FALSE), VLOOKUP($A377,raw_ub[],COLUMN(AV$1),FALSE))</f>
        <v>0.149963715098276</v>
      </c>
      <c r="AW377" s="82">
        <f>IF(VLOOKUP($A377,raw_ub[],COLUMN(AW$1),FALSE)=0, VLOOKUP($D377, regions_ub[], COLUMN(AW$1), FALSE), VLOOKUP($A377,raw_ub[],COLUMN(AW$1),FALSE))</f>
        <v>0.1767863205967124</v>
      </c>
      <c r="AX377" s="82">
        <f>IF(VLOOKUP($A377,raw_ub[],COLUMN(AX$1),FALSE)=0, VLOOKUP($D377, regions_ub[], COLUMN(AX$1), FALSE), VLOOKUP($A377,raw_ub[],COLUMN(AX$1),FALSE))</f>
        <v>79.618350000000007</v>
      </c>
      <c r="AY377" t="str">
        <f t="shared" si="13"/>
        <v>No</v>
      </c>
    </row>
    <row r="378" spans="1:51" x14ac:dyDescent="0.25">
      <c r="A378" s="53" t="s">
        <v>424</v>
      </c>
      <c r="B378" s="54" t="s">
        <v>425</v>
      </c>
      <c r="C378" s="54">
        <v>643</v>
      </c>
      <c r="D378" s="54" t="s">
        <v>201</v>
      </c>
      <c r="E378" s="54" t="s">
        <v>229</v>
      </c>
      <c r="F378" s="54" t="s">
        <v>203</v>
      </c>
      <c r="G378" s="54" t="s">
        <v>204</v>
      </c>
      <c r="H378" s="73"/>
      <c r="I378" s="73"/>
      <c r="J378" s="67">
        <f>IF(VLOOKUP($A378,raw_ub[],COLUMN(J$1),FALSE)=0, VLOOKUP($D378, regions_ub[], COLUMN(J$1), FALSE), VLOOKUP($A378,raw_ub[],COLUMN(J$1),FALSE))</f>
        <v>0.999</v>
      </c>
      <c r="K378" s="77">
        <f>VLOOKUP($A378, raw_ub[], 11, FALSE)</f>
        <v>0</v>
      </c>
      <c r="L378" s="77">
        <f>VLOOKUP($A378, raw_ub[], 12, FALSE)</f>
        <v>0.999</v>
      </c>
      <c r="M378" s="77">
        <f>IF(VLOOKUP($A378,raw_ub[],COLUMN(M$1),FALSE)=0, VLOOKUP($D378, regions_ub[], COLUMN(M$1), FALSE), VLOOKUP($A378,raw_ub[],COLUMN(M$1),FALSE))</f>
        <v>3.5499999999999997E-2</v>
      </c>
      <c r="N378" s="68">
        <f>IF(VLOOKUP($A378,raw_ub[],COLUMN(N$1),FALSE)=0, VLOOKUP($D378, regions_ub[], COLUMN(N$1), FALSE), VLOOKUP($A378,raw_ub[],COLUMN(N$1),FALSE))</f>
        <v>0.42969999999999997</v>
      </c>
      <c r="O378" s="67">
        <f>IF(VLOOKUP($A378,raw_ub[],COLUMN(O$1),FALSE)=0, VLOOKUP($D378, regions_ub[], COLUMN(O$1), FALSE), VLOOKUP($A378,raw_ub[],COLUMN(O$1),FALSE))</f>
        <v>0.9</v>
      </c>
      <c r="P378" s="68">
        <f>IF(VLOOKUP($A378,raw_ub[],COLUMN(P$1),FALSE)=0, VLOOKUP($D378, regions_ub[], COLUMN(P$1), FALSE), VLOOKUP($A378,raw_ub[],COLUMN(P$1),FALSE))</f>
        <v>0.3</v>
      </c>
      <c r="Q378" s="70">
        <f>IF(VLOOKUP($A378,raw_ub[],COLUMN(Q$1),FALSE)=0, VLOOKUP($D378, regions_ub[], COLUMN(Q$1), FALSE), VLOOKUP($A378,raw_ub[],COLUMN(Q$1),FALSE))</f>
        <v>45.5942844248341</v>
      </c>
      <c r="R378" s="70">
        <f>IF(VLOOKUP($A378,raw_ub[],COLUMN(R$1),FALSE)=0, VLOOKUP($D378, regions_ub[], COLUMN(R$1), FALSE), VLOOKUP($A378,raw_ub[],COLUMN(R$1),FALSE))</f>
        <v>154.58008442483413</v>
      </c>
      <c r="S378" s="70">
        <f>IF(VLOOKUP($A378,raw_ub[],COLUMN(S$1),FALSE)=0, VLOOKUP($D378, regions_ub[], COLUMN(S$1), FALSE), VLOOKUP($A378,raw_ub[],COLUMN(S$1),FALSE))</f>
        <v>310.59046790390164</v>
      </c>
      <c r="T378" s="70">
        <f>IF(VLOOKUP($A378,raw_ub[],COLUMN(U$1)-COLUMN($A$1),FALSE)=0, VLOOKUP($D378, regions_ub[], COLUMN(U$1)-COLUMN($A$1), FALSE), VLOOKUP($A378,raw_ub[],COLUMN(U$1)-COLUMN($A$1),FALSE))</f>
        <v>376.58043103536556</v>
      </c>
      <c r="U378" s="70">
        <f>IF(VLOOKUP($A378,raw_ub[],COLUMN(V$1)-COLUMN($A$1),FALSE)=0, VLOOKUP($D378, regions_ub[], COLUMN(V$1)-COLUMN($A$1), FALSE), VLOOKUP($A378,raw_ub[],COLUMN(V$1)-COLUMN($A$1),FALSE))</f>
        <v>346.27923481552068</v>
      </c>
      <c r="V378" s="70">
        <f>IF(VLOOKUP($A378,raw_ub[],COLUMN(W$1)-COLUMN($A$1),FALSE)=0, VLOOKUP($D378, regions_ub[], COLUMN(W$1)-COLUMN($A$1), FALSE), VLOOKUP($A378,raw_ub[],COLUMN(W$1)-COLUMN($A$1),FALSE))</f>
        <v>9.7590735912061302</v>
      </c>
      <c r="W378" s="70">
        <f>IF(VLOOKUP($A378,raw_ub[],COLUMN(X$1)-COLUMN($A$1),FALSE)=0, VLOOKUP($D378, regions_ub[], COLUMN(X$1)-COLUMN($A$1), FALSE), VLOOKUP($A378,raw_ub[],COLUMN(X$1)-COLUMN($A$1),FALSE))</f>
        <v>14.03257359120613</v>
      </c>
      <c r="X378" s="70">
        <f>IF(VLOOKUP($A378,raw_ub[],COLUMN(Y$1)-COLUMN($A$1),FALSE)=0, VLOOKUP($D378, regions_ub[], COLUMN(Y$1)-COLUMN($A$1), FALSE), VLOOKUP($A378,raw_ub[],COLUMN(Y$1)-COLUMN($A$1),FALSE))</f>
        <v>9.6993320503206224</v>
      </c>
      <c r="Y378" s="70">
        <f>IF(VLOOKUP($A378,raw_ub[],COLUMN(Z$1)-COLUMN($A$1),FALSE)=0, VLOOKUP($D378, regions_ub[], COLUMN(Z$1)-COLUMN($A$1), FALSE), VLOOKUP($A378,raw_ub[],COLUMN(Z$1)-COLUMN($A$1),FALSE))</f>
        <v>13.972832050320623</v>
      </c>
      <c r="Z378" s="70">
        <f>IF(VLOOKUP($A378,raw_ub[],COLUMN(AA$1)-COLUMN($A$1),FALSE)=0, VLOOKUP($D378, regions_ub[], COLUMN(AA$1)-COLUMN($A$1), FALSE), VLOOKUP($A378,raw_ub[],COLUMN(AA$1)-COLUMN($A$1),FALSE))</f>
        <v>13.939935908430828</v>
      </c>
      <c r="AA378" s="70">
        <f>IF(VLOOKUP($A378,raw_ub[],COLUMN(AB$1)-COLUMN($A$1),FALSE)=0, VLOOKUP($D378, regions_ub[], COLUMN(AB$1)-COLUMN($A$1), FALSE), VLOOKUP($A378,raw_ub[],COLUMN(AB$1)-COLUMN($A$1),FALSE))</f>
        <v>9.7728601006412461</v>
      </c>
      <c r="AB378" s="70">
        <f>IF(VLOOKUP($A378,raw_ub[],COLUMN(AC$1)-COLUMN($A$1),FALSE)=0, VLOOKUP($D378, regions_ub[], COLUMN(AC$1)-COLUMN($A$1), FALSE), VLOOKUP($A378,raw_ub[],COLUMN(AC$1)-COLUMN($A$1),FALSE))</f>
        <v>14.046360100641246</v>
      </c>
      <c r="AC378" s="72">
        <f>IF(VLOOKUP($A378,raw_ub[],COLUMN(AD$1)-COLUMN($A$1),FALSE)=0, VLOOKUP($D378, regions_ub[], COLUMN(AD$1)-COLUMN($A$1), FALSE), VLOOKUP($A378,raw_ub[],COLUMN(AD$1)-COLUMN($A$1),FALSE))</f>
        <v>6.0464565000000296E-3</v>
      </c>
      <c r="AD378" s="72">
        <f>IF(VLOOKUP($A378,raw_ub[],COLUMN(AE$1)-COLUMN($A$1),FALSE)=0, VLOOKUP($D378, regions_ub[], COLUMN(AE$1)-COLUMN($A$1), FALSE), VLOOKUP($A378,raw_ub[],COLUMN(AE$1)-COLUMN($A$1),FALSE))</f>
        <v>3.5774496008498814E-4</v>
      </c>
      <c r="AE378" s="72">
        <f>IF(VLOOKUP($A378,raw_ub[],COLUMN(AF$1)-COLUMN($A$1),FALSE)=0, VLOOKUP($D378, regions_ub[], COLUMN(AF$1)-COLUMN($A$1), FALSE), VLOOKUP($A378,raw_ub[],COLUMN(AF$1)-COLUMN($A$1),FALSE))</f>
        <v>2.0700584018428213E-4</v>
      </c>
      <c r="AF378" s="72">
        <f>IF(VLOOKUP($A378,raw_ub[],COLUMN(AG$1)-COLUMN($A$1),FALSE)=0, VLOOKUP($D378, regions_ub[], COLUMN(AG$1)-COLUMN($A$1), FALSE), VLOOKUP($A378,raw_ub[],COLUMN(AG$1)-COLUMN($A$1),FALSE))</f>
        <v>2.7298092993022471E-4</v>
      </c>
      <c r="AG378" s="72">
        <f>IF(VLOOKUP($A378,raw_ub[],COLUMN(AH$1)-COLUMN($A$1),FALSE)=0, VLOOKUP($D378, regions_ub[], COLUMN(AH$1)-COLUMN($A$1), FALSE), VLOOKUP($A378,raw_ub[],COLUMN(AH$1)-COLUMN($A$1),FALSE))</f>
        <v>6.5764226295985642E-4</v>
      </c>
      <c r="AH378" s="72">
        <f>IF(VLOOKUP($A378,raw_ub[],COLUMN(AI$1)-COLUMN($A$1),FALSE)=0, VLOOKUP($D378, regions_ub[], COLUMN(AI$1)-COLUMN($A$1), FALSE), VLOOKUP($A378,raw_ub[],COLUMN(AI$1)-COLUMN($A$1),FALSE))</f>
        <v>1.1661859369565123E-3</v>
      </c>
      <c r="AI378" s="72">
        <f>IF(VLOOKUP($A378,raw_ub[],COLUMN(AJ$1)-COLUMN($A$1),FALSE)=0, VLOOKUP($D378, regions_ub[], COLUMN(AJ$1)-COLUMN($A$1), FALSE), VLOOKUP($A378,raw_ub[],COLUMN(AJ$1)-COLUMN($A$1),FALSE))</f>
        <v>1.8728691953136306E-3</v>
      </c>
      <c r="AJ378" s="72">
        <f>IF(VLOOKUP($A378,raw_ub[],COLUMN(AK$1)-COLUMN($A$1),FALSE)=0, VLOOKUP($D378, regions_ub[], COLUMN(AK$1)-COLUMN($A$1), FALSE), VLOOKUP($A378,raw_ub[],COLUMN(AK$1)-COLUMN($A$1),FALSE))</f>
        <v>3.1430717674886437E-3</v>
      </c>
      <c r="AK378" s="72">
        <f>IF(VLOOKUP($A378,raw_ub[],COLUMN(AL$1)-COLUMN($A$1),FALSE)=0, VLOOKUP($D378, regions_ub[], COLUMN(AL$1)-COLUMN($A$1), FALSE), VLOOKUP($A378,raw_ub[],COLUMN(AL$1)-COLUMN($A$1),FALSE))</f>
        <v>4.6093032032654673E-3</v>
      </c>
      <c r="AL378" s="72">
        <f>IF(VLOOKUP($A378,raw_ub[],COLUMN(AM$1)-COLUMN($A$1),FALSE)=0, VLOOKUP($D378, regions_ub[], COLUMN(AM$1)-COLUMN($A$1), FALSE), VLOOKUP($A378,raw_ub[],COLUMN(AM$1)-COLUMN($A$1),FALSE))</f>
        <v>5.5311588229761529E-3</v>
      </c>
      <c r="AM378" s="72">
        <f>IF(VLOOKUP($A378,raw_ub[],COLUMN(AN$1)-COLUMN($A$1),FALSE)=0, VLOOKUP($D378, regions_ub[], COLUMN(AN$1)-COLUMN($A$1), FALSE), VLOOKUP($A378,raw_ub[],COLUMN(AN$1)-COLUMN($A$1),FALSE))</f>
        <v>6.796692394021967E-3</v>
      </c>
      <c r="AN378" s="72">
        <f>IF(VLOOKUP($A378,raw_ub[],COLUMN(AO$1)-COLUMN($A$1),FALSE)=0, VLOOKUP($D378, regions_ub[], COLUMN(AO$1)-COLUMN($A$1), FALSE), VLOOKUP($A378,raw_ub[],COLUMN(AO$1)-COLUMN($A$1),FALSE))</f>
        <v>9.2742136261744039E-3</v>
      </c>
      <c r="AO378" s="72">
        <f>IF(VLOOKUP($A378,raw_ub[],COLUMN(AP$1)-COLUMN($A$1),FALSE)=0, VLOOKUP($D378, regions_ub[], COLUMN(AP$1)-COLUMN($A$1), FALSE), VLOOKUP($A378,raw_ub[],COLUMN(AP$1)-COLUMN($A$1),FALSE))</f>
        <v>1.2947815628750636E-2</v>
      </c>
      <c r="AP378" s="72">
        <f>IF(VLOOKUP($A378,raw_ub[],COLUMN(AQ$1)-COLUMN($A$1),FALSE)=0, VLOOKUP($D378, regions_ub[], COLUMN(AQ$1)-COLUMN($A$1), FALSE), VLOOKUP($A378,raw_ub[],COLUMN(AQ$1)-COLUMN($A$1),FALSE))</f>
        <v>1.862264817536869E-2</v>
      </c>
      <c r="AQ378" s="72">
        <f>IF(VLOOKUP($A378,raw_ub[],COLUMN(AR$1)-COLUMN($A$1),FALSE)=0, VLOOKUP($D378, regions_ub[], COLUMN(AR$1)-COLUMN($A$1), FALSE), VLOOKUP($A378,raw_ub[],COLUMN(AR$1)-COLUMN($A$1),FALSE))</f>
        <v>2.517794933955975E-2</v>
      </c>
      <c r="AR378" s="72">
        <f>IF(VLOOKUP($A378,raw_ub[],COLUMN(AS$1)-COLUMN($A$1),FALSE)=0, VLOOKUP($D378, regions_ub[], COLUMN(AS$1)-COLUMN($A$1), FALSE), VLOOKUP($A378,raw_ub[],COLUMN(AS$1)-COLUMN($A$1),FALSE))</f>
        <v>3.4732336754161791E-2</v>
      </c>
      <c r="AS378" s="72">
        <f>IF(VLOOKUP($A378,raw_ub[],COLUMN(AT$1)-COLUMN($A$1),FALSE)=0, VLOOKUP($D378, regions_ub[], COLUMN(AT$1)-COLUMN($A$1), FALSE), VLOOKUP($A378,raw_ub[],COLUMN(AT$1)-COLUMN($A$1),FALSE))</f>
        <v>5.2165040151178954E-2</v>
      </c>
      <c r="AT378" s="82">
        <f>IF(VLOOKUP($A378,raw_ub[],COLUMN(AT$1),FALSE)=0, VLOOKUP($D378, regions_ub[], COLUMN(AT$1), FALSE), VLOOKUP($A378,raw_ub[],COLUMN(AT$1),FALSE))</f>
        <v>7.845871077585416E-2</v>
      </c>
      <c r="AU378" s="82">
        <f>IF(VLOOKUP($A378,raw_ub[],COLUMN(AU$1),FALSE)=0, VLOOKUP($D378, regions_ub[], COLUMN(AU$1), FALSE), VLOOKUP($A378,raw_ub[],COLUMN(AU$1),FALSE))</f>
        <v>0.10570432653906629</v>
      </c>
      <c r="AV378" s="82">
        <f>IF(VLOOKUP($A378,raw_ub[],COLUMN(AV$1),FALSE)=0, VLOOKUP($D378, regions_ub[], COLUMN(AV$1), FALSE), VLOOKUP($A378,raw_ub[],COLUMN(AV$1),FALSE))</f>
        <v>0.13830285190340175</v>
      </c>
      <c r="AW378" s="82">
        <f>IF(VLOOKUP($A378,raw_ub[],COLUMN(AW$1),FALSE)=0, VLOOKUP($D378, regions_ub[], COLUMN(AW$1), FALSE), VLOOKUP($A378,raw_ub[],COLUMN(AW$1),FALSE))</f>
        <v>0.16643607731717763</v>
      </c>
      <c r="AX378" s="82">
        <f>IF(VLOOKUP($A378,raw_ub[],COLUMN(AX$1),FALSE)=0, VLOOKUP($D378, regions_ub[], COLUMN(AX$1), FALSE), VLOOKUP($A378,raw_ub[],COLUMN(AX$1),FALSE))</f>
        <v>75.903450000000007</v>
      </c>
      <c r="AY378" t="str">
        <f t="shared" si="13"/>
        <v>Yes</v>
      </c>
    </row>
    <row r="379" spans="1:51" x14ac:dyDescent="0.25">
      <c r="A379" s="55" t="s">
        <v>426</v>
      </c>
      <c r="B379" s="56" t="s">
        <v>427</v>
      </c>
      <c r="C379" s="56">
        <v>646</v>
      </c>
      <c r="D379" s="56" t="s">
        <v>207</v>
      </c>
      <c r="E379" s="56" t="s">
        <v>255</v>
      </c>
      <c r="F379" s="56" t="s">
        <v>211</v>
      </c>
      <c r="G379" s="56" t="s">
        <v>198</v>
      </c>
      <c r="H379" s="74"/>
      <c r="I379" s="74"/>
      <c r="J379" s="67">
        <f>IF(VLOOKUP($A379,raw_ub[],COLUMN(J$1),FALSE)=0, VLOOKUP($D379, regions_ub[], COLUMN(J$1), FALSE), VLOOKUP($A379,raw_ub[],COLUMN(J$1),FALSE))</f>
        <v>0.95235000000000003</v>
      </c>
      <c r="K379" s="77">
        <f>VLOOKUP($A379, raw_ub[], 11, FALSE)</f>
        <v>0</v>
      </c>
      <c r="L379" s="77">
        <f>VLOOKUP($A379, raw_ub[], 12, FALSE)</f>
        <v>0.95550000000000013</v>
      </c>
      <c r="M379" s="77">
        <f>IF(VLOOKUP($A379,raw_ub[],COLUMN(M$1),FALSE)=0, VLOOKUP($D379, regions_ub[], COLUMN(M$1), FALSE), VLOOKUP($A379,raw_ub[],COLUMN(M$1),FALSE))</f>
        <v>2.7099999999999999E-2</v>
      </c>
      <c r="N379" s="68">
        <f>IF(VLOOKUP($A379,raw_ub[],COLUMN(N$1),FALSE)=0, VLOOKUP($D379, regions_ub[], COLUMN(N$1), FALSE), VLOOKUP($A379,raw_ub[],COLUMN(N$1),FALSE))</f>
        <v>0.39960000000000001</v>
      </c>
      <c r="O379" s="67">
        <f>IF(VLOOKUP($A379,raw_ub[],COLUMN(O$1),FALSE)=0, VLOOKUP($D379, regions_ub[], COLUMN(O$1), FALSE), VLOOKUP($A379,raw_ub[],COLUMN(O$1),FALSE))</f>
        <v>0.74399999999999999</v>
      </c>
      <c r="P379" s="68">
        <f>IF(VLOOKUP($A379,raw_ub[],COLUMN(P$1),FALSE)=0, VLOOKUP($D379, regions_ub[], COLUMN(P$1), FALSE), VLOOKUP($A379,raw_ub[],COLUMN(P$1),FALSE))</f>
        <v>0.13300000000000001</v>
      </c>
      <c r="Q379" s="70">
        <f>IF(VLOOKUP($A379,raw_ub[],COLUMN(Q$1),FALSE)=0, VLOOKUP($D379, regions_ub[], COLUMN(Q$1), FALSE), VLOOKUP($A379,raw_ub[],COLUMN(Q$1),FALSE))</f>
        <v>6.9838296296296303</v>
      </c>
      <c r="R379" s="70">
        <f>IF(VLOOKUP($A379,raw_ub[],COLUMN(R$1),FALSE)=0, VLOOKUP($D379, regions_ub[], COLUMN(R$1), FALSE), VLOOKUP($A379,raw_ub[],COLUMN(R$1),FALSE))</f>
        <v>115.96962962962964</v>
      </c>
      <c r="S379" s="70">
        <f>IF(VLOOKUP($A379,raw_ub[],COLUMN(S$1),FALSE)=0, VLOOKUP($D379, regions_ub[], COLUMN(S$1), FALSE), VLOOKUP($A379,raw_ub[],COLUMN(S$1),FALSE))</f>
        <v>147.95808870236351</v>
      </c>
      <c r="T379" s="70">
        <f>IF(VLOOKUP($A379,raw_ub[],COLUMN(U$1)-COLUMN($A$1),FALSE)=0, VLOOKUP($D379, regions_ub[], COLUMN(U$1)-COLUMN($A$1), FALSE), VLOOKUP($A379,raw_ub[],COLUMN(U$1)-COLUMN($A$1),FALSE))</f>
        <v>149.3989748889002</v>
      </c>
      <c r="U379" s="70">
        <f>IF(VLOOKUP($A379,raw_ub[],COLUMN(V$1)-COLUMN($A$1),FALSE)=0, VLOOKUP($D379, regions_ub[], COLUMN(V$1)-COLUMN($A$1), FALSE), VLOOKUP($A379,raw_ub[],COLUMN(V$1)-COLUMN($A$1),FALSE))</f>
        <v>148.73735040849652</v>
      </c>
      <c r="V379" s="70">
        <f>IF(VLOOKUP($A379,raw_ub[],COLUMN(W$1)-COLUMN($A$1),FALSE)=0, VLOOKUP($D379, regions_ub[], COLUMN(W$1)-COLUMN($A$1), FALSE), VLOOKUP($A379,raw_ub[],COLUMN(W$1)-COLUMN($A$1),FALSE))</f>
        <v>6.1509549953788092</v>
      </c>
      <c r="W379" s="70">
        <f>IF(VLOOKUP($A379,raw_ub[],COLUMN(X$1)-COLUMN($A$1),FALSE)=0, VLOOKUP($D379, regions_ub[], COLUMN(X$1)-COLUMN($A$1), FALSE), VLOOKUP($A379,raw_ub[],COLUMN(X$1)-COLUMN($A$1),FALSE))</f>
        <v>11.22245499537881</v>
      </c>
      <c r="X379" s="70">
        <f>IF(VLOOKUP($A379,raw_ub[],COLUMN(Y$1)-COLUMN($A$1),FALSE)=0, VLOOKUP($D379, regions_ub[], COLUMN(Y$1)-COLUMN($A$1), FALSE), VLOOKUP($A379,raw_ub[],COLUMN(Y$1)-COLUMN($A$1),FALSE))</f>
        <v>6.1378693767607224</v>
      </c>
      <c r="Y379" s="70">
        <f>IF(VLOOKUP($A379,raw_ub[],COLUMN(Z$1)-COLUMN($A$1),FALSE)=0, VLOOKUP($D379, regions_ub[], COLUMN(Z$1)-COLUMN($A$1), FALSE), VLOOKUP($A379,raw_ub[],COLUMN(Z$1)-COLUMN($A$1),FALSE))</f>
        <v>11.209369376760723</v>
      </c>
      <c r="Z379" s="70">
        <f>IF(VLOOKUP($A379,raw_ub[],COLUMN(AA$1)-COLUMN($A$1),FALSE)=0, VLOOKUP($D379, regions_ub[], COLUMN(AA$1)-COLUMN($A$1), FALSE), VLOOKUP($A379,raw_ub[],COLUMN(AA$1)-COLUMN($A$1),FALSE))</f>
        <v>11.202375313044708</v>
      </c>
      <c r="AA379" s="70">
        <f>IF(VLOOKUP($A379,raw_ub[],COLUMN(AB$1)-COLUMN($A$1),FALSE)=0, VLOOKUP($D379, regions_ub[], COLUMN(AB$1)-COLUMN($A$1), FALSE), VLOOKUP($A379,raw_ub[],COLUMN(AB$1)-COLUMN($A$1),FALSE))</f>
        <v>6.1539747535214451</v>
      </c>
      <c r="AB379" s="70">
        <f>IF(VLOOKUP($A379,raw_ub[],COLUMN(AC$1)-COLUMN($A$1),FALSE)=0, VLOOKUP($D379, regions_ub[], COLUMN(AC$1)-COLUMN($A$1), FALSE), VLOOKUP($A379,raw_ub[],COLUMN(AC$1)-COLUMN($A$1),FALSE))</f>
        <v>11.225474753521446</v>
      </c>
      <c r="AC379" s="72">
        <f>IF(VLOOKUP($A379,raw_ub[],COLUMN(AD$1)-COLUMN($A$1),FALSE)=0, VLOOKUP($D379, regions_ub[], COLUMN(AD$1)-COLUMN($A$1), FALSE), VLOOKUP($A379,raw_ub[],COLUMN(AD$1)-COLUMN($A$1),FALSE))</f>
        <v>3.0654372000000079E-2</v>
      </c>
      <c r="AD379" s="72">
        <f>IF(VLOOKUP($A379,raw_ub[],COLUMN(AE$1)-COLUMN($A$1),FALSE)=0, VLOOKUP($D379, regions_ub[], COLUMN(AE$1)-COLUMN($A$1), FALSE), VLOOKUP($A379,raw_ub[],COLUMN(AE$1)-COLUMN($A$1),FALSE))</f>
        <v>2.4909484688053016E-3</v>
      </c>
      <c r="AE379" s="72">
        <f>IF(VLOOKUP($A379,raw_ub[],COLUMN(AF$1)-COLUMN($A$1),FALSE)=0, VLOOKUP($D379, regions_ub[], COLUMN(AF$1)-COLUMN($A$1), FALSE), VLOOKUP($A379,raw_ub[],COLUMN(AF$1)-COLUMN($A$1),FALSE))</f>
        <v>9.9582778815158102E-4</v>
      </c>
      <c r="AF379" s="72">
        <f>IF(VLOOKUP($A379,raw_ub[],COLUMN(AG$1)-COLUMN($A$1),FALSE)=0, VLOOKUP($D379, regions_ub[], COLUMN(AG$1)-COLUMN($A$1), FALSE), VLOOKUP($A379,raw_ub[],COLUMN(AG$1)-COLUMN($A$1),FALSE))</f>
        <v>7.7091027859474588E-4</v>
      </c>
      <c r="AG379" s="72">
        <f>IF(VLOOKUP($A379,raw_ub[],COLUMN(AH$1)-COLUMN($A$1),FALSE)=0, VLOOKUP($D379, regions_ub[], COLUMN(AH$1)-COLUMN($A$1), FALSE), VLOOKUP($A379,raw_ub[],COLUMN(AH$1)-COLUMN($A$1),FALSE))</f>
        <v>1.3471433721220184E-3</v>
      </c>
      <c r="AH379" s="72">
        <f>IF(VLOOKUP($A379,raw_ub[],COLUMN(AI$1)-COLUMN($A$1),FALSE)=0, VLOOKUP($D379, regions_ub[], COLUMN(AI$1)-COLUMN($A$1), FALSE), VLOOKUP($A379,raw_ub[],COLUMN(AI$1)-COLUMN($A$1),FALSE))</f>
        <v>2.0279120052268222E-3</v>
      </c>
      <c r="AI379" s="72">
        <f>IF(VLOOKUP($A379,raw_ub[],COLUMN(AJ$1)-COLUMN($A$1),FALSE)=0, VLOOKUP($D379, regions_ub[], COLUMN(AJ$1)-COLUMN($A$1), FALSE), VLOOKUP($A379,raw_ub[],COLUMN(AJ$1)-COLUMN($A$1),FALSE))</f>
        <v>2.4482049791448727E-3</v>
      </c>
      <c r="AJ379" s="72">
        <f>IF(VLOOKUP($A379,raw_ub[],COLUMN(AK$1)-COLUMN($A$1),FALSE)=0, VLOOKUP($D379, regions_ub[], COLUMN(AK$1)-COLUMN($A$1), FALSE), VLOOKUP($A379,raw_ub[],COLUMN(AK$1)-COLUMN($A$1),FALSE))</f>
        <v>2.9457602370713061E-3</v>
      </c>
      <c r="AK379" s="72">
        <f>IF(VLOOKUP($A379,raw_ub[],COLUMN(AL$1)-COLUMN($A$1),FALSE)=0, VLOOKUP($D379, regions_ub[], COLUMN(AL$1)-COLUMN($A$1), FALSE), VLOOKUP($A379,raw_ub[],COLUMN(AL$1)-COLUMN($A$1),FALSE))</f>
        <v>3.6939413007960149E-3</v>
      </c>
      <c r="AL379" s="72">
        <f>IF(VLOOKUP($A379,raw_ub[],COLUMN(AM$1)-COLUMN($A$1),FALSE)=0, VLOOKUP($D379, regions_ub[], COLUMN(AM$1)-COLUMN($A$1), FALSE), VLOOKUP($A379,raw_ub[],COLUMN(AM$1)-COLUMN($A$1),FALSE))</f>
        <v>4.7426844855669422E-3</v>
      </c>
      <c r="AM379" s="72">
        <f>IF(VLOOKUP($A379,raw_ub[],COLUMN(AN$1)-COLUMN($A$1),FALSE)=0, VLOOKUP($D379, regions_ub[], COLUMN(AN$1)-COLUMN($A$1), FALSE), VLOOKUP($A379,raw_ub[],COLUMN(AN$1)-COLUMN($A$1),FALSE))</f>
        <v>6.1139704638213371E-3</v>
      </c>
      <c r="AN379" s="72">
        <f>IF(VLOOKUP($A379,raw_ub[],COLUMN(AO$1)-COLUMN($A$1),FALSE)=0, VLOOKUP($D379, regions_ub[], COLUMN(AO$1)-COLUMN($A$1), FALSE), VLOOKUP($A379,raw_ub[],COLUMN(AO$1)-COLUMN($A$1),FALSE))</f>
        <v>8.837210710149826E-3</v>
      </c>
      <c r="AO379" s="72">
        <f>IF(VLOOKUP($A379,raw_ub[],COLUMN(AP$1)-COLUMN($A$1),FALSE)=0, VLOOKUP($D379, regions_ub[], COLUMN(AP$1)-COLUMN($A$1), FALSE), VLOOKUP($A379,raw_ub[],COLUMN(AP$1)-COLUMN($A$1),FALSE))</f>
        <v>1.1905570264579857E-2</v>
      </c>
      <c r="AP379" s="72">
        <f>IF(VLOOKUP($A379,raw_ub[],COLUMN(AQ$1)-COLUMN($A$1),FALSE)=0, VLOOKUP($D379, regions_ub[], COLUMN(AQ$1)-COLUMN($A$1), FALSE), VLOOKUP($A379,raw_ub[],COLUMN(AQ$1)-COLUMN($A$1),FALSE))</f>
        <v>1.7797746980497641E-2</v>
      </c>
      <c r="AQ379" s="72">
        <f>IF(VLOOKUP($A379,raw_ub[],COLUMN(AR$1)-COLUMN($A$1),FALSE)=0, VLOOKUP($D379, regions_ub[], COLUMN(AR$1)-COLUMN($A$1), FALSE), VLOOKUP($A379,raw_ub[],COLUMN(AR$1)-COLUMN($A$1),FALSE))</f>
        <v>2.7382773098479352E-2</v>
      </c>
      <c r="AR379" s="72">
        <f>IF(VLOOKUP($A379,raw_ub[],COLUMN(AS$1)-COLUMN($A$1),FALSE)=0, VLOOKUP($D379, regions_ub[], COLUMN(AS$1)-COLUMN($A$1), FALSE), VLOOKUP($A379,raw_ub[],COLUMN(AS$1)-COLUMN($A$1),FALSE))</f>
        <v>4.2356243392157364E-2</v>
      </c>
      <c r="AS379" s="72">
        <f>IF(VLOOKUP($A379,raw_ub[],COLUMN(AT$1)-COLUMN($A$1),FALSE)=0, VLOOKUP($D379, regions_ub[], COLUMN(AT$1)-COLUMN($A$1), FALSE), VLOOKUP($A379,raw_ub[],COLUMN(AT$1)-COLUMN($A$1),FALSE))</f>
        <v>6.5541076566441619E-2</v>
      </c>
      <c r="AT379" s="82">
        <f>IF(VLOOKUP($A379,raw_ub[],COLUMN(AT$1),FALSE)=0, VLOOKUP($D379, regions_ub[], COLUMN(AT$1), FALSE), VLOOKUP($A379,raw_ub[],COLUMN(AT$1),FALSE))</f>
        <v>9.9793804988603949E-2</v>
      </c>
      <c r="AU379" s="82">
        <f>IF(VLOOKUP($A379,raw_ub[],COLUMN(AU$1),FALSE)=0, VLOOKUP($D379, regions_ub[], COLUMN(AU$1), FALSE), VLOOKUP($A379,raw_ub[],COLUMN(AU$1),FALSE))</f>
        <v>0.14126396326921803</v>
      </c>
      <c r="AV379" s="82">
        <f>IF(VLOOKUP($A379,raw_ub[],COLUMN(AV$1),FALSE)=0, VLOOKUP($D379, regions_ub[], COLUMN(AV$1), FALSE), VLOOKUP($A379,raw_ub[],COLUMN(AV$1),FALSE))</f>
        <v>0.18033380815689359</v>
      </c>
      <c r="AW379" s="82">
        <f>IF(VLOOKUP($A379,raw_ub[],COLUMN(AW$1),FALSE)=0, VLOOKUP($D379, regions_ub[], COLUMN(AW$1), FALSE), VLOOKUP($A379,raw_ub[],COLUMN(AW$1),FALSE))</f>
        <v>0.19646060307566926</v>
      </c>
      <c r="AX379" s="82">
        <f>IF(VLOOKUP($A379,raw_ub[],COLUMN(AX$1),FALSE)=0, VLOOKUP($D379, regions_ub[], COLUMN(AX$1), FALSE), VLOOKUP($A379,raw_ub[],COLUMN(AX$1),FALSE))</f>
        <v>71.85990000000001</v>
      </c>
      <c r="AY379" t="str">
        <f t="shared" si="13"/>
        <v>Yes</v>
      </c>
    </row>
    <row r="380" spans="1:51" x14ac:dyDescent="0.25">
      <c r="A380" s="53" t="s">
        <v>428</v>
      </c>
      <c r="B380" s="54" t="s">
        <v>429</v>
      </c>
      <c r="C380" s="54">
        <v>662</v>
      </c>
      <c r="D380" s="54" t="s">
        <v>215</v>
      </c>
      <c r="E380" s="54" t="s">
        <v>232</v>
      </c>
      <c r="F380" s="54" t="s">
        <v>217</v>
      </c>
      <c r="G380" s="54" t="s">
        <v>204</v>
      </c>
      <c r="H380" s="73"/>
      <c r="I380" s="73"/>
      <c r="J380" s="67">
        <f>IF(VLOOKUP($A380,raw_ub[],COLUMN(J$1),FALSE)=0, VLOOKUP($D380, regions_ub[], COLUMN(J$1), FALSE), VLOOKUP($A380,raw_ub[],COLUMN(J$1),FALSE))</f>
        <v>0.999</v>
      </c>
      <c r="K380" s="77">
        <f>VLOOKUP($A380, raw_ub[], 11, FALSE)</f>
        <v>0.90300000000000002</v>
      </c>
      <c r="L380" s="77">
        <f>VLOOKUP($A380, raw_ub[], 12, FALSE)</f>
        <v>0.90300000000000002</v>
      </c>
      <c r="M380" s="77">
        <f>IF(VLOOKUP($A380,raw_ub[],COLUMN(M$1),FALSE)=0, VLOOKUP($D380, regions_ub[], COLUMN(M$1), FALSE), VLOOKUP($A380,raw_ub[],COLUMN(M$1),FALSE))</f>
        <v>4.7E-2</v>
      </c>
      <c r="N380" s="68">
        <f>IF(VLOOKUP($A380,raw_ub[],COLUMN(N$1),FALSE)=0, VLOOKUP($D380, regions_ub[], COLUMN(N$1), FALSE), VLOOKUP($A380,raw_ub[],COLUMN(N$1),FALSE))</f>
        <v>0.43</v>
      </c>
      <c r="O380" s="67">
        <f>IF(VLOOKUP($A380,raw_ub[],COLUMN(O$1),FALSE)=0, VLOOKUP($D380, regions_ub[], COLUMN(O$1), FALSE), VLOOKUP($A380,raw_ub[],COLUMN(O$1),FALSE))</f>
        <v>0.9</v>
      </c>
      <c r="P380" s="68">
        <f>IF(VLOOKUP($A380,raw_ub[],COLUMN(P$1),FALSE)=0, VLOOKUP($D380, regions_ub[], COLUMN(P$1), FALSE), VLOOKUP($A380,raw_ub[],COLUMN(P$1),FALSE))</f>
        <v>0.3</v>
      </c>
      <c r="Q380" s="70">
        <f>IF(VLOOKUP($A380,raw_ub[],COLUMN(Q$1),FALSE)=0, VLOOKUP($D380, regions_ub[], COLUMN(Q$1), FALSE), VLOOKUP($A380,raw_ub[],COLUMN(Q$1),FALSE))</f>
        <v>34.976862195655301</v>
      </c>
      <c r="R380" s="70">
        <f>IF(VLOOKUP($A380,raw_ub[],COLUMN(R$1),FALSE)=0, VLOOKUP($D380, regions_ub[], COLUMN(R$1), FALSE), VLOOKUP($A380,raw_ub[],COLUMN(R$1),FALSE))</f>
        <v>143.9626621956553</v>
      </c>
      <c r="S380" s="70">
        <f>IF(VLOOKUP($A380,raw_ub[],COLUMN(S$1),FALSE)=0, VLOOKUP($D380, regions_ub[], COLUMN(S$1), FALSE), VLOOKUP($A380,raw_ub[],COLUMN(S$1),FALSE))</f>
        <v>252.64089661030837</v>
      </c>
      <c r="T380" s="70">
        <f>IF(VLOOKUP($A380,raw_ub[],COLUMN(U$1)-COLUMN($A$1),FALSE)=0, VLOOKUP($D380, regions_ub[], COLUMN(U$1)-COLUMN($A$1), FALSE), VLOOKUP($A380,raw_ub[],COLUMN(U$1)-COLUMN($A$1),FALSE))</f>
        <v>293.99613046666661</v>
      </c>
      <c r="U380" s="70">
        <f>IF(VLOOKUP($A380,raw_ub[],COLUMN(V$1)-COLUMN($A$1),FALSE)=0, VLOOKUP($D380, regions_ub[], COLUMN(V$1)-COLUMN($A$1), FALSE), VLOOKUP($A380,raw_ub[],COLUMN(V$1)-COLUMN($A$1),FALSE))</f>
        <v>275.00668121810952</v>
      </c>
      <c r="V380" s="70">
        <f>IF(VLOOKUP($A380,raw_ub[],COLUMN(W$1)-COLUMN($A$1),FALSE)=0, VLOOKUP($D380, regions_ub[], COLUMN(W$1)-COLUMN($A$1), FALSE), VLOOKUP($A380,raw_ub[],COLUMN(W$1)-COLUMN($A$1),FALSE))</f>
        <v>31.514899158312616</v>
      </c>
      <c r="W380" s="70">
        <f>IF(VLOOKUP($A380,raw_ub[],COLUMN(X$1)-COLUMN($A$1),FALSE)=0, VLOOKUP($D380, regions_ub[], COLUMN(X$1)-COLUMN($A$1), FALSE), VLOOKUP($A380,raw_ub[],COLUMN(X$1)-COLUMN($A$1),FALSE))</f>
        <v>31.535899158312617</v>
      </c>
      <c r="X380" s="70">
        <f>IF(VLOOKUP($A380,raw_ub[],COLUMN(Y$1)-COLUMN($A$1),FALSE)=0, VLOOKUP($D380, regions_ub[], COLUMN(Y$1)-COLUMN($A$1), FALSE), VLOOKUP($A380,raw_ub[],COLUMN(Y$1)-COLUMN($A$1),FALSE))</f>
        <v>31.464460432172476</v>
      </c>
      <c r="Y380" s="70">
        <f>IF(VLOOKUP($A380,raw_ub[],COLUMN(Z$1)-COLUMN($A$1),FALSE)=0, VLOOKUP($D380, regions_ub[], COLUMN(Z$1)-COLUMN($A$1), FALSE), VLOOKUP($A380,raw_ub[],COLUMN(Z$1)-COLUMN($A$1),FALSE))</f>
        <v>31.485460432172477</v>
      </c>
      <c r="Z380" s="70">
        <f>IF(VLOOKUP($A380,raw_ub[],COLUMN(AA$1)-COLUMN($A$1),FALSE)=0, VLOOKUP($D380, regions_ub[], COLUMN(AA$1)-COLUMN($A$1), FALSE), VLOOKUP($A380,raw_ub[],COLUMN(AA$1)-COLUMN($A$1),FALSE))</f>
        <v>31.458708942477802</v>
      </c>
      <c r="AA380" s="70">
        <f>IF(VLOOKUP($A380,raw_ub[],COLUMN(AB$1)-COLUMN($A$1),FALSE)=0, VLOOKUP($D380, regions_ub[], COLUMN(AB$1)-COLUMN($A$1), FALSE), VLOOKUP($A380,raw_ub[],COLUMN(AB$1)-COLUMN($A$1),FALSE))</f>
        <v>31.526538864344957</v>
      </c>
      <c r="AB380" s="70">
        <f>IF(VLOOKUP($A380,raw_ub[],COLUMN(AC$1)-COLUMN($A$1),FALSE)=0, VLOOKUP($D380, regions_ub[], COLUMN(AC$1)-COLUMN($A$1), FALSE), VLOOKUP($A380,raw_ub[],COLUMN(AC$1)-COLUMN($A$1),FALSE))</f>
        <v>31.547538864344958</v>
      </c>
      <c r="AC380" s="72">
        <f>IF(VLOOKUP($A380,raw_ub[],COLUMN(AD$1)-COLUMN($A$1),FALSE)=0, VLOOKUP($D380, regions_ub[], COLUMN(AD$1)-COLUMN($A$1), FALSE), VLOOKUP($A380,raw_ub[],COLUMN(AD$1)-COLUMN($A$1),FALSE))</f>
        <v>1.3114941000000014E-2</v>
      </c>
      <c r="AD380" s="72">
        <f>IF(VLOOKUP($A380,raw_ub[],COLUMN(AE$1)-COLUMN($A$1),FALSE)=0, VLOOKUP($D380, regions_ub[], COLUMN(AE$1)-COLUMN($A$1), FALSE), VLOOKUP($A380,raw_ub[],COLUMN(AE$1)-COLUMN($A$1),FALSE))</f>
        <v>9.6928414102067588E-4</v>
      </c>
      <c r="AE380" s="72">
        <f>IF(VLOOKUP($A380,raw_ub[],COLUMN(AF$1)-COLUMN($A$1),FALSE)=0, VLOOKUP($D380, regions_ub[], COLUMN(AF$1)-COLUMN($A$1), FALSE), VLOOKUP($A380,raw_ub[],COLUMN(AF$1)-COLUMN($A$1),FALSE))</f>
        <v>3.5429407619163282E-4</v>
      </c>
      <c r="AF380" s="72">
        <f>IF(VLOOKUP($A380,raw_ub[],COLUMN(AG$1)-COLUMN($A$1),FALSE)=0, VLOOKUP($D380, regions_ub[], COLUMN(AG$1)-COLUMN($A$1), FALSE), VLOOKUP($A380,raw_ub[],COLUMN(AG$1)-COLUMN($A$1),FALSE))</f>
        <v>3.2914214399403326E-4</v>
      </c>
      <c r="AG380" s="72">
        <f>IF(VLOOKUP($A380,raw_ub[],COLUMN(AH$1)-COLUMN($A$1),FALSE)=0, VLOOKUP($D380, regions_ub[], COLUMN(AH$1)-COLUMN($A$1), FALSE), VLOOKUP($A380,raw_ub[],COLUMN(AH$1)-COLUMN($A$1),FALSE))</f>
        <v>7.7762395340663843E-4</v>
      </c>
      <c r="AH380" s="72">
        <f>IF(VLOOKUP($A380,raw_ub[],COLUMN(AI$1)-COLUMN($A$1),FALSE)=0, VLOOKUP($D380, regions_ub[], COLUMN(AI$1)-COLUMN($A$1), FALSE), VLOOKUP($A380,raw_ub[],COLUMN(AI$1)-COLUMN($A$1),FALSE))</f>
        <v>1.0609999372794764E-3</v>
      </c>
      <c r="AI380" s="72">
        <f>IF(VLOOKUP($A380,raw_ub[],COLUMN(AJ$1)-COLUMN($A$1),FALSE)=0, VLOOKUP($D380, regions_ub[], COLUMN(AJ$1)-COLUMN($A$1), FALSE), VLOOKUP($A380,raw_ub[],COLUMN(AJ$1)-COLUMN($A$1),FALSE))</f>
        <v>1.1264154387034234E-3</v>
      </c>
      <c r="AJ380" s="72">
        <f>IF(VLOOKUP($A380,raw_ub[],COLUMN(AK$1)-COLUMN($A$1),FALSE)=0, VLOOKUP($D380, regions_ub[], COLUMN(AK$1)-COLUMN($A$1), FALSE), VLOOKUP($A380,raw_ub[],COLUMN(AK$1)-COLUMN($A$1),FALSE))</f>
        <v>1.3526802595224669E-3</v>
      </c>
      <c r="AK380" s="72">
        <f>IF(VLOOKUP($A380,raw_ub[],COLUMN(AL$1)-COLUMN($A$1),FALSE)=0, VLOOKUP($D380, regions_ub[], COLUMN(AL$1)-COLUMN($A$1), FALSE), VLOOKUP($A380,raw_ub[],COLUMN(AL$1)-COLUMN($A$1),FALSE))</f>
        <v>1.860717228947579E-3</v>
      </c>
      <c r="AL380" s="72">
        <f>IF(VLOOKUP($A380,raw_ub[],COLUMN(AM$1)-COLUMN($A$1),FALSE)=0, VLOOKUP($D380, regions_ub[], COLUMN(AM$1)-COLUMN($A$1), FALSE), VLOOKUP($A380,raw_ub[],COLUMN(AM$1)-COLUMN($A$1),FALSE))</f>
        <v>2.7492377476178689E-3</v>
      </c>
      <c r="AM380" s="72">
        <f>IF(VLOOKUP($A380,raw_ub[],COLUMN(AN$1)-COLUMN($A$1),FALSE)=0, VLOOKUP($D380, regions_ub[], COLUMN(AN$1)-COLUMN($A$1), FALSE), VLOOKUP($A380,raw_ub[],COLUMN(AN$1)-COLUMN($A$1),FALSE))</f>
        <v>4.3008484235198541E-3</v>
      </c>
      <c r="AN380" s="72">
        <f>IF(VLOOKUP($A380,raw_ub[],COLUMN(AO$1)-COLUMN($A$1),FALSE)=0, VLOOKUP($D380, regions_ub[], COLUMN(AO$1)-COLUMN($A$1), FALSE), VLOOKUP($A380,raw_ub[],COLUMN(AO$1)-COLUMN($A$1),FALSE))</f>
        <v>6.7539839874340892E-3</v>
      </c>
      <c r="AO380" s="72">
        <f>IF(VLOOKUP($A380,raw_ub[],COLUMN(AP$1)-COLUMN($A$1),FALSE)=0, VLOOKUP($D380, regions_ub[], COLUMN(AP$1)-COLUMN($A$1), FALSE), VLOOKUP($A380,raw_ub[],COLUMN(AP$1)-COLUMN($A$1),FALSE))</f>
        <v>1.0473548839332105E-2</v>
      </c>
      <c r="AP380" s="72">
        <f>IF(VLOOKUP($A380,raw_ub[],COLUMN(AQ$1)-COLUMN($A$1),FALSE)=0, VLOOKUP($D380, regions_ub[], COLUMN(AQ$1)-COLUMN($A$1), FALSE), VLOOKUP($A380,raw_ub[],COLUMN(AQ$1)-COLUMN($A$1),FALSE))</f>
        <v>1.3216112054242713E-2</v>
      </c>
      <c r="AQ380" s="72">
        <f>IF(VLOOKUP($A380,raw_ub[],COLUMN(AR$1)-COLUMN($A$1),FALSE)=0, VLOOKUP($D380, regions_ub[], COLUMN(AR$1)-COLUMN($A$1), FALSE), VLOOKUP($A380,raw_ub[],COLUMN(AR$1)-COLUMN($A$1),FALSE))</f>
        <v>1.6874830616333686E-2</v>
      </c>
      <c r="AR380" s="72">
        <f>IF(VLOOKUP($A380,raw_ub[],COLUMN(AS$1)-COLUMN($A$1),FALSE)=0, VLOOKUP($D380, regions_ub[], COLUMN(AS$1)-COLUMN($A$1), FALSE), VLOOKUP($A380,raw_ub[],COLUMN(AS$1)-COLUMN($A$1),FALSE))</f>
        <v>2.4673985700019597E-2</v>
      </c>
      <c r="AS380" s="72">
        <f>IF(VLOOKUP($A380,raw_ub[],COLUMN(AT$1)-COLUMN($A$1),FALSE)=0, VLOOKUP($D380, regions_ub[], COLUMN(AT$1)-COLUMN($A$1), FALSE), VLOOKUP($A380,raw_ub[],COLUMN(AT$1)-COLUMN($A$1),FALSE))</f>
        <v>4.1255118641149287E-2</v>
      </c>
      <c r="AT380" s="82">
        <f>IF(VLOOKUP($A380,raw_ub[],COLUMN(AT$1),FALSE)=0, VLOOKUP($D380, regions_ub[], COLUMN(AT$1), FALSE), VLOOKUP($A380,raw_ub[],COLUMN(AT$1),FALSE))</f>
        <v>6.5343643191350761E-2</v>
      </c>
      <c r="AU380" s="82">
        <f>IF(VLOOKUP($A380,raw_ub[],COLUMN(AU$1),FALSE)=0, VLOOKUP($D380, regions_ub[], COLUMN(AU$1), FALSE), VLOOKUP($A380,raw_ub[],COLUMN(AU$1),FALSE))</f>
        <v>9.6651828296388381E-2</v>
      </c>
      <c r="AV380" s="82">
        <f>IF(VLOOKUP($A380,raw_ub[],COLUMN(AV$1),FALSE)=0, VLOOKUP($D380, regions_ub[], COLUMN(AV$1), FALSE), VLOOKUP($A380,raw_ub[],COLUMN(AV$1),FALSE))</f>
        <v>0.12812321381809724</v>
      </c>
      <c r="AW380" s="82">
        <f>IF(VLOOKUP($A380,raw_ub[],COLUMN(AW$1),FALSE)=0, VLOOKUP($D380, regions_ub[], COLUMN(AW$1), FALSE), VLOOKUP($A380,raw_ub[],COLUMN(AW$1),FALSE))</f>
        <v>0.15393380431120357</v>
      </c>
      <c r="AX380" s="82">
        <f>IF(VLOOKUP($A380,raw_ub[],COLUMN(AX$1),FALSE)=0, VLOOKUP($D380, regions_ub[], COLUMN(AX$1), FALSE), VLOOKUP($A380,raw_ub[],COLUMN(AX$1),FALSE))</f>
        <v>79.791600000000003</v>
      </c>
      <c r="AY380" t="str">
        <f t="shared" si="13"/>
        <v>No</v>
      </c>
    </row>
    <row r="381" spans="1:51" x14ac:dyDescent="0.25">
      <c r="A381" s="55" t="s">
        <v>430</v>
      </c>
      <c r="B381" s="56" t="s">
        <v>431</v>
      </c>
      <c r="C381" s="56">
        <v>670</v>
      </c>
      <c r="D381" s="56" t="s">
        <v>215</v>
      </c>
      <c r="E381" s="56" t="s">
        <v>232</v>
      </c>
      <c r="F381" s="56" t="s">
        <v>217</v>
      </c>
      <c r="G381" s="56" t="s">
        <v>204</v>
      </c>
      <c r="H381" s="74"/>
      <c r="I381" s="74"/>
      <c r="J381" s="67">
        <f>IF(VLOOKUP($A381,raw_ub[],COLUMN(J$1),FALSE)=0, VLOOKUP($D381, regions_ub[], COLUMN(J$1), FALSE), VLOOKUP($A381,raw_ub[],COLUMN(J$1),FALSE))</f>
        <v>0.97771923296421437</v>
      </c>
      <c r="K381" s="77">
        <f>VLOOKUP($A381, raw_ub[], 11, FALSE)</f>
        <v>0.999</v>
      </c>
      <c r="L381" s="77">
        <f>VLOOKUP($A381, raw_ub[], 12, FALSE)</f>
        <v>0.999</v>
      </c>
      <c r="M381" s="77">
        <f>IF(VLOOKUP($A381,raw_ub[],COLUMN(M$1),FALSE)=0, VLOOKUP($D381, regions_ub[], COLUMN(M$1), FALSE), VLOOKUP($A381,raw_ub[],COLUMN(M$1),FALSE))</f>
        <v>4.4800000000000006E-2</v>
      </c>
      <c r="N381" s="68">
        <f>IF(VLOOKUP($A381,raw_ub[],COLUMN(N$1),FALSE)=0, VLOOKUP($D381, regions_ub[], COLUMN(N$1), FALSE), VLOOKUP($A381,raw_ub[],COLUMN(N$1),FALSE))</f>
        <v>0.43</v>
      </c>
      <c r="O381" s="67">
        <f>IF(VLOOKUP($A381,raw_ub[],COLUMN(O$1),FALSE)=0, VLOOKUP($D381, regions_ub[], COLUMN(O$1), FALSE), VLOOKUP($A381,raw_ub[],COLUMN(O$1),FALSE))</f>
        <v>0.9</v>
      </c>
      <c r="P381" s="68">
        <f>IF(VLOOKUP($A381,raw_ub[],COLUMN(P$1),FALSE)=0, VLOOKUP($D381, regions_ub[], COLUMN(P$1), FALSE), VLOOKUP($A381,raw_ub[],COLUMN(P$1),FALSE))</f>
        <v>0.3</v>
      </c>
      <c r="Q381" s="70">
        <f>IF(VLOOKUP($A381,raw_ub[],COLUMN(Q$1),FALSE)=0, VLOOKUP($D381, regions_ub[], COLUMN(Q$1), FALSE), VLOOKUP($A381,raw_ub[],COLUMN(Q$1),FALSE))</f>
        <v>31.401039965600802</v>
      </c>
      <c r="R381" s="70">
        <f>IF(VLOOKUP($A381,raw_ub[],COLUMN(R$1),FALSE)=0, VLOOKUP($D381, regions_ub[], COLUMN(R$1), FALSE), VLOOKUP($A381,raw_ub[],COLUMN(R$1),FALSE))</f>
        <v>140.38683996560081</v>
      </c>
      <c r="S381" s="70">
        <f>IF(VLOOKUP($A381,raw_ub[],COLUMN(S$1),FALSE)=0, VLOOKUP($D381, regions_ub[], COLUMN(S$1), FALSE), VLOOKUP($A381,raw_ub[],COLUMN(S$1),FALSE))</f>
        <v>237.23008881114427</v>
      </c>
      <c r="T381" s="70">
        <f>IF(VLOOKUP($A381,raw_ub[],COLUMN(U$1)-COLUMN($A$1),FALSE)=0, VLOOKUP($D381, regions_ub[], COLUMN(U$1)-COLUMN($A$1), FALSE), VLOOKUP($A381,raw_ub[],COLUMN(U$1)-COLUMN($A$1),FALSE))</f>
        <v>272.42562632510692</v>
      </c>
      <c r="U381" s="70">
        <f>IF(VLOOKUP($A381,raw_ub[],COLUMN(V$1)-COLUMN($A$1),FALSE)=0, VLOOKUP($D381, regions_ub[], COLUMN(V$1)-COLUMN($A$1), FALSE), VLOOKUP($A381,raw_ub[],COLUMN(V$1)-COLUMN($A$1),FALSE))</f>
        <v>256.26457943758408</v>
      </c>
      <c r="V381" s="70">
        <f>IF(VLOOKUP($A381,raw_ub[],COLUMN(W$1)-COLUMN($A$1),FALSE)=0, VLOOKUP($D381, regions_ub[], COLUMN(W$1)-COLUMN($A$1), FALSE), VLOOKUP($A381,raw_ub[],COLUMN(W$1)-COLUMN($A$1),FALSE))</f>
        <v>34.132051957481394</v>
      </c>
      <c r="W381" s="70">
        <f>IF(VLOOKUP($A381,raw_ub[],COLUMN(X$1)-COLUMN($A$1),FALSE)=0, VLOOKUP($D381, regions_ub[], COLUMN(X$1)-COLUMN($A$1), FALSE), VLOOKUP($A381,raw_ub[],COLUMN(X$1)-COLUMN($A$1),FALSE))</f>
        <v>34.153051957481395</v>
      </c>
      <c r="X381" s="70">
        <f>IF(VLOOKUP($A381,raw_ub[],COLUMN(Y$1)-COLUMN($A$1),FALSE)=0, VLOOKUP($D381, regions_ub[], COLUMN(Y$1)-COLUMN($A$1), FALSE), VLOOKUP($A381,raw_ub[],COLUMN(Y$1)-COLUMN($A$1),FALSE))</f>
        <v>34.091109148955248</v>
      </c>
      <c r="Y381" s="70">
        <f>IF(VLOOKUP($A381,raw_ub[],COLUMN(Z$1)-COLUMN($A$1),FALSE)=0, VLOOKUP($D381, regions_ub[], COLUMN(Z$1)-COLUMN($A$1), FALSE), VLOOKUP($A381,raw_ub[],COLUMN(Z$1)-COLUMN($A$1),FALSE))</f>
        <v>34.112109148955248</v>
      </c>
      <c r="Z381" s="70">
        <f>IF(VLOOKUP($A381,raw_ub[],COLUMN(AA$1)-COLUMN($A$1),FALSE)=0, VLOOKUP($D381, regions_ub[], COLUMN(AA$1)-COLUMN($A$1), FALSE), VLOOKUP($A381,raw_ub[],COLUMN(AA$1)-COLUMN($A$1),FALSE))</f>
        <v>34.090919917239994</v>
      </c>
      <c r="AA381" s="70">
        <f>IF(VLOOKUP($A381,raw_ub[],COLUMN(AB$1)-COLUMN($A$1),FALSE)=0, VLOOKUP($D381, regions_ub[], COLUMN(AB$1)-COLUMN($A$1), FALSE), VLOOKUP($A381,raw_ub[],COLUMN(AB$1)-COLUMN($A$1),FALSE))</f>
        <v>34.141500297910504</v>
      </c>
      <c r="AB381" s="70">
        <f>IF(VLOOKUP($A381,raw_ub[],COLUMN(AC$1)-COLUMN($A$1),FALSE)=0, VLOOKUP($D381, regions_ub[], COLUMN(AC$1)-COLUMN($A$1), FALSE), VLOOKUP($A381,raw_ub[],COLUMN(AC$1)-COLUMN($A$1),FALSE))</f>
        <v>34.162500297910505</v>
      </c>
      <c r="AC381" s="72">
        <f>IF(VLOOKUP($A381,raw_ub[],COLUMN(AD$1)-COLUMN($A$1),FALSE)=0, VLOOKUP($D381, regions_ub[], COLUMN(AD$1)-COLUMN($A$1), FALSE), VLOOKUP($A381,raw_ub[],COLUMN(AD$1)-COLUMN($A$1),FALSE))</f>
        <v>1.5396706500000031E-2</v>
      </c>
      <c r="AD381" s="72">
        <f>IF(VLOOKUP($A381,raw_ub[],COLUMN(AE$1)-COLUMN($A$1),FALSE)=0, VLOOKUP($D381, regions_ub[], COLUMN(AE$1)-COLUMN($A$1), FALSE), VLOOKUP($A381,raw_ub[],COLUMN(AE$1)-COLUMN($A$1),FALSE))</f>
        <v>3.5722175694966491E-4</v>
      </c>
      <c r="AE381" s="72">
        <f>IF(VLOOKUP($A381,raw_ub[],COLUMN(AF$1)-COLUMN($A$1),FALSE)=0, VLOOKUP($D381, regions_ub[], COLUMN(AF$1)-COLUMN($A$1), FALSE), VLOOKUP($A381,raw_ub[],COLUMN(AF$1)-COLUMN($A$1),FALSE))</f>
        <v>4.4769896222502542E-4</v>
      </c>
      <c r="AF381" s="72">
        <f>IF(VLOOKUP($A381,raw_ub[],COLUMN(AG$1)-COLUMN($A$1),FALSE)=0, VLOOKUP($D381, regions_ub[], COLUMN(AG$1)-COLUMN($A$1), FALSE), VLOOKUP($A381,raw_ub[],COLUMN(AG$1)-COLUMN($A$1),FALSE))</f>
        <v>4.3206543491592107E-4</v>
      </c>
      <c r="AG381" s="72">
        <f>IF(VLOOKUP($A381,raw_ub[],COLUMN(AH$1)-COLUMN($A$1),FALSE)=0, VLOOKUP($D381, regions_ub[], COLUMN(AH$1)-COLUMN($A$1), FALSE), VLOOKUP($A381,raw_ub[],COLUMN(AH$1)-COLUMN($A$1),FALSE))</f>
        <v>1.0483566625908982E-3</v>
      </c>
      <c r="AH381" s="72">
        <f>IF(VLOOKUP($A381,raw_ub[],COLUMN(AI$1)-COLUMN($A$1),FALSE)=0, VLOOKUP($D381, regions_ub[], COLUMN(AI$1)-COLUMN($A$1), FALSE), VLOOKUP($A381,raw_ub[],COLUMN(AI$1)-COLUMN($A$1),FALSE))</f>
        <v>1.4750764541849083E-3</v>
      </c>
      <c r="AI381" s="72">
        <f>IF(VLOOKUP($A381,raw_ub[],COLUMN(AJ$1)-COLUMN($A$1),FALSE)=0, VLOOKUP($D381, regions_ub[], COLUMN(AJ$1)-COLUMN($A$1), FALSE), VLOOKUP($A381,raw_ub[],COLUMN(AJ$1)-COLUMN($A$1),FALSE))</f>
        <v>1.6074671838935495E-3</v>
      </c>
      <c r="AJ381" s="72">
        <f>IF(VLOOKUP($A381,raw_ub[],COLUMN(AK$1)-COLUMN($A$1),FALSE)=0, VLOOKUP($D381, regions_ub[], COLUMN(AK$1)-COLUMN($A$1), FALSE), VLOOKUP($A381,raw_ub[],COLUMN(AK$1)-COLUMN($A$1),FALSE))</f>
        <v>1.9157841862392664E-3</v>
      </c>
      <c r="AK381" s="72">
        <f>IF(VLOOKUP($A381,raw_ub[],COLUMN(AL$1)-COLUMN($A$1),FALSE)=0, VLOOKUP($D381, regions_ub[], COLUMN(AL$1)-COLUMN($A$1), FALSE), VLOOKUP($A381,raw_ub[],COLUMN(AL$1)-COLUMN($A$1),FALSE))</f>
        <v>2.5518550269312658E-3</v>
      </c>
      <c r="AL381" s="72">
        <f>IF(VLOOKUP($A381,raw_ub[],COLUMN(AM$1)-COLUMN($A$1),FALSE)=0, VLOOKUP($D381, regions_ub[], COLUMN(AM$1)-COLUMN($A$1), FALSE), VLOOKUP($A381,raw_ub[],COLUMN(AM$1)-COLUMN($A$1),FALSE))</f>
        <v>3.6451614165565155E-3</v>
      </c>
      <c r="AM381" s="72">
        <f>IF(VLOOKUP($A381,raw_ub[],COLUMN(AN$1)-COLUMN($A$1),FALSE)=0, VLOOKUP($D381, regions_ub[], COLUMN(AN$1)-COLUMN($A$1), FALSE), VLOOKUP($A381,raw_ub[],COLUMN(AN$1)-COLUMN($A$1),FALSE))</f>
        <v>5.4699162930085029E-3</v>
      </c>
      <c r="AN381" s="72">
        <f>IF(VLOOKUP($A381,raw_ub[],COLUMN(AO$1)-COLUMN($A$1),FALSE)=0, VLOOKUP($D381, regions_ub[], COLUMN(AO$1)-COLUMN($A$1), FALSE), VLOOKUP($A381,raw_ub[],COLUMN(AO$1)-COLUMN($A$1),FALSE))</f>
        <v>8.2427151119795899E-3</v>
      </c>
      <c r="AO381" s="72">
        <f>IF(VLOOKUP($A381,raw_ub[],COLUMN(AP$1)-COLUMN($A$1),FALSE)=0, VLOOKUP($D381, regions_ub[], COLUMN(AP$1)-COLUMN($A$1), FALSE), VLOOKUP($A381,raw_ub[],COLUMN(AP$1)-COLUMN($A$1),FALSE))</f>
        <v>1.239638384573174E-2</v>
      </c>
      <c r="AP381" s="72">
        <f>IF(VLOOKUP($A381,raw_ub[],COLUMN(AQ$1)-COLUMN($A$1),FALSE)=0, VLOOKUP($D381, regions_ub[], COLUMN(AQ$1)-COLUMN($A$1), FALSE), VLOOKUP($A381,raw_ub[],COLUMN(AQ$1)-COLUMN($A$1),FALSE))</f>
        <v>1.7424882136101202E-2</v>
      </c>
      <c r="AQ381" s="72">
        <f>IF(VLOOKUP($A381,raw_ub[],COLUMN(AR$1)-COLUMN($A$1),FALSE)=0, VLOOKUP($D381, regions_ub[], COLUMN(AR$1)-COLUMN($A$1), FALSE), VLOOKUP($A381,raw_ub[],COLUMN(AR$1)-COLUMN($A$1),FALSE))</f>
        <v>2.436128683685642E-2</v>
      </c>
      <c r="AR381" s="72">
        <f>IF(VLOOKUP($A381,raw_ub[],COLUMN(AS$1)-COLUMN($A$1),FALSE)=0, VLOOKUP($D381, regions_ub[], COLUMN(AS$1)-COLUMN($A$1), FALSE), VLOOKUP($A381,raw_ub[],COLUMN(AS$1)-COLUMN($A$1),FALSE))</f>
        <v>3.6096043109741072E-2</v>
      </c>
      <c r="AS381" s="72">
        <f>IF(VLOOKUP($A381,raw_ub[],COLUMN(AT$1)-COLUMN($A$1),FALSE)=0, VLOOKUP($D381, regions_ub[], COLUMN(AT$1)-COLUMN($A$1), FALSE), VLOOKUP($A381,raw_ub[],COLUMN(AT$1)-COLUMN($A$1),FALSE))</f>
        <v>5.5869033584551163E-2</v>
      </c>
      <c r="AT381" s="82">
        <f>IF(VLOOKUP($A381,raw_ub[],COLUMN(AT$1),FALSE)=0, VLOOKUP($D381, regions_ub[], COLUMN(AT$1), FALSE), VLOOKUP($A381,raw_ub[],COLUMN(AT$1),FALSE))</f>
        <v>8.3542506444369086E-2</v>
      </c>
      <c r="AU381" s="82">
        <f>IF(VLOOKUP($A381,raw_ub[],COLUMN(AU$1),FALSE)=0, VLOOKUP($D381, regions_ub[], COLUMN(AU$1), FALSE), VLOOKUP($A381,raw_ub[],COLUMN(AU$1),FALSE))</f>
        <v>0.11767608616351675</v>
      </c>
      <c r="AV381" s="82">
        <f>IF(VLOOKUP($A381,raw_ub[],COLUMN(AV$1),FALSE)=0, VLOOKUP($D381, regions_ub[], COLUMN(AV$1), FALSE), VLOOKUP($A381,raw_ub[],COLUMN(AV$1),FALSE))</f>
        <v>0.15088182105392789</v>
      </c>
      <c r="AW381" s="82">
        <f>IF(VLOOKUP($A381,raw_ub[],COLUMN(AW$1),FALSE)=0, VLOOKUP($D381, regions_ub[], COLUMN(AW$1), FALSE), VLOOKUP($A381,raw_ub[],COLUMN(AW$1),FALSE))</f>
        <v>0.17717706780699219</v>
      </c>
      <c r="AX381" s="82">
        <f>IF(VLOOKUP($A381,raw_ub[],COLUMN(AX$1),FALSE)=0, VLOOKUP($D381, regions_ub[], COLUMN(AX$1), FALSE), VLOOKUP($A381,raw_ub[],COLUMN(AX$1),FALSE))</f>
        <v>75.978000000000009</v>
      </c>
      <c r="AY381" t="str">
        <f t="shared" si="13"/>
        <v>No</v>
      </c>
    </row>
    <row r="382" spans="1:51" x14ac:dyDescent="0.25">
      <c r="A382" s="53" t="s">
        <v>432</v>
      </c>
      <c r="B382" s="54" t="s">
        <v>433</v>
      </c>
      <c r="C382" s="54">
        <v>882</v>
      </c>
      <c r="D382" s="54" t="s">
        <v>260</v>
      </c>
      <c r="E382" s="54" t="s">
        <v>309</v>
      </c>
      <c r="F382" s="54" t="s">
        <v>262</v>
      </c>
      <c r="G382" s="54" t="s">
        <v>204</v>
      </c>
      <c r="H382" s="73"/>
      <c r="I382" s="73"/>
      <c r="J382" s="67">
        <f>IF(VLOOKUP($A382,raw_ub[],COLUMN(J$1),FALSE)=0, VLOOKUP($D382, regions_ub[], COLUMN(J$1), FALSE), VLOOKUP($A382,raw_ub[],COLUMN(J$1),FALSE))</f>
        <v>0.8599500000000001</v>
      </c>
      <c r="K382" s="77">
        <f>VLOOKUP($A382, raw_ub[], 11, FALSE)</f>
        <v>0.82950000000000013</v>
      </c>
      <c r="L382" s="77">
        <f>VLOOKUP($A382, raw_ub[], 12, FALSE)</f>
        <v>0.75600000000000001</v>
      </c>
      <c r="M382" s="77">
        <f>IF(VLOOKUP($A382,raw_ub[],COLUMN(M$1),FALSE)=0, VLOOKUP($D382, regions_ub[], COLUMN(M$1), FALSE), VLOOKUP($A382,raw_ub[],COLUMN(M$1),FALSE))</f>
        <v>4.07E-2</v>
      </c>
      <c r="N382" s="68">
        <f>IF(VLOOKUP($A382,raw_ub[],COLUMN(N$1),FALSE)=0, VLOOKUP($D382, regions_ub[], COLUMN(N$1), FALSE), VLOOKUP($A382,raw_ub[],COLUMN(N$1),FALSE))</f>
        <v>0.47889999999999999</v>
      </c>
      <c r="O382" s="67">
        <f>IF(VLOOKUP($A382,raw_ub[],COLUMN(O$1),FALSE)=0, VLOOKUP($D382, regions_ub[], COLUMN(O$1), FALSE), VLOOKUP($A382,raw_ub[],COLUMN(O$1),FALSE))</f>
        <v>0.9</v>
      </c>
      <c r="P382" s="68">
        <f>IF(VLOOKUP($A382,raw_ub[],COLUMN(P$1),FALSE)=0, VLOOKUP($D382, regions_ub[], COLUMN(P$1), FALSE), VLOOKUP($A382,raw_ub[],COLUMN(P$1),FALSE))</f>
        <v>0.3</v>
      </c>
      <c r="Q382" s="70">
        <f>IF(VLOOKUP($A382,raw_ub[],COLUMN(Q$1),FALSE)=0, VLOOKUP($D382, regions_ub[], COLUMN(Q$1), FALSE), VLOOKUP($A382,raw_ub[],COLUMN(Q$1),FALSE))</f>
        <v>17.290076993166302</v>
      </c>
      <c r="R382" s="70">
        <f>IF(VLOOKUP($A382,raw_ub[],COLUMN(R$1),FALSE)=0, VLOOKUP($D382, regions_ub[], COLUMN(R$1), FALSE), VLOOKUP($A382,raw_ub[],COLUMN(R$1),FALSE))</f>
        <v>126.27587699316631</v>
      </c>
      <c r="S382" s="70">
        <f>IF(VLOOKUP($A382,raw_ub[],COLUMN(S$1),FALSE)=0, VLOOKUP($D382, regions_ub[], COLUMN(S$1), FALSE), VLOOKUP($A382,raw_ub[],COLUMN(S$1),FALSE))</f>
        <v>177.56665797764464</v>
      </c>
      <c r="T382" s="70">
        <f>IF(VLOOKUP($A382,raw_ub[],COLUMN(U$1)-COLUMN($A$1),FALSE)=0, VLOOKUP($D382, regions_ub[], COLUMN(U$1)-COLUMN($A$1), FALSE), VLOOKUP($A382,raw_ub[],COLUMN(U$1)-COLUMN($A$1),FALSE))</f>
        <v>189.05372808094464</v>
      </c>
      <c r="U382" s="70">
        <f>IF(VLOOKUP($A382,raw_ub[],COLUMN(V$1)-COLUMN($A$1),FALSE)=0, VLOOKUP($D382, regions_ub[], COLUMN(V$1)-COLUMN($A$1), FALSE), VLOOKUP($A382,raw_ub[],COLUMN(V$1)-COLUMN($A$1),FALSE))</f>
        <v>183.77910829523898</v>
      </c>
      <c r="V382" s="70">
        <f>IF(VLOOKUP($A382,raw_ub[],COLUMN(W$1)-COLUMN($A$1),FALSE)=0, VLOOKUP($D382, regions_ub[], COLUMN(W$1)-COLUMN($A$1), FALSE), VLOOKUP($A382,raw_ub[],COLUMN(W$1)-COLUMN($A$1),FALSE))</f>
        <v>8.4150106994484002</v>
      </c>
      <c r="W382" s="70">
        <f>IF(VLOOKUP($A382,raw_ub[],COLUMN(X$1)-COLUMN($A$1),FALSE)=0, VLOOKUP($D382, regions_ub[], COLUMN(X$1)-COLUMN($A$1), FALSE), VLOOKUP($A382,raw_ub[],COLUMN(X$1)-COLUMN($A$1),FALSE))</f>
        <v>9.0765106994484004</v>
      </c>
      <c r="X382" s="70">
        <f>IF(VLOOKUP($A382,raw_ub[],COLUMN(Y$1)-COLUMN($A$1),FALSE)=0, VLOOKUP($D382, regions_ub[], COLUMN(Y$1)-COLUMN($A$1), FALSE), VLOOKUP($A382,raw_ub[],COLUMN(Y$1)-COLUMN($A$1),FALSE))</f>
        <v>8.3710488686611857</v>
      </c>
      <c r="Y382" s="70">
        <f>IF(VLOOKUP($A382,raw_ub[],COLUMN(Z$1)-COLUMN($A$1),FALSE)=0, VLOOKUP($D382, regions_ub[], COLUMN(Z$1)-COLUMN($A$1), FALSE), VLOOKUP($A382,raw_ub[],COLUMN(Z$1)-COLUMN($A$1),FALSE))</f>
        <v>9.0325488686611859</v>
      </c>
      <c r="Z382" s="70">
        <f>IF(VLOOKUP($A382,raw_ub[],COLUMN(AA$1)-COLUMN($A$1),FALSE)=0, VLOOKUP($D382, regions_ub[], COLUMN(AA$1)-COLUMN($A$1), FALSE), VLOOKUP($A382,raw_ub[],COLUMN(AA$1)-COLUMN($A$1),FALSE))</f>
        <v>9.0085741737684266</v>
      </c>
      <c r="AA382" s="70">
        <f>IF(VLOOKUP($A382,raw_ub[],COLUMN(AB$1)-COLUMN($A$1),FALSE)=0, VLOOKUP($D382, regions_ub[], COLUMN(AB$1)-COLUMN($A$1), FALSE), VLOOKUP($A382,raw_ub[],COLUMN(AB$1)-COLUMN($A$1),FALSE))</f>
        <v>8.4251557373223722</v>
      </c>
      <c r="AB382" s="70">
        <f>IF(VLOOKUP($A382,raw_ub[],COLUMN(AC$1)-COLUMN($A$1),FALSE)=0, VLOOKUP($D382, regions_ub[], COLUMN(AC$1)-COLUMN($A$1), FALSE), VLOOKUP($A382,raw_ub[],COLUMN(AC$1)-COLUMN($A$1),FALSE))</f>
        <v>9.0866557373223724</v>
      </c>
      <c r="AC382" s="72">
        <f>IF(VLOOKUP($A382,raw_ub[],COLUMN(AD$1)-COLUMN($A$1),FALSE)=0, VLOOKUP($D382, regions_ub[], COLUMN(AD$1)-COLUMN($A$1), FALSE), VLOOKUP($A382,raw_ub[],COLUMN(AD$1)-COLUMN($A$1),FALSE))</f>
        <v>1.4124515999999952E-2</v>
      </c>
      <c r="AD382" s="72">
        <f>IF(VLOOKUP($A382,raw_ub[],COLUMN(AE$1)-COLUMN($A$1),FALSE)=0, VLOOKUP($D382, regions_ub[], COLUMN(AE$1)-COLUMN($A$1), FALSE), VLOOKUP($A382,raw_ub[],COLUMN(AE$1)-COLUMN($A$1),FALSE))</f>
        <v>7.2715209176627156E-4</v>
      </c>
      <c r="AE382" s="72">
        <f>IF(VLOOKUP($A382,raw_ub[],COLUMN(AF$1)-COLUMN($A$1),FALSE)=0, VLOOKUP($D382, regions_ub[], COLUMN(AF$1)-COLUMN($A$1), FALSE), VLOOKUP($A382,raw_ub[],COLUMN(AF$1)-COLUMN($A$1),FALSE))</f>
        <v>2.8635803608817857E-4</v>
      </c>
      <c r="AF382" s="72">
        <f>IF(VLOOKUP($A382,raw_ub[],COLUMN(AG$1)-COLUMN($A$1),FALSE)=0, VLOOKUP($D382, regions_ub[], COLUMN(AG$1)-COLUMN($A$1), FALSE), VLOOKUP($A382,raw_ub[],COLUMN(AG$1)-COLUMN($A$1),FALSE))</f>
        <v>2.6110592069791095E-4</v>
      </c>
      <c r="AG382" s="72">
        <f>IF(VLOOKUP($A382,raw_ub[],COLUMN(AH$1)-COLUMN($A$1),FALSE)=0, VLOOKUP($D382, regions_ub[], COLUMN(AH$1)-COLUMN($A$1), FALSE), VLOOKUP($A382,raw_ub[],COLUMN(AH$1)-COLUMN($A$1),FALSE))</f>
        <v>6.0513896667924833E-4</v>
      </c>
      <c r="AH382" s="72">
        <f>IF(VLOOKUP($A382,raw_ub[],COLUMN(AI$1)-COLUMN($A$1),FALSE)=0, VLOOKUP($D382, regions_ub[], COLUMN(AI$1)-COLUMN($A$1), FALSE), VLOOKUP($A382,raw_ub[],COLUMN(AI$1)-COLUMN($A$1),FALSE))</f>
        <v>7.8627617005598061E-4</v>
      </c>
      <c r="AI382" s="72">
        <f>IF(VLOOKUP($A382,raw_ub[],COLUMN(AJ$1)-COLUMN($A$1),FALSE)=0, VLOOKUP($D382, regions_ub[], COLUMN(AJ$1)-COLUMN($A$1), FALSE), VLOOKUP($A382,raw_ub[],COLUMN(AJ$1)-COLUMN($A$1),FALSE))</f>
        <v>8.0473621666191293E-4</v>
      </c>
      <c r="AJ382" s="72">
        <f>IF(VLOOKUP($A382,raw_ub[],COLUMN(AK$1)-COLUMN($A$1),FALSE)=0, VLOOKUP($D382, regions_ub[], COLUMN(AK$1)-COLUMN($A$1), FALSE), VLOOKUP($A382,raw_ub[],COLUMN(AK$1)-COLUMN($A$1),FALSE))</f>
        <v>9.6403011087892632E-4</v>
      </c>
      <c r="AK382" s="72">
        <f>IF(VLOOKUP($A382,raw_ub[],COLUMN(AL$1)-COLUMN($A$1),FALSE)=0, VLOOKUP($D382, regions_ub[], COLUMN(AL$1)-COLUMN($A$1), FALSE), VLOOKUP($A382,raw_ub[],COLUMN(AL$1)-COLUMN($A$1),FALSE))</f>
        <v>1.3499798845023015E-3</v>
      </c>
      <c r="AL382" s="72">
        <f>IF(VLOOKUP($A382,raw_ub[],COLUMN(AM$1)-COLUMN($A$1),FALSE)=0, VLOOKUP($D382, regions_ub[], COLUMN(AM$1)-COLUMN($A$1), FALSE), VLOOKUP($A382,raw_ub[],COLUMN(AM$1)-COLUMN($A$1),FALSE))</f>
        <v>2.0806158041911755E-3</v>
      </c>
      <c r="AM382" s="72">
        <f>IF(VLOOKUP($A382,raw_ub[],COLUMN(AN$1)-COLUMN($A$1),FALSE)=0, VLOOKUP($D382, regions_ub[], COLUMN(AN$1)-COLUMN($A$1), FALSE), VLOOKUP($A382,raw_ub[],COLUMN(AN$1)-COLUMN($A$1),FALSE))</f>
        <v>3.4282172183551607E-3</v>
      </c>
      <c r="AN382" s="72">
        <f>IF(VLOOKUP($A382,raw_ub[],COLUMN(AO$1)-COLUMN($A$1),FALSE)=0, VLOOKUP($D382, regions_ub[], COLUMN(AO$1)-COLUMN($A$1), FALSE), VLOOKUP($A382,raw_ub[],COLUMN(AO$1)-COLUMN($A$1),FALSE))</f>
        <v>5.5849036318055727E-3</v>
      </c>
      <c r="AO382" s="72">
        <f>IF(VLOOKUP($A382,raw_ub[],COLUMN(AP$1)-COLUMN($A$1),FALSE)=0, VLOOKUP($D382, regions_ub[], COLUMN(AP$1)-COLUMN($A$1), FALSE), VLOOKUP($A382,raw_ub[],COLUMN(AP$1)-COLUMN($A$1),FALSE))</f>
        <v>9.0337176023734013E-3</v>
      </c>
      <c r="AP382" s="72">
        <f>IF(VLOOKUP($A382,raw_ub[],COLUMN(AQ$1)-COLUMN($A$1),FALSE)=0, VLOOKUP($D382, regions_ub[], COLUMN(AQ$1)-COLUMN($A$1), FALSE), VLOOKUP($A382,raw_ub[],COLUMN(AQ$1)-COLUMN($A$1),FALSE))</f>
        <v>1.597585839710872E-2</v>
      </c>
      <c r="AQ382" s="72">
        <f>IF(VLOOKUP($A382,raw_ub[],COLUMN(AR$1)-COLUMN($A$1),FALSE)=0, VLOOKUP($D382, regions_ub[], COLUMN(AR$1)-COLUMN($A$1), FALSE), VLOOKUP($A382,raw_ub[],COLUMN(AR$1)-COLUMN($A$1),FALSE))</f>
        <v>2.7788822459335446E-2</v>
      </c>
      <c r="AR382" s="72">
        <f>IF(VLOOKUP($A382,raw_ub[],COLUMN(AS$1)-COLUMN($A$1),FALSE)=0, VLOOKUP($D382, regions_ub[], COLUMN(AS$1)-COLUMN($A$1), FALSE), VLOOKUP($A382,raw_ub[],COLUMN(AS$1)-COLUMN($A$1),FALSE))</f>
        <v>4.5448167932826355E-2</v>
      </c>
      <c r="AS382" s="72">
        <f>IF(VLOOKUP($A382,raw_ub[],COLUMN(AT$1)-COLUMN($A$1),FALSE)=0, VLOOKUP($D382, regions_ub[], COLUMN(AT$1)-COLUMN($A$1), FALSE), VLOOKUP($A382,raw_ub[],COLUMN(AT$1)-COLUMN($A$1),FALSE))</f>
        <v>7.0890072003811089E-2</v>
      </c>
      <c r="AT382" s="82">
        <f>IF(VLOOKUP($A382,raw_ub[],COLUMN(AT$1),FALSE)=0, VLOOKUP($D382, regions_ub[], COLUMN(AT$1), FALSE), VLOOKUP($A382,raw_ub[],COLUMN(AT$1),FALSE))</f>
        <v>0.1046553140341394</v>
      </c>
      <c r="AU382" s="82">
        <f>IF(VLOOKUP($A382,raw_ub[],COLUMN(AU$1),FALSE)=0, VLOOKUP($D382, regions_ub[], COLUMN(AU$1), FALSE), VLOOKUP($A382,raw_ub[],COLUMN(AU$1),FALSE))</f>
        <v>0.14269179176559876</v>
      </c>
      <c r="AV382" s="82">
        <f>IF(VLOOKUP($A382,raw_ub[],COLUMN(AV$1),FALSE)=0, VLOOKUP($D382, regions_ub[], COLUMN(AV$1), FALSE), VLOOKUP($A382,raw_ub[],COLUMN(AV$1),FALSE))</f>
        <v>0.17435614895547821</v>
      </c>
      <c r="AW382" s="82">
        <f>IF(VLOOKUP($A382,raw_ub[],COLUMN(AW$1),FALSE)=0, VLOOKUP($D382, regions_ub[], COLUMN(AW$1), FALSE), VLOOKUP($A382,raw_ub[],COLUMN(AW$1),FALSE))</f>
        <v>0.19329810846794404</v>
      </c>
      <c r="AX382" s="82">
        <f>IF(VLOOKUP($A382,raw_ub[],COLUMN(AX$1),FALSE)=0, VLOOKUP($D382, regions_ub[], COLUMN(AX$1), FALSE), VLOOKUP($A382,raw_ub[],COLUMN(AX$1),FALSE))</f>
        <v>76.766550000000009</v>
      </c>
      <c r="AY382" t="str">
        <f t="shared" si="13"/>
        <v>No</v>
      </c>
    </row>
    <row r="383" spans="1:51" x14ac:dyDescent="0.25">
      <c r="A383" s="55" t="s">
        <v>434</v>
      </c>
      <c r="B383" s="56" t="s">
        <v>435</v>
      </c>
      <c r="C383" s="56">
        <v>678</v>
      </c>
      <c r="D383" s="56" t="s">
        <v>207</v>
      </c>
      <c r="E383" s="56" t="s">
        <v>235</v>
      </c>
      <c r="F383" s="56" t="s">
        <v>211</v>
      </c>
      <c r="G383" s="56" t="s">
        <v>212</v>
      </c>
      <c r="H383" s="74"/>
      <c r="I383" s="74"/>
      <c r="J383" s="67">
        <f>IF(VLOOKUP($A383,raw_ub[],COLUMN(J$1),FALSE)=0, VLOOKUP($D383, regions_ub[], COLUMN(J$1), FALSE), VLOOKUP($A383,raw_ub[],COLUMN(J$1),FALSE))</f>
        <v>0.95550000000000013</v>
      </c>
      <c r="K383" s="77">
        <f>VLOOKUP($A383, raw_ub[], 11, FALSE)</f>
        <v>0.99749999999999994</v>
      </c>
      <c r="L383" s="77">
        <f>VLOOKUP($A383, raw_ub[], 12, FALSE)</f>
        <v>0.99749999999999994</v>
      </c>
      <c r="M383" s="77">
        <f>IF(VLOOKUP($A383,raw_ub[],COLUMN(M$1),FALSE)=0, VLOOKUP($D383, regions_ub[], COLUMN(M$1), FALSE), VLOOKUP($A383,raw_ub[],COLUMN(M$1),FALSE))</f>
        <v>0.2175</v>
      </c>
      <c r="N383" s="68">
        <f>IF(VLOOKUP($A383,raw_ub[],COLUMN(N$1),FALSE)=0, VLOOKUP($D383, regions_ub[], COLUMN(N$1), FALSE), VLOOKUP($A383,raw_ub[],COLUMN(N$1),FALSE))</f>
        <v>0.39810900812206368</v>
      </c>
      <c r="O383" s="67">
        <f>IF(VLOOKUP($A383,raw_ub[],COLUMN(O$1),FALSE)=0, VLOOKUP($D383, regions_ub[], COLUMN(O$1), FALSE), VLOOKUP($A383,raw_ub[],COLUMN(O$1),FALSE))</f>
        <v>0.74399999999999999</v>
      </c>
      <c r="P383" s="68">
        <f>IF(VLOOKUP($A383,raw_ub[],COLUMN(P$1),FALSE)=0, VLOOKUP($D383, regions_ub[], COLUMN(P$1), FALSE), VLOOKUP($A383,raw_ub[],COLUMN(P$1),FALSE))</f>
        <v>0.13300000000000001</v>
      </c>
      <c r="Q383" s="70">
        <f>IF(VLOOKUP($A383,raw_ub[],COLUMN(Q$1),FALSE)=0, VLOOKUP($D383, regions_ub[], COLUMN(Q$1), FALSE), VLOOKUP($A383,raw_ub[],COLUMN(Q$1),FALSE))</f>
        <v>8.3901532595325996</v>
      </c>
      <c r="R383" s="70">
        <f>IF(VLOOKUP($A383,raw_ub[],COLUMN(R$1),FALSE)=0, VLOOKUP($D383, regions_ub[], COLUMN(R$1), FALSE), VLOOKUP($A383,raw_ub[],COLUMN(R$1),FALSE))</f>
        <v>117.37595325953261</v>
      </c>
      <c r="S383" s="70">
        <f>IF(VLOOKUP($A383,raw_ub[],COLUMN(S$1),FALSE)=0, VLOOKUP($D383, regions_ub[], COLUMN(S$1), FALSE), VLOOKUP($A383,raw_ub[],COLUMN(S$1),FALSE))</f>
        <v>151.18423909185657</v>
      </c>
      <c r="T383" s="70">
        <f>IF(VLOOKUP($A383,raw_ub[],COLUMN(U$1)-COLUMN($A$1),FALSE)=0, VLOOKUP($D383, regions_ub[], COLUMN(U$1)-COLUMN($A$1), FALSE), VLOOKUP($A383,raw_ub[],COLUMN(U$1)-COLUMN($A$1),FALSE))</f>
        <v>153.57228150172645</v>
      </c>
      <c r="U383" s="70">
        <f>IF(VLOOKUP($A383,raw_ub[],COLUMN(V$1)-COLUMN($A$1),FALSE)=0, VLOOKUP($D383, regions_ub[], COLUMN(V$1)-COLUMN($A$1), FALSE), VLOOKUP($A383,raw_ub[],COLUMN(V$1)-COLUMN($A$1),FALSE))</f>
        <v>152.47574290390025</v>
      </c>
      <c r="V383" s="70">
        <f>IF(VLOOKUP($A383,raw_ub[],COLUMN(W$1)-COLUMN($A$1),FALSE)=0, VLOOKUP($D383, regions_ub[], COLUMN(W$1)-COLUMN($A$1), FALSE), VLOOKUP($A383,raw_ub[],COLUMN(W$1)-COLUMN($A$1),FALSE))</f>
        <v>18.0967965092042</v>
      </c>
      <c r="W383" s="70">
        <f>IF(VLOOKUP($A383,raw_ub[],COLUMN(X$1)-COLUMN($A$1),FALSE)=0, VLOOKUP($D383, regions_ub[], COLUMN(X$1)-COLUMN($A$1), FALSE), VLOOKUP($A383,raw_ub[],COLUMN(X$1)-COLUMN($A$1),FALSE))</f>
        <v>23.1682965092042</v>
      </c>
      <c r="X383" s="70">
        <f>IF(VLOOKUP($A383,raw_ub[],COLUMN(Y$1)-COLUMN($A$1),FALSE)=0, VLOOKUP($D383, regions_ub[], COLUMN(Y$1)-COLUMN($A$1), FALSE), VLOOKUP($A383,raw_ub[],COLUMN(Y$1)-COLUMN($A$1),FALSE))</f>
        <v>18.073938694733354</v>
      </c>
      <c r="Y383" s="70">
        <f>IF(VLOOKUP($A383,raw_ub[],COLUMN(Z$1)-COLUMN($A$1),FALSE)=0, VLOOKUP($D383, regions_ub[], COLUMN(Z$1)-COLUMN($A$1), FALSE), VLOOKUP($A383,raw_ub[],COLUMN(Z$1)-COLUMN($A$1),FALSE))</f>
        <v>23.145438694733354</v>
      </c>
      <c r="Z383" s="70">
        <f>IF(VLOOKUP($A383,raw_ub[],COLUMN(AA$1)-COLUMN($A$1),FALSE)=0, VLOOKUP($D383, regions_ub[], COLUMN(AA$1)-COLUMN($A$1), FALSE), VLOOKUP($A383,raw_ub[],COLUMN(AA$1)-COLUMN($A$1),FALSE))</f>
        <v>23.133290003301461</v>
      </c>
      <c r="AA383" s="70">
        <f>IF(VLOOKUP($A383,raw_ub[],COLUMN(AB$1)-COLUMN($A$1),FALSE)=0, VLOOKUP($D383, regions_ub[], COLUMN(AB$1)-COLUMN($A$1), FALSE), VLOOKUP($A383,raw_ub[],COLUMN(AB$1)-COLUMN($A$1),FALSE))</f>
        <v>18.102071389466701</v>
      </c>
      <c r="AB383" s="70">
        <f>IF(VLOOKUP($A383,raw_ub[],COLUMN(AC$1)-COLUMN($A$1),FALSE)=0, VLOOKUP($D383, regions_ub[], COLUMN(AC$1)-COLUMN($A$1), FALSE), VLOOKUP($A383,raw_ub[],COLUMN(AC$1)-COLUMN($A$1),FALSE))</f>
        <v>23.173571389466701</v>
      </c>
      <c r="AC383" s="72">
        <f>IF(VLOOKUP($A383,raw_ub[],COLUMN(AD$1)-COLUMN($A$1),FALSE)=0, VLOOKUP($D383, regions_ub[], COLUMN(AD$1)-COLUMN($A$1), FALSE), VLOOKUP($A383,raw_ub[],COLUMN(AD$1)-COLUMN($A$1),FALSE))</f>
        <v>2.7753547500000073E-2</v>
      </c>
      <c r="AD383" s="72">
        <f>IF(VLOOKUP($A383,raw_ub[],COLUMN(AE$1)-COLUMN($A$1),FALSE)=0, VLOOKUP($D383, regions_ub[], COLUMN(AE$1)-COLUMN($A$1), FALSE), VLOOKUP($A383,raw_ub[],COLUMN(AE$1)-COLUMN($A$1),FALSE))</f>
        <v>1.5959154062214396E-3</v>
      </c>
      <c r="AE383" s="72">
        <f>IF(VLOOKUP($A383,raw_ub[],COLUMN(AF$1)-COLUMN($A$1),FALSE)=0, VLOOKUP($D383, regions_ub[], COLUMN(AF$1)-COLUMN($A$1), FALSE), VLOOKUP($A383,raw_ub[],COLUMN(AF$1)-COLUMN($A$1),FALSE))</f>
        <v>6.2153896350049362E-4</v>
      </c>
      <c r="AF383" s="72">
        <f>IF(VLOOKUP($A383,raw_ub[],COLUMN(AG$1)-COLUMN($A$1),FALSE)=0, VLOOKUP($D383, regions_ub[], COLUMN(AG$1)-COLUMN($A$1), FALSE), VLOOKUP($A383,raw_ub[],COLUMN(AG$1)-COLUMN($A$1),FALSE))</f>
        <v>5.1862833994193846E-4</v>
      </c>
      <c r="AG383" s="72">
        <f>IF(VLOOKUP($A383,raw_ub[],COLUMN(AH$1)-COLUMN($A$1),FALSE)=0, VLOOKUP($D383, regions_ub[], COLUMN(AH$1)-COLUMN($A$1), FALSE), VLOOKUP($A383,raw_ub[],COLUMN(AH$1)-COLUMN($A$1),FALSE))</f>
        <v>1.0187658297866763E-3</v>
      </c>
      <c r="AH383" s="72">
        <f>IF(VLOOKUP($A383,raw_ub[],COLUMN(AI$1)-COLUMN($A$1),FALSE)=0, VLOOKUP($D383, regions_ub[], COLUMN(AI$1)-COLUMN($A$1), FALSE), VLOOKUP($A383,raw_ub[],COLUMN(AI$1)-COLUMN($A$1),FALSE))</f>
        <v>1.3361140997932106E-3</v>
      </c>
      <c r="AI383" s="72">
        <f>IF(VLOOKUP($A383,raw_ub[],COLUMN(AJ$1)-COLUMN($A$1),FALSE)=0, VLOOKUP($D383, regions_ub[], COLUMN(AJ$1)-COLUMN($A$1), FALSE), VLOOKUP($A383,raw_ub[],COLUMN(AJ$1)-COLUMN($A$1),FALSE))</f>
        <v>1.4164407461552382E-3</v>
      </c>
      <c r="AJ383" s="72">
        <f>IF(VLOOKUP($A383,raw_ub[],COLUMN(AK$1)-COLUMN($A$1),FALSE)=0, VLOOKUP($D383, regions_ub[], COLUMN(AK$1)-COLUMN($A$1), FALSE), VLOOKUP($A383,raw_ub[],COLUMN(AK$1)-COLUMN($A$1),FALSE))</f>
        <v>1.6872894044648249E-3</v>
      </c>
      <c r="AK383" s="72">
        <f>IF(VLOOKUP($A383,raw_ub[],COLUMN(AL$1)-COLUMN($A$1),FALSE)=0, VLOOKUP($D383, regions_ub[], COLUMN(AL$1)-COLUMN($A$1), FALSE), VLOOKUP($A383,raw_ub[],COLUMN(AL$1)-COLUMN($A$1),FALSE))</f>
        <v>2.2704327512356238E-3</v>
      </c>
      <c r="AL383" s="72">
        <f>IF(VLOOKUP($A383,raw_ub[],COLUMN(AM$1)-COLUMN($A$1),FALSE)=0, VLOOKUP($D383, regions_ub[], COLUMN(AM$1)-COLUMN($A$1), FALSE), VLOOKUP($A383,raw_ub[],COLUMN(AM$1)-COLUMN($A$1),FALSE))</f>
        <v>3.2498656804114132E-3</v>
      </c>
      <c r="AM383" s="72">
        <f>IF(VLOOKUP($A383,raw_ub[],COLUMN(AN$1)-COLUMN($A$1),FALSE)=0, VLOOKUP($D383, regions_ub[], COLUMN(AN$1)-COLUMN($A$1), FALSE), VLOOKUP($A383,raw_ub[],COLUMN(AN$1)-COLUMN($A$1),FALSE))</f>
        <v>4.9735195532696402E-3</v>
      </c>
      <c r="AN383" s="72">
        <f>IF(VLOOKUP($A383,raw_ub[],COLUMN(AO$1)-COLUMN($A$1),FALSE)=0, VLOOKUP($D383, regions_ub[], COLUMN(AO$1)-COLUMN($A$1), FALSE), VLOOKUP($A383,raw_ub[],COLUMN(AO$1)-COLUMN($A$1),FALSE))</f>
        <v>7.6730632608609101E-3</v>
      </c>
      <c r="AO383" s="72">
        <f>IF(VLOOKUP($A383,raw_ub[],COLUMN(AP$1)-COLUMN($A$1),FALSE)=0, VLOOKUP($D383, regions_ub[], COLUMN(AP$1)-COLUMN($A$1), FALSE), VLOOKUP($A383,raw_ub[],COLUMN(AP$1)-COLUMN($A$1),FALSE))</f>
        <v>1.1864360478755396E-2</v>
      </c>
      <c r="AP383" s="72">
        <f>IF(VLOOKUP($A383,raw_ub[],COLUMN(AQ$1)-COLUMN($A$1),FALSE)=0, VLOOKUP($D383, regions_ub[], COLUMN(AQ$1)-COLUMN($A$1), FALSE), VLOOKUP($A383,raw_ub[],COLUMN(AQ$1)-COLUMN($A$1),FALSE))</f>
        <v>1.8617499653816458E-2</v>
      </c>
      <c r="AQ383" s="72">
        <f>IF(VLOOKUP($A383,raw_ub[],COLUMN(AR$1)-COLUMN($A$1),FALSE)=0, VLOOKUP($D383, regions_ub[], COLUMN(AR$1)-COLUMN($A$1), FALSE), VLOOKUP($A383,raw_ub[],COLUMN(AR$1)-COLUMN($A$1),FALSE))</f>
        <v>2.9257652823621198E-2</v>
      </c>
      <c r="AR383" s="72">
        <f>IF(VLOOKUP($A383,raw_ub[],COLUMN(AS$1)-COLUMN($A$1),FALSE)=0, VLOOKUP($D383, regions_ub[], COLUMN(AS$1)-COLUMN($A$1), FALSE), VLOOKUP($A383,raw_ub[],COLUMN(AS$1)-COLUMN($A$1),FALSE))</f>
        <v>4.5778032157570106E-2</v>
      </c>
      <c r="AS383" s="72">
        <f>IF(VLOOKUP($A383,raw_ub[],COLUMN(AT$1)-COLUMN($A$1),FALSE)=0, VLOOKUP($D383, regions_ub[], COLUMN(AT$1)-COLUMN($A$1), FALSE), VLOOKUP($A383,raw_ub[],COLUMN(AT$1)-COLUMN($A$1),FALSE))</f>
        <v>6.97992862410175E-2</v>
      </c>
      <c r="AT383" s="82">
        <f>IF(VLOOKUP($A383,raw_ub[],COLUMN(AT$1),FALSE)=0, VLOOKUP($D383, regions_ub[], COLUMN(AT$1), FALSE), VLOOKUP($A383,raw_ub[],COLUMN(AT$1),FALSE))</f>
        <v>0.10050287135006605</v>
      </c>
      <c r="AU383" s="82">
        <f>IF(VLOOKUP($A383,raw_ub[],COLUMN(AU$1),FALSE)=0, VLOOKUP($D383, regions_ub[], COLUMN(AU$1), FALSE), VLOOKUP($A383,raw_ub[],COLUMN(AU$1),FALSE))</f>
        <v>0.13190497817650745</v>
      </c>
      <c r="AV383" s="82">
        <f>IF(VLOOKUP($A383,raw_ub[],COLUMN(AV$1),FALSE)=0, VLOOKUP($D383, regions_ub[], COLUMN(AV$1), FALSE), VLOOKUP($A383,raw_ub[],COLUMN(AV$1),FALSE))</f>
        <v>0.1613277935081692</v>
      </c>
      <c r="AW383" s="82">
        <f>IF(VLOOKUP($A383,raw_ub[],COLUMN(AW$1),FALSE)=0, VLOOKUP($D383, regions_ub[], COLUMN(AW$1), FALSE), VLOOKUP($A383,raw_ub[],COLUMN(AW$1),FALSE))</f>
        <v>0.18357825611912726</v>
      </c>
      <c r="AX383" s="82">
        <f>IF(VLOOKUP($A383,raw_ub[],COLUMN(AX$1),FALSE)=0, VLOOKUP($D383, regions_ub[], COLUMN(AX$1), FALSE), VLOOKUP($A383,raw_ub[],COLUMN(AX$1),FALSE))</f>
        <v>73.55040000000001</v>
      </c>
      <c r="AY383" t="str">
        <f t="shared" si="13"/>
        <v>No</v>
      </c>
    </row>
    <row r="384" spans="1:51" x14ac:dyDescent="0.25">
      <c r="A384" s="53" t="s">
        <v>436</v>
      </c>
      <c r="B384" s="54" t="s">
        <v>437</v>
      </c>
      <c r="C384" s="54">
        <v>686</v>
      </c>
      <c r="D384" s="54" t="s">
        <v>207</v>
      </c>
      <c r="E384" s="54" t="s">
        <v>235</v>
      </c>
      <c r="F384" s="54" t="s">
        <v>211</v>
      </c>
      <c r="G384" s="54" t="s">
        <v>212</v>
      </c>
      <c r="H384" s="73"/>
      <c r="I384" s="73"/>
      <c r="J384" s="67">
        <f>IF(VLOOKUP($A384,raw_ub[],COLUMN(J$1),FALSE)=0, VLOOKUP($D384, regions_ub[], COLUMN(J$1), FALSE), VLOOKUP($A384,raw_ub[],COLUMN(J$1),FALSE))</f>
        <v>0.85785000000000011</v>
      </c>
      <c r="K384" s="77">
        <f>VLOOKUP($A384, raw_ub[], 11, FALSE)</f>
        <v>0.90300000000000002</v>
      </c>
      <c r="L384" s="77">
        <f>VLOOKUP($A384, raw_ub[], 12, FALSE)</f>
        <v>0.96600000000000008</v>
      </c>
      <c r="M384" s="77">
        <f>IF(VLOOKUP($A384,raw_ub[],COLUMN(M$1),FALSE)=0, VLOOKUP($D384, regions_ub[], COLUMN(M$1), FALSE), VLOOKUP($A384,raw_ub[],COLUMN(M$1),FALSE))</f>
        <v>8.0299999999999996E-2</v>
      </c>
      <c r="N384" s="68">
        <f>IF(VLOOKUP($A384,raw_ub[],COLUMN(N$1),FALSE)=0, VLOOKUP($D384, regions_ub[], COLUMN(N$1), FALSE), VLOOKUP($A384,raw_ub[],COLUMN(N$1),FALSE))</f>
        <v>0.41070000000000001</v>
      </c>
      <c r="O384" s="67">
        <f>IF(VLOOKUP($A384,raw_ub[],COLUMN(O$1),FALSE)=0, VLOOKUP($D384, regions_ub[], COLUMN(O$1), FALSE), VLOOKUP($A384,raw_ub[],COLUMN(O$1),FALSE))</f>
        <v>0.74399999999999999</v>
      </c>
      <c r="P384" s="68">
        <f>IF(VLOOKUP($A384,raw_ub[],COLUMN(P$1),FALSE)=0, VLOOKUP($D384, regions_ub[], COLUMN(P$1), FALSE), VLOOKUP($A384,raw_ub[],COLUMN(P$1),FALSE))</f>
        <v>0.13300000000000001</v>
      </c>
      <c r="Q384" s="70">
        <f>IF(VLOOKUP($A384,raw_ub[],COLUMN(Q$1),FALSE)=0, VLOOKUP($D384, regions_ub[], COLUMN(Q$1), FALSE), VLOOKUP($A384,raw_ub[],COLUMN(Q$1),FALSE))</f>
        <v>8.9447027590435297</v>
      </c>
      <c r="R384" s="70">
        <f>IF(VLOOKUP($A384,raw_ub[],COLUMN(R$1),FALSE)=0, VLOOKUP($D384, regions_ub[], COLUMN(R$1), FALSE), VLOOKUP($A384,raw_ub[],COLUMN(R$1),FALSE))</f>
        <v>117.93050275904353</v>
      </c>
      <c r="S384" s="70">
        <f>IF(VLOOKUP($A384,raw_ub[],COLUMN(S$1),FALSE)=0, VLOOKUP($D384, regions_ub[], COLUMN(S$1), FALSE), VLOOKUP($A384,raw_ub[],COLUMN(S$1),FALSE))</f>
        <v>153.08472595458142</v>
      </c>
      <c r="T384" s="70">
        <f>IF(VLOOKUP($A384,raw_ub[],COLUMN(U$1)-COLUMN($A$1),FALSE)=0, VLOOKUP($D384, regions_ub[], COLUMN(U$1)-COLUMN($A$1), FALSE), VLOOKUP($A384,raw_ub[],COLUMN(U$1)-COLUMN($A$1),FALSE))</f>
        <v>156.17328171994887</v>
      </c>
      <c r="U384" s="70">
        <f>IF(VLOOKUP($A384,raw_ub[],COLUMN(V$1)-COLUMN($A$1),FALSE)=0, VLOOKUP($D384, regions_ub[], COLUMN(V$1)-COLUMN($A$1), FALSE), VLOOKUP($A384,raw_ub[],COLUMN(V$1)-COLUMN($A$1),FALSE))</f>
        <v>154.75508219624419</v>
      </c>
      <c r="V384" s="70">
        <f>IF(VLOOKUP($A384,raw_ub[],COLUMN(W$1)-COLUMN($A$1),FALSE)=0, VLOOKUP($D384, regions_ub[], COLUMN(W$1)-COLUMN($A$1), FALSE), VLOOKUP($A384,raw_ub[],COLUMN(W$1)-COLUMN($A$1),FALSE))</f>
        <v>4.5293357160376981</v>
      </c>
      <c r="W384" s="70">
        <f>IF(VLOOKUP($A384,raw_ub[],COLUMN(X$1)-COLUMN($A$1),FALSE)=0, VLOOKUP($D384, regions_ub[], COLUMN(X$1)-COLUMN($A$1), FALSE), VLOOKUP($A384,raw_ub[],COLUMN(X$1)-COLUMN($A$1),FALSE))</f>
        <v>9.6008357160376985</v>
      </c>
      <c r="X384" s="70">
        <f>IF(VLOOKUP($A384,raw_ub[],COLUMN(Y$1)-COLUMN($A$1),FALSE)=0, VLOOKUP($D384, regions_ub[], COLUMN(Y$1)-COLUMN($A$1), FALSE), VLOOKUP($A384,raw_ub[],COLUMN(Y$1)-COLUMN($A$1),FALSE))</f>
        <v>4.5132337743656263</v>
      </c>
      <c r="Y384" s="70">
        <f>IF(VLOOKUP($A384,raw_ub[],COLUMN(Z$1)-COLUMN($A$1),FALSE)=0, VLOOKUP($D384, regions_ub[], COLUMN(Z$1)-COLUMN($A$1), FALSE), VLOOKUP($A384,raw_ub[],COLUMN(Z$1)-COLUMN($A$1),FALSE))</f>
        <v>9.5847337743656276</v>
      </c>
      <c r="Z384" s="70">
        <f>IF(VLOOKUP($A384,raw_ub[],COLUMN(AA$1)-COLUMN($A$1),FALSE)=0, VLOOKUP($D384, regions_ub[], COLUMN(AA$1)-COLUMN($A$1), FALSE), VLOOKUP($A384,raw_ub[],COLUMN(AA$1)-COLUMN($A$1),FALSE))</f>
        <v>9.5758184515682014</v>
      </c>
      <c r="AA384" s="70">
        <f>IF(VLOOKUP($A384,raw_ub[],COLUMN(AB$1)-COLUMN($A$1),FALSE)=0, VLOOKUP($D384, regions_ub[], COLUMN(AB$1)-COLUMN($A$1), FALSE), VLOOKUP($A384,raw_ub[],COLUMN(AB$1)-COLUMN($A$1),FALSE))</f>
        <v>4.5330515487312537</v>
      </c>
      <c r="AB384" s="70">
        <f>IF(VLOOKUP($A384,raw_ub[],COLUMN(AC$1)-COLUMN($A$1),FALSE)=0, VLOOKUP($D384, regions_ub[], COLUMN(AC$1)-COLUMN($A$1), FALSE), VLOOKUP($A384,raw_ub[],COLUMN(AC$1)-COLUMN($A$1),FALSE))</f>
        <v>9.6045515487312549</v>
      </c>
      <c r="AC384" s="72">
        <f>IF(VLOOKUP($A384,raw_ub[],COLUMN(AD$1)-COLUMN($A$1),FALSE)=0, VLOOKUP($D384, regions_ub[], COLUMN(AD$1)-COLUMN($A$1), FALSE), VLOOKUP($A384,raw_ub[],COLUMN(AD$1)-COLUMN($A$1),FALSE))</f>
        <v>3.4392330000000068E-2</v>
      </c>
      <c r="AD384" s="72">
        <f>IF(VLOOKUP($A384,raw_ub[],COLUMN(AE$1)-COLUMN($A$1),FALSE)=0, VLOOKUP($D384, regions_ub[], COLUMN(AE$1)-COLUMN($A$1), FALSE), VLOOKUP($A384,raw_ub[],COLUMN(AE$1)-COLUMN($A$1),FALSE))</f>
        <v>3.2229399850337778E-3</v>
      </c>
      <c r="AE384" s="72">
        <f>IF(VLOOKUP($A384,raw_ub[],COLUMN(AF$1)-COLUMN($A$1),FALSE)=0, VLOOKUP($D384, regions_ub[], COLUMN(AF$1)-COLUMN($A$1), FALSE), VLOOKUP($A384,raw_ub[],COLUMN(AF$1)-COLUMN($A$1),FALSE))</f>
        <v>1.2987881162526778E-3</v>
      </c>
      <c r="AF384" s="72">
        <f>IF(VLOOKUP($A384,raw_ub[],COLUMN(AG$1)-COLUMN($A$1),FALSE)=0, VLOOKUP($D384, regions_ub[], COLUMN(AG$1)-COLUMN($A$1), FALSE), VLOOKUP($A384,raw_ub[],COLUMN(AG$1)-COLUMN($A$1),FALSE))</f>
        <v>9.0851787584198191E-4</v>
      </c>
      <c r="AG384" s="72">
        <f>IF(VLOOKUP($A384,raw_ub[],COLUMN(AH$1)-COLUMN($A$1),FALSE)=0, VLOOKUP($D384, regions_ub[], COLUMN(AH$1)-COLUMN($A$1), FALSE), VLOOKUP($A384,raw_ub[],COLUMN(AH$1)-COLUMN($A$1),FALSE))</f>
        <v>1.4143000155137971E-3</v>
      </c>
      <c r="AH384" s="72">
        <f>IF(VLOOKUP($A384,raw_ub[],COLUMN(AI$1)-COLUMN($A$1),FALSE)=0, VLOOKUP($D384, regions_ub[], COLUMN(AI$1)-COLUMN($A$1), FALSE), VLOOKUP($A384,raw_ub[],COLUMN(AI$1)-COLUMN($A$1),FALSE))</f>
        <v>2.0564883430451066E-3</v>
      </c>
      <c r="AI384" s="72">
        <f>IF(VLOOKUP($A384,raw_ub[],COLUMN(AJ$1)-COLUMN($A$1),FALSE)=0, VLOOKUP($D384, regions_ub[], COLUMN(AJ$1)-COLUMN($A$1), FALSE), VLOOKUP($A384,raw_ub[],COLUMN(AJ$1)-COLUMN($A$1),FALSE))</f>
        <v>2.2328935651304495E-3</v>
      </c>
      <c r="AJ384" s="72">
        <f>IF(VLOOKUP($A384,raw_ub[],COLUMN(AK$1)-COLUMN($A$1),FALSE)=0, VLOOKUP($D384, regions_ub[], COLUMN(AK$1)-COLUMN($A$1), FALSE), VLOOKUP($A384,raw_ub[],COLUMN(AK$1)-COLUMN($A$1),FALSE))</f>
        <v>2.6055243985349027E-3</v>
      </c>
      <c r="AK384" s="72">
        <f>IF(VLOOKUP($A384,raw_ub[],COLUMN(AL$1)-COLUMN($A$1),FALSE)=0, VLOOKUP($D384, regions_ub[], COLUMN(AL$1)-COLUMN($A$1), FALSE), VLOOKUP($A384,raw_ub[],COLUMN(AL$1)-COLUMN($A$1),FALSE))</f>
        <v>3.1215167190386654E-3</v>
      </c>
      <c r="AL384" s="72">
        <f>IF(VLOOKUP($A384,raw_ub[],COLUMN(AM$1)-COLUMN($A$1),FALSE)=0, VLOOKUP($D384, regions_ub[], COLUMN(AM$1)-COLUMN($A$1), FALSE), VLOOKUP($A384,raw_ub[],COLUMN(AM$1)-COLUMN($A$1),FALSE))</f>
        <v>4.12633762500649E-3</v>
      </c>
      <c r="AM384" s="72">
        <f>IF(VLOOKUP($A384,raw_ub[],COLUMN(AN$1)-COLUMN($A$1),FALSE)=0, VLOOKUP($D384, regions_ub[], COLUMN(AN$1)-COLUMN($A$1), FALSE), VLOOKUP($A384,raw_ub[],COLUMN(AN$1)-COLUMN($A$1),FALSE))</f>
        <v>5.5062289209261593E-3</v>
      </c>
      <c r="AN384" s="72">
        <f>IF(VLOOKUP($A384,raw_ub[],COLUMN(AO$1)-COLUMN($A$1),FALSE)=0, VLOOKUP($D384, regions_ub[], COLUMN(AO$1)-COLUMN($A$1), FALSE), VLOOKUP($A384,raw_ub[],COLUMN(AO$1)-COLUMN($A$1),FALSE))</f>
        <v>8.1049984575067915E-3</v>
      </c>
      <c r="AO384" s="72">
        <f>IF(VLOOKUP($A384,raw_ub[],COLUMN(AP$1)-COLUMN($A$1),FALSE)=0, VLOOKUP($D384, regions_ub[], COLUMN(AP$1)-COLUMN($A$1), FALSE), VLOOKUP($A384,raw_ub[],COLUMN(AP$1)-COLUMN($A$1),FALSE))</f>
        <v>1.1854822153972135E-2</v>
      </c>
      <c r="AP384" s="72">
        <f>IF(VLOOKUP($A384,raw_ub[],COLUMN(AQ$1)-COLUMN($A$1),FALSE)=0, VLOOKUP($D384, regions_ub[], COLUMN(AQ$1)-COLUMN($A$1), FALSE), VLOOKUP($A384,raw_ub[],COLUMN(AQ$1)-COLUMN($A$1),FALSE))</f>
        <v>1.859985381845012E-2</v>
      </c>
      <c r="AQ384" s="72">
        <f>IF(VLOOKUP($A384,raw_ub[],COLUMN(AR$1)-COLUMN($A$1),FALSE)=0, VLOOKUP($D384, regions_ub[], COLUMN(AR$1)-COLUMN($A$1), FALSE), VLOOKUP($A384,raw_ub[],COLUMN(AR$1)-COLUMN($A$1),FALSE))</f>
        <v>2.9389379173103674E-2</v>
      </c>
      <c r="AR384" s="72">
        <f>IF(VLOOKUP($A384,raw_ub[],COLUMN(AS$1)-COLUMN($A$1),FALSE)=0, VLOOKUP($D384, regions_ub[], COLUMN(AS$1)-COLUMN($A$1), FALSE), VLOOKUP($A384,raw_ub[],COLUMN(AS$1)-COLUMN($A$1),FALSE))</f>
        <v>4.886433058745672E-2</v>
      </c>
      <c r="AS384" s="72">
        <f>IF(VLOOKUP($A384,raw_ub[],COLUMN(AT$1)-COLUMN($A$1),FALSE)=0, VLOOKUP($D384, regions_ub[], COLUMN(AT$1)-COLUMN($A$1), FALSE), VLOOKUP($A384,raw_ub[],COLUMN(AT$1)-COLUMN($A$1),FALSE))</f>
        <v>7.8486788847091066E-2</v>
      </c>
      <c r="AT384" s="82">
        <f>IF(VLOOKUP($A384,raw_ub[],COLUMN(AT$1),FALSE)=0, VLOOKUP($D384, regions_ub[], COLUMN(AT$1), FALSE), VLOOKUP($A384,raw_ub[],COLUMN(AT$1),FALSE))</f>
        <v>0.11708919332428845</v>
      </c>
      <c r="AU384" s="82">
        <f>IF(VLOOKUP($A384,raw_ub[],COLUMN(AU$1),FALSE)=0, VLOOKUP($D384, regions_ub[], COLUMN(AU$1), FALSE), VLOOKUP($A384,raw_ub[],COLUMN(AU$1),FALSE))</f>
        <v>0.15477375025316387</v>
      </c>
      <c r="AV384" s="82">
        <f>IF(VLOOKUP($A384,raw_ub[],COLUMN(AV$1),FALSE)=0, VLOOKUP($D384, regions_ub[], COLUMN(AV$1), FALSE), VLOOKUP($A384,raw_ub[],COLUMN(AV$1),FALSE))</f>
        <v>0.18220875108332996</v>
      </c>
      <c r="AW384" s="82">
        <f>IF(VLOOKUP($A384,raw_ub[],COLUMN(AW$1),FALSE)=0, VLOOKUP($D384, regions_ub[], COLUMN(AW$1), FALSE), VLOOKUP($A384,raw_ub[],COLUMN(AW$1),FALSE))</f>
        <v>0.19580971762463714</v>
      </c>
      <c r="AX384" s="82">
        <f>IF(VLOOKUP($A384,raw_ub[],COLUMN(AX$1),FALSE)=0, VLOOKUP($D384, regions_ub[], COLUMN(AX$1), FALSE), VLOOKUP($A384,raw_ub[],COLUMN(AX$1),FALSE))</f>
        <v>70.843500000000006</v>
      </c>
      <c r="AY384" t="str">
        <f t="shared" si="13"/>
        <v>No</v>
      </c>
    </row>
    <row r="385" spans="1:51" x14ac:dyDescent="0.25">
      <c r="A385" s="55" t="s">
        <v>438</v>
      </c>
      <c r="B385" s="56" t="s">
        <v>439</v>
      </c>
      <c r="C385" s="56">
        <v>688</v>
      </c>
      <c r="D385" s="56" t="s">
        <v>201</v>
      </c>
      <c r="E385" s="56" t="s">
        <v>202</v>
      </c>
      <c r="F385" s="56" t="s">
        <v>203</v>
      </c>
      <c r="G385" s="56" t="s">
        <v>204</v>
      </c>
      <c r="H385" s="74"/>
      <c r="I385" s="74"/>
      <c r="J385" s="67">
        <f>IF(VLOOKUP($A385,raw_ub[],COLUMN(J$1),FALSE)=0, VLOOKUP($D385, regions_ub[], COLUMN(J$1), FALSE), VLOOKUP($A385,raw_ub[],COLUMN(J$1),FALSE))</f>
        <v>0.999</v>
      </c>
      <c r="K385" s="77">
        <f>VLOOKUP($A385, raw_ub[], 11, FALSE)</f>
        <v>0.999</v>
      </c>
      <c r="L385" s="77">
        <f>VLOOKUP($A385, raw_ub[], 12, FALSE)</f>
        <v>0.91349999999999998</v>
      </c>
      <c r="M385" s="77">
        <f>IF(VLOOKUP($A385,raw_ub[],COLUMN(M$1),FALSE)=0, VLOOKUP($D385, regions_ub[], COLUMN(M$1), FALSE), VLOOKUP($A385,raw_ub[],COLUMN(M$1),FALSE))</f>
        <v>1.7000000000000001E-2</v>
      </c>
      <c r="N385" s="68">
        <f>IF(VLOOKUP($A385,raw_ub[],COLUMN(N$1),FALSE)=0, VLOOKUP($D385, regions_ub[], COLUMN(N$1), FALSE), VLOOKUP($A385,raw_ub[],COLUMN(N$1),FALSE))</f>
        <v>0.42849999999999999</v>
      </c>
      <c r="O385" s="67">
        <f>IF(VLOOKUP($A385,raw_ub[],COLUMN(O$1),FALSE)=0, VLOOKUP($D385, regions_ub[], COLUMN(O$1), FALSE), VLOOKUP($A385,raw_ub[],COLUMN(O$1),FALSE))</f>
        <v>0.9</v>
      </c>
      <c r="P385" s="68">
        <f>IF(VLOOKUP($A385,raw_ub[],COLUMN(P$1),FALSE)=0, VLOOKUP($D385, regions_ub[], COLUMN(P$1), FALSE), VLOOKUP($A385,raw_ub[],COLUMN(P$1),FALSE))</f>
        <v>0.3</v>
      </c>
      <c r="Q385" s="70">
        <f>IF(VLOOKUP($A385,raw_ub[],COLUMN(Q$1),FALSE)=0, VLOOKUP($D385, regions_ub[], COLUMN(Q$1), FALSE), VLOOKUP($A385,raw_ub[],COLUMN(Q$1),FALSE))</f>
        <v>23.791993633369898</v>
      </c>
      <c r="R385" s="70">
        <f>IF(VLOOKUP($A385,raw_ub[],COLUMN(R$1),FALSE)=0, VLOOKUP($D385, regions_ub[], COLUMN(R$1), FALSE), VLOOKUP($A385,raw_ub[],COLUMN(R$1),FALSE))</f>
        <v>132.77779363336992</v>
      </c>
      <c r="S385" s="70">
        <f>IF(VLOOKUP($A385,raw_ub[],COLUMN(S$1),FALSE)=0, VLOOKUP($D385, regions_ub[], COLUMN(S$1), FALSE), VLOOKUP($A385,raw_ub[],COLUMN(S$1),FALSE))</f>
        <v>215.81079983525706</v>
      </c>
      <c r="T385" s="70">
        <f>IF(VLOOKUP($A385,raw_ub[],COLUMN(U$1)-COLUMN($A$1),FALSE)=0, VLOOKUP($D385, regions_ub[], COLUMN(U$1)-COLUMN($A$1), FALSE), VLOOKUP($A385,raw_ub[],COLUMN(U$1)-COLUMN($A$1),FALSE))</f>
        <v>243.81858873702376</v>
      </c>
      <c r="U385" s="70">
        <f>IF(VLOOKUP($A385,raw_ub[],COLUMN(V$1)-COLUMN($A$1),FALSE)=0, VLOOKUP($D385, regions_ub[], COLUMN(V$1)-COLUMN($A$1), FALSE), VLOOKUP($A385,raw_ub[],COLUMN(V$1)-COLUMN($A$1),FALSE))</f>
        <v>230.95800408257074</v>
      </c>
      <c r="V385" s="70">
        <f>IF(VLOOKUP($A385,raw_ub[],COLUMN(W$1)-COLUMN($A$1),FALSE)=0, VLOOKUP($D385, regions_ub[], COLUMN(W$1)-COLUMN($A$1), FALSE), VLOOKUP($A385,raw_ub[],COLUMN(W$1)-COLUMN($A$1),FALSE))</f>
        <v>11.655350900938448</v>
      </c>
      <c r="W385" s="70">
        <f>IF(VLOOKUP($A385,raw_ub[],COLUMN(X$1)-COLUMN($A$1),FALSE)=0, VLOOKUP($D385, regions_ub[], COLUMN(X$1)-COLUMN($A$1), FALSE), VLOOKUP($A385,raw_ub[],COLUMN(X$1)-COLUMN($A$1),FALSE))</f>
        <v>15.928850900938448</v>
      </c>
      <c r="X385" s="70">
        <f>IF(VLOOKUP($A385,raw_ub[],COLUMN(Y$1)-COLUMN($A$1),FALSE)=0, VLOOKUP($D385, regions_ub[], COLUMN(Y$1)-COLUMN($A$1), FALSE), VLOOKUP($A385,raw_ub[],COLUMN(Y$1)-COLUMN($A$1),FALSE))</f>
        <v>11.609481117759145</v>
      </c>
      <c r="Y385" s="70">
        <f>IF(VLOOKUP($A385,raw_ub[],COLUMN(Z$1)-COLUMN($A$1),FALSE)=0, VLOOKUP($D385, regions_ub[], COLUMN(Z$1)-COLUMN($A$1), FALSE), VLOOKUP($A385,raw_ub[],COLUMN(Z$1)-COLUMN($A$1),FALSE))</f>
        <v>15.882981117759146</v>
      </c>
      <c r="Z385" s="70">
        <f>IF(VLOOKUP($A385,raw_ub[],COLUMN(AA$1)-COLUMN($A$1),FALSE)=0, VLOOKUP($D385, regions_ub[], COLUMN(AA$1)-COLUMN($A$1), FALSE), VLOOKUP($A385,raw_ub[],COLUMN(AA$1)-COLUMN($A$1),FALSE))</f>
        <v>15.857503357233144</v>
      </c>
      <c r="AA385" s="70">
        <f>IF(VLOOKUP($A385,raw_ub[],COLUMN(AB$1)-COLUMN($A$1),FALSE)=0, VLOOKUP($D385, regions_ub[], COLUMN(AB$1)-COLUMN($A$1), FALSE), VLOOKUP($A385,raw_ub[],COLUMN(AB$1)-COLUMN($A$1),FALSE))</f>
        <v>11.665936235518288</v>
      </c>
      <c r="AB385" s="70">
        <f>IF(VLOOKUP($A385,raw_ub[],COLUMN(AC$1)-COLUMN($A$1),FALSE)=0, VLOOKUP($D385, regions_ub[], COLUMN(AC$1)-COLUMN($A$1), FALSE), VLOOKUP($A385,raw_ub[],COLUMN(AC$1)-COLUMN($A$1),FALSE))</f>
        <v>15.939436235518288</v>
      </c>
      <c r="AC385" s="72">
        <f>IF(VLOOKUP($A385,raw_ub[],COLUMN(AD$1)-COLUMN($A$1),FALSE)=0, VLOOKUP($D385, regions_ub[], COLUMN(AD$1)-COLUMN($A$1), FALSE), VLOOKUP($A385,raw_ub[],COLUMN(AD$1)-COLUMN($A$1),FALSE))</f>
        <v>5.1445064999999382E-3</v>
      </c>
      <c r="AD385" s="72">
        <f>IF(VLOOKUP($A385,raw_ub[],COLUMN(AE$1)-COLUMN($A$1),FALSE)=0, VLOOKUP($D385, regions_ub[], COLUMN(AE$1)-COLUMN($A$1), FALSE), VLOOKUP($A385,raw_ub[],COLUMN(AE$1)-COLUMN($A$1),FALSE))</f>
        <v>1.7938151009014202E-4</v>
      </c>
      <c r="AE385" s="72">
        <f>IF(VLOOKUP($A385,raw_ub[],COLUMN(AF$1)-COLUMN($A$1),FALSE)=0, VLOOKUP($D385, regions_ub[], COLUMN(AF$1)-COLUMN($A$1), FALSE), VLOOKUP($A385,raw_ub[],COLUMN(AF$1)-COLUMN($A$1),FALSE))</f>
        <v>1.051794529649897E-4</v>
      </c>
      <c r="AF385" s="72">
        <f>IF(VLOOKUP($A385,raw_ub[],COLUMN(AG$1)-COLUMN($A$1),FALSE)=0, VLOOKUP($D385, regions_ub[], COLUMN(AG$1)-COLUMN($A$1), FALSE), VLOOKUP($A385,raw_ub[],COLUMN(AG$1)-COLUMN($A$1),FALSE))</f>
        <v>1.2283846304301146E-4</v>
      </c>
      <c r="AG385" s="72">
        <f>IF(VLOOKUP($A385,raw_ub[],COLUMN(AH$1)-COLUMN($A$1),FALSE)=0, VLOOKUP($D385, regions_ub[], COLUMN(AH$1)-COLUMN($A$1), FALSE), VLOOKUP($A385,raw_ub[],COLUMN(AH$1)-COLUMN($A$1),FALSE))</f>
        <v>3.1685583986913187E-4</v>
      </c>
      <c r="AH385" s="72">
        <f>IF(VLOOKUP($A385,raw_ub[],COLUMN(AI$1)-COLUMN($A$1),FALSE)=0, VLOOKUP($D385, regions_ub[], COLUMN(AI$1)-COLUMN($A$1), FALSE), VLOOKUP($A385,raw_ub[],COLUMN(AI$1)-COLUMN($A$1),FALSE))</f>
        <v>4.3605433533571699E-4</v>
      </c>
      <c r="AI385" s="72">
        <f>IF(VLOOKUP($A385,raw_ub[],COLUMN(AJ$1)-COLUMN($A$1),FALSE)=0, VLOOKUP($D385, regions_ub[], COLUMN(AJ$1)-COLUMN($A$1), FALSE), VLOOKUP($A385,raw_ub[],COLUMN(AJ$1)-COLUMN($A$1),FALSE))</f>
        <v>5.6046665030145149E-4</v>
      </c>
      <c r="AJ385" s="72">
        <f>IF(VLOOKUP($A385,raw_ub[],COLUMN(AK$1)-COLUMN($A$1),FALSE)=0, VLOOKUP($D385, regions_ub[], COLUMN(AK$1)-COLUMN($A$1), FALSE), VLOOKUP($A385,raw_ub[],COLUMN(AK$1)-COLUMN($A$1),FALSE))</f>
        <v>8.1010334601713297E-4</v>
      </c>
      <c r="AK385" s="72">
        <f>IF(VLOOKUP($A385,raw_ub[],COLUMN(AL$1)-COLUMN($A$1),FALSE)=0, VLOOKUP($D385, regions_ub[], COLUMN(AL$1)-COLUMN($A$1), FALSE), VLOOKUP($A385,raw_ub[],COLUMN(AL$1)-COLUMN($A$1),FALSE))</f>
        <v>1.1326869250180495E-3</v>
      </c>
      <c r="AL385" s="72">
        <f>IF(VLOOKUP($A385,raw_ub[],COLUMN(AM$1)-COLUMN($A$1),FALSE)=0, VLOOKUP($D385, regions_ub[], COLUMN(AM$1)-COLUMN($A$1), FALSE), VLOOKUP($A385,raw_ub[],COLUMN(AM$1)-COLUMN($A$1),FALSE))</f>
        <v>1.9082847229071991E-3</v>
      </c>
      <c r="AM385" s="72">
        <f>IF(VLOOKUP($A385,raw_ub[],COLUMN(AN$1)-COLUMN($A$1),FALSE)=0, VLOOKUP($D385, regions_ub[], COLUMN(AN$1)-COLUMN($A$1), FALSE), VLOOKUP($A385,raw_ub[],COLUMN(AN$1)-COLUMN($A$1),FALSE))</f>
        <v>3.3497813565546639E-3</v>
      </c>
      <c r="AN385" s="72">
        <f>IF(VLOOKUP($A385,raw_ub[],COLUMN(AO$1)-COLUMN($A$1),FALSE)=0, VLOOKUP($D385, regions_ub[], COLUMN(AO$1)-COLUMN($A$1), FALSE), VLOOKUP($A385,raw_ub[],COLUMN(AO$1)-COLUMN($A$1),FALSE))</f>
        <v>5.8953489645004187E-3</v>
      </c>
      <c r="AO385" s="72">
        <f>IF(VLOOKUP($A385,raw_ub[],COLUMN(AP$1)-COLUMN($A$1),FALSE)=0, VLOOKUP($D385, regions_ub[], COLUMN(AP$1)-COLUMN($A$1), FALSE), VLOOKUP($A385,raw_ub[],COLUMN(AP$1)-COLUMN($A$1),FALSE))</f>
        <v>9.6207296791513339E-3</v>
      </c>
      <c r="AP385" s="72">
        <f>IF(VLOOKUP($A385,raw_ub[],COLUMN(AQ$1)-COLUMN($A$1),FALSE)=0, VLOOKUP($D385, regions_ub[], COLUMN(AQ$1)-COLUMN($A$1), FALSE), VLOOKUP($A385,raw_ub[],COLUMN(AQ$1)-COLUMN($A$1),FALSE))</f>
        <v>1.4900944359094047E-2</v>
      </c>
      <c r="AQ385" s="72">
        <f>IF(VLOOKUP($A385,raw_ub[],COLUMN(AR$1)-COLUMN($A$1),FALSE)=0, VLOOKUP($D385, regions_ub[], COLUMN(AR$1)-COLUMN($A$1), FALSE), VLOOKUP($A385,raw_ub[],COLUMN(AR$1)-COLUMN($A$1),FALSE))</f>
        <v>2.1925944238728286E-2</v>
      </c>
      <c r="AR385" s="72">
        <f>IF(VLOOKUP($A385,raw_ub[],COLUMN(AS$1)-COLUMN($A$1),FALSE)=0, VLOOKUP($D385, regions_ub[], COLUMN(AS$1)-COLUMN($A$1), FALSE), VLOOKUP($A385,raw_ub[],COLUMN(AS$1)-COLUMN($A$1),FALSE))</f>
        <v>3.3407250295843446E-2</v>
      </c>
      <c r="AS385" s="72">
        <f>IF(VLOOKUP($A385,raw_ub[],COLUMN(AT$1)-COLUMN($A$1),FALSE)=0, VLOOKUP($D385, regions_ub[], COLUMN(AT$1)-COLUMN($A$1), FALSE), VLOOKUP($A385,raw_ub[],COLUMN(AT$1)-COLUMN($A$1),FALSE))</f>
        <v>5.6172443973619035E-2</v>
      </c>
      <c r="AT385" s="82">
        <f>IF(VLOOKUP($A385,raw_ub[],COLUMN(AT$1),FALSE)=0, VLOOKUP($D385, regions_ub[], COLUMN(AT$1), FALSE), VLOOKUP($A385,raw_ub[],COLUMN(AT$1),FALSE))</f>
        <v>9.0087643450804777E-2</v>
      </c>
      <c r="AU385" s="82">
        <f>IF(VLOOKUP($A385,raw_ub[],COLUMN(AU$1),FALSE)=0, VLOOKUP($D385, regions_ub[], COLUMN(AU$1), FALSE), VLOOKUP($A385,raw_ub[],COLUMN(AU$1),FALSE))</f>
        <v>0.1284591426736531</v>
      </c>
      <c r="AV385" s="82">
        <f>IF(VLOOKUP($A385,raw_ub[],COLUMN(AV$1),FALSE)=0, VLOOKUP($D385, regions_ub[], COLUMN(AV$1), FALSE), VLOOKUP($A385,raw_ub[],COLUMN(AV$1),FALSE))</f>
        <v>0.16832574869781952</v>
      </c>
      <c r="AW385" s="82">
        <f>IF(VLOOKUP($A385,raw_ub[],COLUMN(AW$1),FALSE)=0, VLOOKUP($D385, regions_ub[], COLUMN(AW$1), FALSE), VLOOKUP($A385,raw_ub[],COLUMN(AW$1),FALSE))</f>
        <v>0.19165542775910896</v>
      </c>
      <c r="AX385" s="82">
        <f>IF(VLOOKUP($A385,raw_ub[],COLUMN(AX$1),FALSE)=0, VLOOKUP($D385, regions_ub[], COLUMN(AX$1), FALSE), VLOOKUP($A385,raw_ub[],COLUMN(AX$1),FALSE))</f>
        <v>79.560600000000008</v>
      </c>
      <c r="AY385" t="str">
        <f t="shared" si="13"/>
        <v>No</v>
      </c>
    </row>
    <row r="386" spans="1:51" x14ac:dyDescent="0.25">
      <c r="A386" s="53" t="s">
        <v>440</v>
      </c>
      <c r="B386" s="54" t="s">
        <v>441</v>
      </c>
      <c r="C386" s="54">
        <v>694</v>
      </c>
      <c r="D386" s="54" t="s">
        <v>207</v>
      </c>
      <c r="E386" s="54" t="s">
        <v>235</v>
      </c>
      <c r="F386" s="54" t="s">
        <v>211</v>
      </c>
      <c r="G386" s="54" t="s">
        <v>198</v>
      </c>
      <c r="H386" s="73"/>
      <c r="I386" s="73"/>
      <c r="J386" s="67">
        <f>IF(VLOOKUP($A386,raw_ub[],COLUMN(J$1),FALSE)=0, VLOOKUP($D386, regions_ub[], COLUMN(J$1), FALSE), VLOOKUP($A386,raw_ub[],COLUMN(J$1),FALSE))</f>
        <v>0.87570000000000014</v>
      </c>
      <c r="K386" s="77">
        <f>VLOOKUP($A386, raw_ub[], 11, FALSE)</f>
        <v>0</v>
      </c>
      <c r="L386" s="77">
        <f>VLOOKUP($A386, raw_ub[], 12, FALSE)</f>
        <v>0.95550000000000013</v>
      </c>
      <c r="M386" s="77">
        <f>IF(VLOOKUP($A386,raw_ub[],COLUMN(M$1),FALSE)=0, VLOOKUP($D386, regions_ub[], COLUMN(M$1), FALSE), VLOOKUP($A386,raw_ub[],COLUMN(M$1),FALSE))</f>
        <v>9.0200000000000002E-2</v>
      </c>
      <c r="N386" s="68">
        <f>IF(VLOOKUP($A386,raw_ub[],COLUMN(N$1),FALSE)=0, VLOOKUP($D386, regions_ub[], COLUMN(N$1), FALSE), VLOOKUP($A386,raw_ub[],COLUMN(N$1),FALSE))</f>
        <v>0.41070000000000001</v>
      </c>
      <c r="O386" s="67">
        <f>IF(VLOOKUP($A386,raw_ub[],COLUMN(O$1),FALSE)=0, VLOOKUP($D386, regions_ub[], COLUMN(O$1), FALSE), VLOOKUP($A386,raw_ub[],COLUMN(O$1),FALSE))</f>
        <v>0.74399999999999999</v>
      </c>
      <c r="P386" s="68">
        <f>IF(VLOOKUP($A386,raw_ub[],COLUMN(P$1),FALSE)=0, VLOOKUP($D386, regions_ub[], COLUMN(P$1), FALSE), VLOOKUP($A386,raw_ub[],COLUMN(P$1),FALSE))</f>
        <v>0.13300000000000001</v>
      </c>
      <c r="Q386" s="70">
        <f>IF(VLOOKUP($A386,raw_ub[],COLUMN(Q$1),FALSE)=0, VLOOKUP($D386, regions_ub[], COLUMN(Q$1), FALSE), VLOOKUP($A386,raw_ub[],COLUMN(Q$1),FALSE))</f>
        <v>6.3704244897959201</v>
      </c>
      <c r="R386" s="70">
        <f>IF(VLOOKUP($A386,raw_ub[],COLUMN(R$1),FALSE)=0, VLOOKUP($D386, regions_ub[], COLUMN(R$1), FALSE), VLOOKUP($A386,raw_ub[],COLUMN(R$1),FALSE))</f>
        <v>115.35622448979593</v>
      </c>
      <c r="S386" s="70">
        <f>IF(VLOOKUP($A386,raw_ub[],COLUMN(S$1),FALSE)=0, VLOOKUP($D386, regions_ub[], COLUMN(S$1), FALSE), VLOOKUP($A386,raw_ub[],COLUMN(S$1),FALSE))</f>
        <v>146.4957404910611</v>
      </c>
      <c r="T386" s="70">
        <f>IF(VLOOKUP($A386,raw_ub[],COLUMN(U$1)-COLUMN($A$1),FALSE)=0, VLOOKUP($D386, regions_ub[], COLUMN(U$1)-COLUMN($A$1), FALSE), VLOOKUP($A386,raw_ub[],COLUMN(U$1)-COLUMN($A$1),FALSE))</f>
        <v>147.49478148043281</v>
      </c>
      <c r="U386" s="70">
        <f>IF(VLOOKUP($A386,raw_ub[],COLUMN(V$1)-COLUMN($A$1),FALSE)=0, VLOOKUP($D386, regions_ub[], COLUMN(V$1)-COLUMN($A$1), FALSE), VLOOKUP($A386,raw_ub[],COLUMN(V$1)-COLUMN($A$1),FALSE))</f>
        <v>147.03604297514963</v>
      </c>
      <c r="V386" s="70">
        <f>IF(VLOOKUP($A386,raw_ub[],COLUMN(W$1)-COLUMN($A$1),FALSE)=0, VLOOKUP($D386, regions_ub[], COLUMN(W$1)-COLUMN($A$1), FALSE), VLOOKUP($A386,raw_ub[],COLUMN(W$1)-COLUMN($A$1),FALSE))</f>
        <v>5.0376594749833163</v>
      </c>
      <c r="W386" s="70">
        <f>IF(VLOOKUP($A386,raw_ub[],COLUMN(X$1)-COLUMN($A$1),FALSE)=0, VLOOKUP($D386, regions_ub[], COLUMN(X$1)-COLUMN($A$1), FALSE), VLOOKUP($A386,raw_ub[],COLUMN(X$1)-COLUMN($A$1),FALSE))</f>
        <v>10.109159474983317</v>
      </c>
      <c r="X386" s="70">
        <f>IF(VLOOKUP($A386,raw_ub[],COLUMN(Y$1)-COLUMN($A$1),FALSE)=0, VLOOKUP($D386, regions_ub[], COLUMN(Y$1)-COLUMN($A$1), FALSE), VLOOKUP($A386,raw_ub[],COLUMN(Y$1)-COLUMN($A$1),FALSE))</f>
        <v>5.029304744818381</v>
      </c>
      <c r="Y386" s="70">
        <f>IF(VLOOKUP($A386,raw_ub[],COLUMN(Z$1)-COLUMN($A$1),FALSE)=0, VLOOKUP($D386, regions_ub[], COLUMN(Z$1)-COLUMN($A$1), FALSE), VLOOKUP($A386,raw_ub[],COLUMN(Z$1)-COLUMN($A$1),FALSE))</f>
        <v>10.100804744818381</v>
      </c>
      <c r="Z386" s="70">
        <f>IF(VLOOKUP($A386,raw_ub[],COLUMN(AA$1)-COLUMN($A$1),FALSE)=0, VLOOKUP($D386, regions_ub[], COLUMN(AA$1)-COLUMN($A$1), FALSE), VLOOKUP($A386,raw_ub[],COLUMN(AA$1)-COLUMN($A$1),FALSE))</f>
        <v>10.096338954931337</v>
      </c>
      <c r="AA386" s="70">
        <f>IF(VLOOKUP($A386,raw_ub[],COLUMN(AB$1)-COLUMN($A$1),FALSE)=0, VLOOKUP($D386, regions_ub[], COLUMN(AB$1)-COLUMN($A$1), FALSE), VLOOKUP($A386,raw_ub[],COLUMN(AB$1)-COLUMN($A$1),FALSE))</f>
        <v>5.0395874896367632</v>
      </c>
      <c r="AB386" s="70">
        <f>IF(VLOOKUP($A386,raw_ub[],COLUMN(AC$1)-COLUMN($A$1),FALSE)=0, VLOOKUP($D386, regions_ub[], COLUMN(AC$1)-COLUMN($A$1), FALSE), VLOOKUP($A386,raw_ub[],COLUMN(AC$1)-COLUMN($A$1),FALSE))</f>
        <v>10.111087489636763</v>
      </c>
      <c r="AC386" s="72">
        <f>IF(VLOOKUP($A386,raw_ub[],COLUMN(AD$1)-COLUMN($A$1),FALSE)=0, VLOOKUP($D386, regions_ub[], COLUMN(AD$1)-COLUMN($A$1), FALSE), VLOOKUP($A386,raw_ub[],COLUMN(AD$1)-COLUMN($A$1),FALSE))</f>
        <v>8.4831589499999943E-2</v>
      </c>
      <c r="AD386" s="72">
        <f>IF(VLOOKUP($A386,raw_ub[],COLUMN(AE$1)-COLUMN($A$1),FALSE)=0, VLOOKUP($D386, regions_ub[], COLUMN(AE$1)-COLUMN($A$1), FALSE), VLOOKUP($A386,raw_ub[],COLUMN(AE$1)-COLUMN($A$1),FALSE))</f>
        <v>8.4516667234003015E-3</v>
      </c>
      <c r="AE386" s="72">
        <f>IF(VLOOKUP($A386,raw_ub[],COLUMN(AF$1)-COLUMN($A$1),FALSE)=0, VLOOKUP($D386, regions_ub[], COLUMN(AF$1)-COLUMN($A$1), FALSE), VLOOKUP($A386,raw_ub[],COLUMN(AF$1)-COLUMN($A$1),FALSE))</f>
        <v>3.7388400699392417E-3</v>
      </c>
      <c r="AF386" s="72">
        <f>IF(VLOOKUP($A386,raw_ub[],COLUMN(AG$1)-COLUMN($A$1),FALSE)=0, VLOOKUP($D386, regions_ub[], COLUMN(AG$1)-COLUMN($A$1), FALSE), VLOOKUP($A386,raw_ub[],COLUMN(AG$1)-COLUMN($A$1),FALSE))</f>
        <v>2.7470184874054835E-3</v>
      </c>
      <c r="AG386" s="72">
        <f>IF(VLOOKUP($A386,raw_ub[],COLUMN(AH$1)-COLUMN($A$1),FALSE)=0, VLOOKUP($D386, regions_ub[], COLUMN(AH$1)-COLUMN($A$1), FALSE), VLOOKUP($A386,raw_ub[],COLUMN(AH$1)-COLUMN($A$1),FALSE))</f>
        <v>4.5205002319840034E-3</v>
      </c>
      <c r="AH386" s="72">
        <f>IF(VLOOKUP($A386,raw_ub[],COLUMN(AI$1)-COLUMN($A$1),FALSE)=0, VLOOKUP($D386, regions_ub[], COLUMN(AI$1)-COLUMN($A$1), FALSE), VLOOKUP($A386,raw_ub[],COLUMN(AI$1)-COLUMN($A$1),FALSE))</f>
        <v>6.2916332594958411E-3</v>
      </c>
      <c r="AI386" s="72">
        <f>IF(VLOOKUP($A386,raw_ub[],COLUMN(AJ$1)-COLUMN($A$1),FALSE)=0, VLOOKUP($D386, regions_ub[], COLUMN(AJ$1)-COLUMN($A$1), FALSE), VLOOKUP($A386,raw_ub[],COLUMN(AJ$1)-COLUMN($A$1),FALSE))</f>
        <v>6.9076282621046235E-3</v>
      </c>
      <c r="AJ386" s="72">
        <f>IF(VLOOKUP($A386,raw_ub[],COLUMN(AK$1)-COLUMN($A$1),FALSE)=0, VLOOKUP($D386, regions_ub[], COLUMN(AK$1)-COLUMN($A$1), FALSE), VLOOKUP($A386,raw_ub[],COLUMN(AK$1)-COLUMN($A$1),FALSE))</f>
        <v>7.5964884663196359E-3</v>
      </c>
      <c r="AK386" s="72">
        <f>IF(VLOOKUP($A386,raw_ub[],COLUMN(AL$1)-COLUMN($A$1),FALSE)=0, VLOOKUP($D386, regions_ub[], COLUMN(AL$1)-COLUMN($A$1), FALSE), VLOOKUP($A386,raw_ub[],COLUMN(AL$1)-COLUMN($A$1),FALSE))</f>
        <v>8.7679876868459322E-3</v>
      </c>
      <c r="AL386" s="72">
        <f>IF(VLOOKUP($A386,raw_ub[],COLUMN(AM$1)-COLUMN($A$1),FALSE)=0, VLOOKUP($D386, regions_ub[], COLUMN(AM$1)-COLUMN($A$1), FALSE), VLOOKUP($A386,raw_ub[],COLUMN(AM$1)-COLUMN($A$1),FALSE))</f>
        <v>1.037911429004715E-2</v>
      </c>
      <c r="AM386" s="72">
        <f>IF(VLOOKUP($A386,raw_ub[],COLUMN(AN$1)-COLUMN($A$1),FALSE)=0, VLOOKUP($D386, regions_ub[], COLUMN(AN$1)-COLUMN($A$1), FALSE), VLOOKUP($A386,raw_ub[],COLUMN(AN$1)-COLUMN($A$1),FALSE))</f>
        <v>1.273048011527878E-2</v>
      </c>
      <c r="AN386" s="72">
        <f>IF(VLOOKUP($A386,raw_ub[],COLUMN(AO$1)-COLUMN($A$1),FALSE)=0, VLOOKUP($D386, regions_ub[], COLUMN(AO$1)-COLUMN($A$1), FALSE), VLOOKUP($A386,raw_ub[],COLUMN(AO$1)-COLUMN($A$1),FALSE))</f>
        <v>1.6663069383855963E-2</v>
      </c>
      <c r="AO386" s="72">
        <f>IF(VLOOKUP($A386,raw_ub[],COLUMN(AP$1)-COLUMN($A$1),FALSE)=0, VLOOKUP($D386, regions_ub[], COLUMN(AP$1)-COLUMN($A$1), FALSE), VLOOKUP($A386,raw_ub[],COLUMN(AP$1)-COLUMN($A$1),FALSE))</f>
        <v>2.2161625678344572E-2</v>
      </c>
      <c r="AP386" s="72">
        <f>IF(VLOOKUP($A386,raw_ub[],COLUMN(AQ$1)-COLUMN($A$1),FALSE)=0, VLOOKUP($D386, regions_ub[], COLUMN(AQ$1)-COLUMN($A$1), FALSE), VLOOKUP($A386,raw_ub[],COLUMN(AQ$1)-COLUMN($A$1),FALSE))</f>
        <v>3.1209962661911509E-2</v>
      </c>
      <c r="AQ386" s="72">
        <f>IF(VLOOKUP($A386,raw_ub[],COLUMN(AR$1)-COLUMN($A$1),FALSE)=0, VLOOKUP($D386, regions_ub[], COLUMN(AR$1)-COLUMN($A$1), FALSE), VLOOKUP($A386,raw_ub[],COLUMN(AR$1)-COLUMN($A$1),FALSE))</f>
        <v>4.4152899442848309E-2</v>
      </c>
      <c r="AR386" s="72">
        <f>IF(VLOOKUP($A386,raw_ub[],COLUMN(AS$1)-COLUMN($A$1),FALSE)=0, VLOOKUP($D386, regions_ub[], COLUMN(AS$1)-COLUMN($A$1), FALSE), VLOOKUP($A386,raw_ub[],COLUMN(AS$1)-COLUMN($A$1),FALSE))</f>
        <v>6.358063905180604E-2</v>
      </c>
      <c r="AS386" s="72">
        <f>IF(VLOOKUP($A386,raw_ub[],COLUMN(AT$1)-COLUMN($A$1),FALSE)=0, VLOOKUP($D386, regions_ub[], COLUMN(AT$1)-COLUMN($A$1), FALSE), VLOOKUP($A386,raw_ub[],COLUMN(AT$1)-COLUMN($A$1),FALSE))</f>
        <v>8.8790774238259151E-2</v>
      </c>
      <c r="AT386" s="82">
        <f>IF(VLOOKUP($A386,raw_ub[],COLUMN(AT$1),FALSE)=0, VLOOKUP($D386, regions_ub[], COLUMN(AT$1), FALSE), VLOOKUP($A386,raw_ub[],COLUMN(AT$1),FALSE))</f>
        <v>0.11839918341948198</v>
      </c>
      <c r="AU386" s="82">
        <f>IF(VLOOKUP($A386,raw_ub[],COLUMN(AU$1),FALSE)=0, VLOOKUP($D386, regions_ub[], COLUMN(AU$1), FALSE), VLOOKUP($A386,raw_ub[],COLUMN(AU$1),FALSE))</f>
        <v>0.1454700730911484</v>
      </c>
      <c r="AV386" s="82">
        <f>IF(VLOOKUP($A386,raw_ub[],COLUMN(AV$1),FALSE)=0, VLOOKUP($D386, regions_ub[], COLUMN(AV$1), FALSE), VLOOKUP($A386,raw_ub[],COLUMN(AV$1),FALSE))</f>
        <v>0.1691242760572092</v>
      </c>
      <c r="AW386" s="82">
        <f>IF(VLOOKUP($A386,raw_ub[],COLUMN(AW$1),FALSE)=0, VLOOKUP($D386, regions_ub[], COLUMN(AW$1), FALSE), VLOOKUP($A386,raw_ub[],COLUMN(AW$1),FALSE))</f>
        <v>0.18744508083651304</v>
      </c>
      <c r="AX386" s="82">
        <f>IF(VLOOKUP($A386,raw_ub[],COLUMN(AX$1),FALSE)=0, VLOOKUP($D386, regions_ub[], COLUMN(AX$1), FALSE), VLOOKUP($A386,raw_ub[],COLUMN(AX$1),FALSE))</f>
        <v>56.769300000000008</v>
      </c>
      <c r="AY386" t="str">
        <f t="shared" si="13"/>
        <v>Yes</v>
      </c>
    </row>
    <row r="387" spans="1:51" x14ac:dyDescent="0.25">
      <c r="A387" s="55" t="s">
        <v>442</v>
      </c>
      <c r="B387" s="56" t="s">
        <v>443</v>
      </c>
      <c r="C387" s="56">
        <v>90</v>
      </c>
      <c r="D387" s="56" t="s">
        <v>260</v>
      </c>
      <c r="E387" s="56" t="s">
        <v>309</v>
      </c>
      <c r="F387" s="56" t="s">
        <v>262</v>
      </c>
      <c r="G387" s="56" t="s">
        <v>212</v>
      </c>
      <c r="H387" s="74"/>
      <c r="I387" s="74"/>
      <c r="J387" s="67">
        <f>IF(VLOOKUP($A387,raw_ub[],COLUMN(J$1),FALSE)=0, VLOOKUP($D387, regions_ub[], COLUMN(J$1), FALSE), VLOOKUP($A387,raw_ub[],COLUMN(J$1),FALSE))</f>
        <v>0.88724999999999998</v>
      </c>
      <c r="K387" s="77">
        <f>VLOOKUP($A387, raw_ub[], 11, FALSE)</f>
        <v>0.73499999999999999</v>
      </c>
      <c r="L387" s="77">
        <f>VLOOKUP($A387, raw_ub[], 12, FALSE)</f>
        <v>0.98699999999999999</v>
      </c>
      <c r="M387" s="77">
        <f>IF(VLOOKUP($A387,raw_ub[],COLUMN(M$1),FALSE)=0, VLOOKUP($D387, regions_ub[], COLUMN(M$1), FALSE), VLOOKUP($A387,raw_ub[],COLUMN(M$1),FALSE))</f>
        <v>9.8699999999999996E-2</v>
      </c>
      <c r="N387" s="68">
        <f>IF(VLOOKUP($A387,raw_ub[],COLUMN(N$1),FALSE)=0, VLOOKUP($D387, regions_ub[], COLUMN(N$1), FALSE), VLOOKUP($A387,raw_ub[],COLUMN(N$1),FALSE))</f>
        <v>0.47889999999999999</v>
      </c>
      <c r="O387" s="67">
        <f>IF(VLOOKUP($A387,raw_ub[],COLUMN(O$1),FALSE)=0, VLOOKUP($D387, regions_ub[], COLUMN(O$1), FALSE), VLOOKUP($A387,raw_ub[],COLUMN(O$1),FALSE))</f>
        <v>0.9</v>
      </c>
      <c r="P387" s="68">
        <f>IF(VLOOKUP($A387,raw_ub[],COLUMN(P$1),FALSE)=0, VLOOKUP($D387, regions_ub[], COLUMN(P$1), FALSE), VLOOKUP($A387,raw_ub[],COLUMN(P$1),FALSE))</f>
        <v>0.3</v>
      </c>
      <c r="Q387" s="70">
        <f>IF(VLOOKUP($A387,raw_ub[],COLUMN(Q$1),FALSE)=0, VLOOKUP($D387, regions_ub[], COLUMN(Q$1), FALSE), VLOOKUP($A387,raw_ub[],COLUMN(Q$1),FALSE))</f>
        <v>14.291971842808101</v>
      </c>
      <c r="R387" s="70">
        <f>IF(VLOOKUP($A387,raw_ub[],COLUMN(R$1),FALSE)=0, VLOOKUP($D387, regions_ub[], COLUMN(R$1), FALSE), VLOOKUP($A387,raw_ub[],COLUMN(R$1),FALSE))</f>
        <v>123.27777184280811</v>
      </c>
      <c r="S387" s="70">
        <f>IF(VLOOKUP($A387,raw_ub[],COLUMN(S$1),FALSE)=0, VLOOKUP($D387, regions_ub[], COLUMN(S$1), FALSE), VLOOKUP($A387,raw_ub[],COLUMN(S$1),FALSE))</f>
        <v>166.87826187672783</v>
      </c>
      <c r="T387" s="70">
        <f>IF(VLOOKUP($A387,raw_ub[],COLUMN(U$1)-COLUMN($A$1),FALSE)=0, VLOOKUP($D387, regions_ub[], COLUMN(U$1)-COLUMN($A$1), FALSE), VLOOKUP($A387,raw_ub[],COLUMN(U$1)-COLUMN($A$1),FALSE))</f>
        <v>174.36280432475519</v>
      </c>
      <c r="U387" s="70">
        <f>IF(VLOOKUP($A387,raw_ub[],COLUMN(V$1)-COLUMN($A$1),FALSE)=0, VLOOKUP($D387, regions_ub[], COLUMN(V$1)-COLUMN($A$1), FALSE), VLOOKUP($A387,raw_ub[],COLUMN(V$1)-COLUMN($A$1),FALSE))</f>
        <v>170.92606063569406</v>
      </c>
      <c r="V387" s="70">
        <f>IF(VLOOKUP($A387,raw_ub[],COLUMN(W$1)-COLUMN($A$1),FALSE)=0, VLOOKUP($D387, regions_ub[], COLUMN(W$1)-COLUMN($A$1), FALSE), VLOOKUP($A387,raw_ub[],COLUMN(W$1)-COLUMN($A$1),FALSE))</f>
        <v>10.710214957022375</v>
      </c>
      <c r="W387" s="70">
        <f>IF(VLOOKUP($A387,raw_ub[],COLUMN(X$1)-COLUMN($A$1),FALSE)=0, VLOOKUP($D387, regions_ub[], COLUMN(X$1)-COLUMN($A$1), FALSE), VLOOKUP($A387,raw_ub[],COLUMN(X$1)-COLUMN($A$1),FALSE))</f>
        <v>11.371714957022375</v>
      </c>
      <c r="X387" s="70">
        <f>IF(VLOOKUP($A387,raw_ub[],COLUMN(Y$1)-COLUMN($A$1),FALSE)=0, VLOOKUP($D387, regions_ub[], COLUMN(Y$1)-COLUMN($A$1), FALSE), VLOOKUP($A387,raw_ub[],COLUMN(Y$1)-COLUMN($A$1),FALSE))</f>
        <v>10.686092803874415</v>
      </c>
      <c r="Y387" s="70">
        <f>IF(VLOOKUP($A387,raw_ub[],COLUMN(Z$1)-COLUMN($A$1),FALSE)=0, VLOOKUP($D387, regions_ub[], COLUMN(Z$1)-COLUMN($A$1), FALSE), VLOOKUP($A387,raw_ub[],COLUMN(Z$1)-COLUMN($A$1),FALSE))</f>
        <v>11.347592803874415</v>
      </c>
      <c r="Z387" s="70">
        <f>IF(VLOOKUP($A387,raw_ub[],COLUMN(AA$1)-COLUMN($A$1),FALSE)=0, VLOOKUP($D387, regions_ub[], COLUMN(AA$1)-COLUMN($A$1), FALSE), VLOOKUP($A387,raw_ub[],COLUMN(AA$1)-COLUMN($A$1),FALSE))</f>
        <v>11.334575119732301</v>
      </c>
      <c r="AA387" s="70">
        <f>IF(VLOOKUP($A387,raw_ub[],COLUMN(AB$1)-COLUMN($A$1),FALSE)=0, VLOOKUP($D387, regions_ub[], COLUMN(AB$1)-COLUMN($A$1), FALSE), VLOOKUP($A387,raw_ub[],COLUMN(AB$1)-COLUMN($A$1),FALSE))</f>
        <v>10.715781607748827</v>
      </c>
      <c r="AB387" s="70">
        <f>IF(VLOOKUP($A387,raw_ub[],COLUMN(AC$1)-COLUMN($A$1),FALSE)=0, VLOOKUP($D387, regions_ub[], COLUMN(AC$1)-COLUMN($A$1), FALSE), VLOOKUP($A387,raw_ub[],COLUMN(AC$1)-COLUMN($A$1),FALSE))</f>
        <v>11.377281607748827</v>
      </c>
      <c r="AC387" s="72">
        <f>IF(VLOOKUP($A387,raw_ub[],COLUMN(AD$1)-COLUMN($A$1),FALSE)=0, VLOOKUP($D387, regions_ub[], COLUMN(AD$1)-COLUMN($A$1), FALSE), VLOOKUP($A387,raw_ub[],COLUMN(AD$1)-COLUMN($A$1),FALSE))</f>
        <v>1.6229230500000035E-2</v>
      </c>
      <c r="AD387" s="72">
        <f>IF(VLOOKUP($A387,raw_ub[],COLUMN(AE$1)-COLUMN($A$1),FALSE)=0, VLOOKUP($D387, regions_ub[], COLUMN(AE$1)-COLUMN($A$1), FALSE), VLOOKUP($A387,raw_ub[],COLUMN(AE$1)-COLUMN($A$1),FALSE))</f>
        <v>1.2443122249163193E-3</v>
      </c>
      <c r="AE387" s="72">
        <f>IF(VLOOKUP($A387,raw_ub[],COLUMN(AF$1)-COLUMN($A$1),FALSE)=0, VLOOKUP($D387, regions_ub[], COLUMN(AF$1)-COLUMN($A$1), FALSE), VLOOKUP($A387,raw_ub[],COLUMN(AF$1)-COLUMN($A$1),FALSE))</f>
        <v>4.5629744691734041E-4</v>
      </c>
      <c r="AF387" s="72">
        <f>IF(VLOOKUP($A387,raw_ub[],COLUMN(AG$1)-COLUMN($A$1),FALSE)=0, VLOOKUP($D387, regions_ub[], COLUMN(AG$1)-COLUMN($A$1), FALSE), VLOOKUP($A387,raw_ub[],COLUMN(AG$1)-COLUMN($A$1),FALSE))</f>
        <v>4.2022874003769446E-4</v>
      </c>
      <c r="AG387" s="72">
        <f>IF(VLOOKUP($A387,raw_ub[],COLUMN(AH$1)-COLUMN($A$1),FALSE)=0, VLOOKUP($D387, regions_ub[], COLUMN(AH$1)-COLUMN($A$1), FALSE), VLOOKUP($A387,raw_ub[],COLUMN(AH$1)-COLUMN($A$1),FALSE))</f>
        <v>9.2228905097233211E-4</v>
      </c>
      <c r="AH387" s="72">
        <f>IF(VLOOKUP($A387,raw_ub[],COLUMN(AI$1)-COLUMN($A$1),FALSE)=0, VLOOKUP($D387, regions_ub[], COLUMN(AI$1)-COLUMN($A$1), FALSE), VLOOKUP($A387,raw_ub[],COLUMN(AI$1)-COLUMN($A$1),FALSE))</f>
        <v>1.2088475142922807E-3</v>
      </c>
      <c r="AI387" s="72">
        <f>IF(VLOOKUP($A387,raw_ub[],COLUMN(AJ$1)-COLUMN($A$1),FALSE)=0, VLOOKUP($D387, regions_ub[], COLUMN(AJ$1)-COLUMN($A$1), FALSE), VLOOKUP($A387,raw_ub[],COLUMN(AJ$1)-COLUMN($A$1),FALSE))</f>
        <v>1.2753409204484928E-3</v>
      </c>
      <c r="AJ387" s="72">
        <f>IF(VLOOKUP($A387,raw_ub[],COLUMN(AK$1)-COLUMN($A$1),FALSE)=0, VLOOKUP($D387, regions_ub[], COLUMN(AK$1)-COLUMN($A$1), FALSE), VLOOKUP($A387,raw_ub[],COLUMN(AK$1)-COLUMN($A$1),FALSE))</f>
        <v>1.5157014503602878E-3</v>
      </c>
      <c r="AK387" s="72">
        <f>IF(VLOOKUP($A387,raw_ub[],COLUMN(AL$1)-COLUMN($A$1),FALSE)=0, VLOOKUP($D387, regions_ub[], COLUMN(AL$1)-COLUMN($A$1), FALSE), VLOOKUP($A387,raw_ub[],COLUMN(AL$1)-COLUMN($A$1),FALSE))</f>
        <v>2.0411594068359081E-3</v>
      </c>
      <c r="AL387" s="72">
        <f>IF(VLOOKUP($A387,raw_ub[],COLUMN(AM$1)-COLUMN($A$1),FALSE)=0, VLOOKUP($D387, regions_ub[], COLUMN(AM$1)-COLUMN($A$1), FALSE), VLOOKUP($A387,raw_ub[],COLUMN(AM$1)-COLUMN($A$1),FALSE))</f>
        <v>2.9399242636781904E-3</v>
      </c>
      <c r="AM387" s="72">
        <f>IF(VLOOKUP($A387,raw_ub[],COLUMN(AN$1)-COLUMN($A$1),FALSE)=0, VLOOKUP($D387, regions_ub[], COLUMN(AN$1)-COLUMN($A$1), FALSE), VLOOKUP($A387,raw_ub[],COLUMN(AN$1)-COLUMN($A$1),FALSE))</f>
        <v>4.5300171336931329E-3</v>
      </c>
      <c r="AN387" s="72">
        <f>IF(VLOOKUP($A387,raw_ub[],COLUMN(AO$1)-COLUMN($A$1),FALSE)=0, VLOOKUP($D387, regions_ub[], COLUMN(AO$1)-COLUMN($A$1), FALSE), VLOOKUP($A387,raw_ub[],COLUMN(AO$1)-COLUMN($A$1),FALSE))</f>
        <v>7.0420555956551834E-3</v>
      </c>
      <c r="AO387" s="72">
        <f>IF(VLOOKUP($A387,raw_ub[],COLUMN(AP$1)-COLUMN($A$1),FALSE)=0, VLOOKUP($D387, regions_ub[], COLUMN(AP$1)-COLUMN($A$1), FALSE), VLOOKUP($A387,raw_ub[],COLUMN(AP$1)-COLUMN($A$1),FALSE))</f>
        <v>1.0991901334473569E-2</v>
      </c>
      <c r="AP387" s="72">
        <f>IF(VLOOKUP($A387,raw_ub[],COLUMN(AQ$1)-COLUMN($A$1),FALSE)=0, VLOOKUP($D387, regions_ub[], COLUMN(AQ$1)-COLUMN($A$1), FALSE), VLOOKUP($A387,raw_ub[],COLUMN(AQ$1)-COLUMN($A$1),FALSE))</f>
        <v>1.6377557805654478E-2</v>
      </c>
      <c r="AQ387" s="72">
        <f>IF(VLOOKUP($A387,raw_ub[],COLUMN(AR$1)-COLUMN($A$1),FALSE)=0, VLOOKUP($D387, regions_ub[], COLUMN(AR$1)-COLUMN($A$1), FALSE), VLOOKUP($A387,raw_ub[],COLUMN(AR$1)-COLUMN($A$1),FALSE))</f>
        <v>2.4149197855496258E-2</v>
      </c>
      <c r="AR387" s="72">
        <f>IF(VLOOKUP($A387,raw_ub[],COLUMN(AS$1)-COLUMN($A$1),FALSE)=0, VLOOKUP($D387, regions_ub[], COLUMN(AS$1)-COLUMN($A$1), FALSE), VLOOKUP($A387,raw_ub[],COLUMN(AS$1)-COLUMN($A$1),FALSE))</f>
        <v>3.6998324226869488E-2</v>
      </c>
      <c r="AS387" s="72">
        <f>IF(VLOOKUP($A387,raw_ub[],COLUMN(AT$1)-COLUMN($A$1),FALSE)=0, VLOOKUP($D387, regions_ub[], COLUMN(AT$1)-COLUMN($A$1), FALSE), VLOOKUP($A387,raw_ub[],COLUMN(AT$1)-COLUMN($A$1),FALSE))</f>
        <v>5.849661623626868E-2</v>
      </c>
      <c r="AT387" s="82">
        <f>IF(VLOOKUP($A387,raw_ub[],COLUMN(AT$1),FALSE)=0, VLOOKUP($D387, regions_ub[], COLUMN(AT$1), FALSE), VLOOKUP($A387,raw_ub[],COLUMN(AT$1),FALSE))</f>
        <v>8.7462737463654031E-2</v>
      </c>
      <c r="AU387" s="82">
        <f>IF(VLOOKUP($A387,raw_ub[],COLUMN(AU$1),FALSE)=0, VLOOKUP($D387, regions_ub[], COLUMN(AU$1), FALSE), VLOOKUP($A387,raw_ub[],COLUMN(AU$1),FALSE))</f>
        <v>0.12229021769035453</v>
      </c>
      <c r="AV387" s="82">
        <f>IF(VLOOKUP($A387,raw_ub[],COLUMN(AV$1),FALSE)=0, VLOOKUP($D387, regions_ub[], COLUMN(AV$1), FALSE), VLOOKUP($A387,raw_ub[],COLUMN(AV$1),FALSE))</f>
        <v>0.15431252735191409</v>
      </c>
      <c r="AW387" s="82">
        <f>IF(VLOOKUP($A387,raw_ub[],COLUMN(AW$1),FALSE)=0, VLOOKUP($D387, regions_ub[], COLUMN(AW$1), FALSE), VLOOKUP($A387,raw_ub[],COLUMN(AW$1),FALSE))</f>
        <v>0.17872070277059268</v>
      </c>
      <c r="AX387" s="82">
        <f>IF(VLOOKUP($A387,raw_ub[],COLUMN(AX$1),FALSE)=0, VLOOKUP($D387, regions_ub[], COLUMN(AX$1), FALSE), VLOOKUP($A387,raw_ub[],COLUMN(AX$1),FALSE))</f>
        <v>76.411649999999995</v>
      </c>
      <c r="AY387" t="str">
        <f t="shared" si="13"/>
        <v>No</v>
      </c>
    </row>
    <row r="388" spans="1:51" x14ac:dyDescent="0.25">
      <c r="A388" s="53" t="s">
        <v>444</v>
      </c>
      <c r="B388" s="54" t="s">
        <v>445</v>
      </c>
      <c r="C388" s="54">
        <v>706</v>
      </c>
      <c r="D388" s="54" t="s">
        <v>196</v>
      </c>
      <c r="E388" s="54" t="s">
        <v>255</v>
      </c>
      <c r="F388" s="54" t="s">
        <v>211</v>
      </c>
      <c r="G388" s="54" t="s">
        <v>198</v>
      </c>
      <c r="H388" s="73"/>
      <c r="I388" s="73"/>
      <c r="J388" s="67">
        <f>IF(VLOOKUP($A388,raw_ub[],COLUMN(J$1),FALSE)=0, VLOOKUP($D388, regions_ub[], COLUMN(J$1), FALSE), VLOOKUP($A388,raw_ub[],COLUMN(J$1),FALSE))</f>
        <v>0.21734999999999999</v>
      </c>
      <c r="K388" s="77">
        <f>VLOOKUP($A388, raw_ub[], 11, FALSE)</f>
        <v>0</v>
      </c>
      <c r="L388" s="77">
        <f>VLOOKUP($A388, raw_ub[], 12, FALSE)</f>
        <v>0.441</v>
      </c>
      <c r="M388" s="77">
        <f>IF(VLOOKUP($A388,raw_ub[],COLUMN(M$1),FALSE)=0, VLOOKUP($D388, regions_ub[], COLUMN(M$1), FALSE), VLOOKUP($A388,raw_ub[],COLUMN(M$1),FALSE))</f>
        <v>0.1454</v>
      </c>
      <c r="N388" s="68">
        <f>IF(VLOOKUP($A388,raw_ub[],COLUMN(N$1),FALSE)=0, VLOOKUP($D388, regions_ub[], COLUMN(N$1), FALSE), VLOOKUP($A388,raw_ub[],COLUMN(N$1),FALSE))</f>
        <v>0.39960000000000001</v>
      </c>
      <c r="O388" s="67">
        <f>IF(VLOOKUP($A388,raw_ub[],COLUMN(O$1),FALSE)=0, VLOOKUP($D388, regions_ub[], COLUMN(O$1), FALSE), VLOOKUP($A388,raw_ub[],COLUMN(O$1),FALSE))</f>
        <v>0.74399999999999999</v>
      </c>
      <c r="P388" s="68">
        <f>IF(VLOOKUP($A388,raw_ub[],COLUMN(P$1),FALSE)=0, VLOOKUP($D388, regions_ub[], COLUMN(P$1), FALSE), VLOOKUP($A388,raw_ub[],COLUMN(P$1),FALSE))</f>
        <v>0.13300000000000001</v>
      </c>
      <c r="Q388" s="70">
        <f>IF(VLOOKUP($A388,raw_ub[],COLUMN(Q$1),FALSE)=0, VLOOKUP($D388, regions_ub[], COLUMN(Q$1), FALSE), VLOOKUP($A388,raw_ub[],COLUMN(Q$1),FALSE))</f>
        <v>16.115531541408856</v>
      </c>
      <c r="R388" s="70">
        <f>IF(VLOOKUP($A388,raw_ub[],COLUMN(R$1),FALSE)=0, VLOOKUP($D388, regions_ub[], COLUMN(R$1), FALSE), VLOOKUP($A388,raw_ub[],COLUMN(R$1),FALSE))</f>
        <v>125.10133154140887</v>
      </c>
      <c r="S388" s="70">
        <f>IF(VLOOKUP($A388,raw_ub[],COLUMN(S$1),FALSE)=0, VLOOKUP($D388, regions_ub[], COLUMN(S$1), FALSE), VLOOKUP($A388,raw_ub[],COLUMN(S$1),FALSE))</f>
        <v>183.32559742757255</v>
      </c>
      <c r="T388" s="70">
        <f>IF(VLOOKUP($A388,raw_ub[],COLUMN(U$1)-COLUMN($A$1),FALSE)=0, VLOOKUP($D388, regions_ub[], COLUMN(U$1)-COLUMN($A$1), FALSE), VLOOKUP($A388,raw_ub[],COLUMN(U$1)-COLUMN($A$1),FALSE))</f>
        <v>198.42130408894653</v>
      </c>
      <c r="U388" s="70">
        <f>IF(VLOOKUP($A388,raw_ub[],COLUMN(V$1)-COLUMN($A$1),FALSE)=0, VLOOKUP($D388, regions_ub[], COLUMN(V$1)-COLUMN($A$1), FALSE), VLOOKUP($A388,raw_ub[],COLUMN(V$1)-COLUMN($A$1),FALSE))</f>
        <v>191.48967467263284</v>
      </c>
      <c r="V388" s="70">
        <f>IF(VLOOKUP($A388,raw_ub[],COLUMN(W$1)-COLUMN($A$1),FALSE)=0, VLOOKUP($D388, regions_ub[], COLUMN(W$1)-COLUMN($A$1), FALSE), VLOOKUP($A388,raw_ub[],COLUMN(W$1)-COLUMN($A$1),FALSE))</f>
        <v>1.784288205263834</v>
      </c>
      <c r="W388" s="70">
        <f>IF(VLOOKUP($A388,raw_ub[],COLUMN(X$1)-COLUMN($A$1),FALSE)=0, VLOOKUP($D388, regions_ub[], COLUMN(X$1)-COLUMN($A$1), FALSE), VLOOKUP($A388,raw_ub[],COLUMN(X$1)-COLUMN($A$1),FALSE))</f>
        <v>6.8557882052638348</v>
      </c>
      <c r="X388" s="70">
        <f>IF(VLOOKUP($A388,raw_ub[],COLUMN(Y$1)-COLUMN($A$1),FALSE)=0, VLOOKUP($D388, regions_ub[], COLUMN(Y$1)-COLUMN($A$1), FALSE), VLOOKUP($A388,raw_ub[],COLUMN(Y$1)-COLUMN($A$1),FALSE))</f>
        <v>1.7790630098007361</v>
      </c>
      <c r="Y388" s="70">
        <f>IF(VLOOKUP($A388,raw_ub[],COLUMN(Z$1)-COLUMN($A$1),FALSE)=0, VLOOKUP($D388, regions_ub[], COLUMN(Z$1)-COLUMN($A$1), FALSE), VLOOKUP($A388,raw_ub[],COLUMN(Z$1)-COLUMN($A$1),FALSE))</f>
        <v>6.8505630098007364</v>
      </c>
      <c r="Z388" s="70">
        <f>IF(VLOOKUP($A388,raw_ub[],COLUMN(AA$1)-COLUMN($A$1),FALSE)=0, VLOOKUP($D388, regions_ub[], COLUMN(AA$1)-COLUMN($A$1), FALSE), VLOOKUP($A388,raw_ub[],COLUMN(AA$1)-COLUMN($A$1),FALSE))</f>
        <v>6.8477163443377238</v>
      </c>
      <c r="AA388" s="70">
        <f>IF(VLOOKUP($A388,raw_ub[],COLUMN(AB$1)-COLUMN($A$1),FALSE)=0, VLOOKUP($D388, regions_ub[], COLUMN(AB$1)-COLUMN($A$1), FALSE), VLOOKUP($A388,raw_ub[],COLUMN(AB$1)-COLUMN($A$1),FALSE))</f>
        <v>1.7854940196014719</v>
      </c>
      <c r="AB388" s="70">
        <f>IF(VLOOKUP($A388,raw_ub[],COLUMN(AC$1)-COLUMN($A$1),FALSE)=0, VLOOKUP($D388, regions_ub[], COLUMN(AC$1)-COLUMN($A$1), FALSE), VLOOKUP($A388,raw_ub[],COLUMN(AC$1)-COLUMN($A$1),FALSE))</f>
        <v>6.8569940196014727</v>
      </c>
      <c r="AC388" s="72">
        <f>IF(VLOOKUP($A388,raw_ub[],COLUMN(AD$1)-COLUMN($A$1),FALSE)=0, VLOOKUP($D388, regions_ub[], COLUMN(AD$1)-COLUMN($A$1), FALSE), VLOOKUP($A388,raw_ub[],COLUMN(AD$1)-COLUMN($A$1),FALSE))</f>
        <v>7.2789884999999957E-2</v>
      </c>
      <c r="AD388" s="72">
        <f>IF(VLOOKUP($A388,raw_ub[],COLUMN(AE$1)-COLUMN($A$1),FALSE)=0, VLOOKUP($D388, regions_ub[], COLUMN(AE$1)-COLUMN($A$1), FALSE), VLOOKUP($A388,raw_ub[],COLUMN(AE$1)-COLUMN($A$1),FALSE))</f>
        <v>1.2906997040754159E-2</v>
      </c>
      <c r="AE388" s="72">
        <f>IF(VLOOKUP($A388,raw_ub[],COLUMN(AF$1)-COLUMN($A$1),FALSE)=0, VLOOKUP($D388, regions_ub[], COLUMN(AF$1)-COLUMN($A$1), FALSE), VLOOKUP($A388,raw_ub[],COLUMN(AF$1)-COLUMN($A$1),FALSE))</f>
        <v>4.256786580954507E-3</v>
      </c>
      <c r="AF388" s="72">
        <f>IF(VLOOKUP($A388,raw_ub[],COLUMN(AG$1)-COLUMN($A$1),FALSE)=0, VLOOKUP($D388, regions_ub[], COLUMN(AG$1)-COLUMN($A$1), FALSE), VLOOKUP($A388,raw_ub[],COLUMN(AG$1)-COLUMN($A$1),FALSE))</f>
        <v>3.0590347296089852E-3</v>
      </c>
      <c r="AG388" s="72">
        <f>IF(VLOOKUP($A388,raw_ub[],COLUMN(AH$1)-COLUMN($A$1),FALSE)=0, VLOOKUP($D388, regions_ub[], COLUMN(AH$1)-COLUMN($A$1), FALSE), VLOOKUP($A388,raw_ub[],COLUMN(AH$1)-COLUMN($A$1),FALSE))</f>
        <v>3.2525777414439379E-3</v>
      </c>
      <c r="AH388" s="72">
        <f>IF(VLOOKUP($A388,raw_ub[],COLUMN(AI$1)-COLUMN($A$1),FALSE)=0, VLOOKUP($D388, regions_ub[], COLUMN(AI$1)-COLUMN($A$1), FALSE), VLOOKUP($A388,raw_ub[],COLUMN(AI$1)-COLUMN($A$1),FALSE))</f>
        <v>4.2784650913780566E-3</v>
      </c>
      <c r="AI388" s="72">
        <f>IF(VLOOKUP($A388,raw_ub[],COLUMN(AJ$1)-COLUMN($A$1),FALSE)=0, VLOOKUP($D388, regions_ub[], COLUMN(AJ$1)-COLUMN($A$1), FALSE), VLOOKUP($A388,raw_ub[],COLUMN(AJ$1)-COLUMN($A$1),FALSE))</f>
        <v>5.1737639647431357E-3</v>
      </c>
      <c r="AJ388" s="72">
        <f>IF(VLOOKUP($A388,raw_ub[],COLUMN(AK$1)-COLUMN($A$1),FALSE)=0, VLOOKUP($D388, regions_ub[], COLUMN(AK$1)-COLUMN($A$1), FALSE), VLOOKUP($A388,raw_ub[],COLUMN(AK$1)-COLUMN($A$1),FALSE))</f>
        <v>6.0928047942315142E-3</v>
      </c>
      <c r="AK388" s="72">
        <f>IF(VLOOKUP($A388,raw_ub[],COLUMN(AL$1)-COLUMN($A$1),FALSE)=0, VLOOKUP($D388, regions_ub[], COLUMN(AL$1)-COLUMN($A$1), FALSE), VLOOKUP($A388,raw_ub[],COLUMN(AL$1)-COLUMN($A$1),FALSE))</f>
        <v>7.4957744596755903E-3</v>
      </c>
      <c r="AL388" s="72">
        <f>IF(VLOOKUP($A388,raw_ub[],COLUMN(AM$1)-COLUMN($A$1),FALSE)=0, VLOOKUP($D388, regions_ub[], COLUMN(AM$1)-COLUMN($A$1), FALSE), VLOOKUP($A388,raw_ub[],COLUMN(AM$1)-COLUMN($A$1),FALSE))</f>
        <v>8.5061696006223705E-3</v>
      </c>
      <c r="AM388" s="72">
        <f>IF(VLOOKUP($A388,raw_ub[],COLUMN(AN$1)-COLUMN($A$1),FALSE)=0, VLOOKUP($D388, regions_ub[], COLUMN(AN$1)-COLUMN($A$1), FALSE), VLOOKUP($A388,raw_ub[],COLUMN(AN$1)-COLUMN($A$1),FALSE))</f>
        <v>9.7983286323064262E-3</v>
      </c>
      <c r="AN388" s="72">
        <f>IF(VLOOKUP($A388,raw_ub[],COLUMN(AO$1)-COLUMN($A$1),FALSE)=0, VLOOKUP($D388, regions_ub[], COLUMN(AO$1)-COLUMN($A$1), FALSE), VLOOKUP($A388,raw_ub[],COLUMN(AO$1)-COLUMN($A$1),FALSE))</f>
        <v>1.2171325587940618E-2</v>
      </c>
      <c r="AO388" s="72">
        <f>IF(VLOOKUP($A388,raw_ub[],COLUMN(AP$1)-COLUMN($A$1),FALSE)=0, VLOOKUP($D388, regions_ub[], COLUMN(AP$1)-COLUMN($A$1), FALSE), VLOOKUP($A388,raw_ub[],COLUMN(AP$1)-COLUMN($A$1),FALSE))</f>
        <v>1.6305806380872694E-2</v>
      </c>
      <c r="AP388" s="72">
        <f>IF(VLOOKUP($A388,raw_ub[],COLUMN(AQ$1)-COLUMN($A$1),FALSE)=0, VLOOKUP($D388, regions_ub[], COLUMN(AQ$1)-COLUMN($A$1), FALSE), VLOOKUP($A388,raw_ub[],COLUMN(AQ$1)-COLUMN($A$1),FALSE))</f>
        <v>2.3535424293891837E-2</v>
      </c>
      <c r="AQ388" s="72">
        <f>IF(VLOOKUP($A388,raw_ub[],COLUMN(AR$1)-COLUMN($A$1),FALSE)=0, VLOOKUP($D388, regions_ub[], COLUMN(AR$1)-COLUMN($A$1), FALSE), VLOOKUP($A388,raw_ub[],COLUMN(AR$1)-COLUMN($A$1),FALSE))</f>
        <v>3.5233548910453827E-2</v>
      </c>
      <c r="AR388" s="72">
        <f>IF(VLOOKUP($A388,raw_ub[],COLUMN(AS$1)-COLUMN($A$1),FALSE)=0, VLOOKUP($D388, regions_ub[], COLUMN(AS$1)-COLUMN($A$1), FALSE), VLOOKUP($A388,raw_ub[],COLUMN(AS$1)-COLUMN($A$1),FALSE))</f>
        <v>5.2947229416409246E-2</v>
      </c>
      <c r="AS388" s="72">
        <f>IF(VLOOKUP($A388,raw_ub[],COLUMN(AT$1)-COLUMN($A$1),FALSE)=0, VLOOKUP($D388, regions_ub[], COLUMN(AT$1)-COLUMN($A$1), FALSE), VLOOKUP($A388,raw_ub[],COLUMN(AT$1)-COLUMN($A$1),FALSE))</f>
        <v>7.7401138879670525E-2</v>
      </c>
      <c r="AT388" s="82">
        <f>IF(VLOOKUP($A388,raw_ub[],COLUMN(AT$1),FALSE)=0, VLOOKUP($D388, regions_ub[], COLUMN(AT$1), FALSE), VLOOKUP($A388,raw_ub[],COLUMN(AT$1),FALSE))</f>
        <v>0.10743559202287832</v>
      </c>
      <c r="AU388" s="82">
        <f>IF(VLOOKUP($A388,raw_ub[],COLUMN(AU$1),FALSE)=0, VLOOKUP($D388, regions_ub[], COLUMN(AU$1), FALSE), VLOOKUP($A388,raw_ub[],COLUMN(AU$1),FALSE))</f>
        <v>0.13869881855098729</v>
      </c>
      <c r="AV388" s="82">
        <f>IF(VLOOKUP($A388,raw_ub[],COLUMN(AV$1),FALSE)=0, VLOOKUP($D388, regions_ub[], COLUMN(AV$1), FALSE), VLOOKUP($A388,raw_ub[],COLUMN(AV$1),FALSE))</f>
        <v>0.16592720278338602</v>
      </c>
      <c r="AW388" s="82">
        <f>IF(VLOOKUP($A388,raw_ub[],COLUMN(AW$1),FALSE)=0, VLOOKUP($D388, regions_ub[], COLUMN(AW$1), FALSE), VLOOKUP($A388,raw_ub[],COLUMN(AW$1),FALSE))</f>
        <v>0.18436709774762539</v>
      </c>
      <c r="AX388" s="82">
        <f>IF(VLOOKUP($A388,raw_ub[],COLUMN(AX$1),FALSE)=0, VLOOKUP($D388, regions_ub[], COLUMN(AX$1), FALSE), VLOOKUP($A388,raw_ub[],COLUMN(AX$1),FALSE))</f>
        <v>59.788050000000005</v>
      </c>
      <c r="AY388" t="str">
        <f t="shared" si="13"/>
        <v>Yes</v>
      </c>
    </row>
    <row r="389" spans="1:51" x14ac:dyDescent="0.25">
      <c r="A389" s="55" t="s">
        <v>446</v>
      </c>
      <c r="B389" s="56" t="s">
        <v>447</v>
      </c>
      <c r="C389" s="56">
        <v>710</v>
      </c>
      <c r="D389" s="56" t="s">
        <v>207</v>
      </c>
      <c r="E389" s="56" t="s">
        <v>245</v>
      </c>
      <c r="F389" s="56" t="s">
        <v>211</v>
      </c>
      <c r="G389" s="56" t="s">
        <v>204</v>
      </c>
      <c r="H389" s="74"/>
      <c r="I389" s="74"/>
      <c r="J389" s="67">
        <f>IF(VLOOKUP($A389,raw_ub[],COLUMN(J$1),FALSE)=0, VLOOKUP($D389, regions_ub[], COLUMN(J$1), FALSE), VLOOKUP($A389,raw_ub[],COLUMN(J$1),FALSE))</f>
        <v>0.999</v>
      </c>
      <c r="K389" s="77">
        <f>VLOOKUP($A389, raw_ub[], 11, FALSE)</f>
        <v>0</v>
      </c>
      <c r="L389" s="77">
        <f>VLOOKUP($A389, raw_ub[], 12, FALSE)</f>
        <v>0.88200000000000001</v>
      </c>
      <c r="M389" s="77">
        <f>IF(VLOOKUP($A389,raw_ub[],COLUMN(M$1),FALSE)=0, VLOOKUP($D389, regions_ub[], COLUMN(M$1), FALSE), VLOOKUP($A389,raw_ub[],COLUMN(M$1),FALSE))</f>
        <v>9.8699999999999996E-2</v>
      </c>
      <c r="N389" s="68">
        <f>IF(VLOOKUP($A389,raw_ub[],COLUMN(N$1),FALSE)=0, VLOOKUP($D389, regions_ub[], COLUMN(N$1), FALSE), VLOOKUP($A389,raw_ub[],COLUMN(N$1),FALSE))</f>
        <v>0.3679</v>
      </c>
      <c r="O389" s="67">
        <f>IF(VLOOKUP($A389,raw_ub[],COLUMN(O$1),FALSE)=0, VLOOKUP($D389, regions_ub[], COLUMN(O$1), FALSE), VLOOKUP($A389,raw_ub[],COLUMN(O$1),FALSE))</f>
        <v>0.74399999999999999</v>
      </c>
      <c r="P389" s="68">
        <f>IF(VLOOKUP($A389,raw_ub[],COLUMN(P$1),FALSE)=0, VLOOKUP($D389, regions_ub[], COLUMN(P$1), FALSE), VLOOKUP($A389,raw_ub[],COLUMN(P$1),FALSE))</f>
        <v>0.13300000000000001</v>
      </c>
      <c r="Q389" s="70">
        <f>IF(VLOOKUP($A389,raw_ub[],COLUMN(Q$1),FALSE)=0, VLOOKUP($D389, regions_ub[], COLUMN(Q$1), FALSE), VLOOKUP($A389,raw_ub[],COLUMN(Q$1),FALSE))</f>
        <v>33.8631346613546</v>
      </c>
      <c r="R389" s="70">
        <f>IF(VLOOKUP($A389,raw_ub[],COLUMN(R$1),FALSE)=0, VLOOKUP($D389, regions_ub[], COLUMN(R$1), FALSE), VLOOKUP($A389,raw_ub[],COLUMN(R$1),FALSE))</f>
        <v>142.84893466135463</v>
      </c>
      <c r="S389" s="70">
        <f>IF(VLOOKUP($A389,raw_ub[],COLUMN(S$1),FALSE)=0, VLOOKUP($D389, regions_ub[], COLUMN(S$1), FALSE), VLOOKUP($A389,raw_ub[],COLUMN(S$1),FALSE))</f>
        <v>236.31099622749818</v>
      </c>
      <c r="T389" s="70">
        <f>IF(VLOOKUP($A389,raw_ub[],COLUMN(U$1)-COLUMN($A$1),FALSE)=0, VLOOKUP($D389, regions_ub[], COLUMN(U$1)-COLUMN($A$1), FALSE), VLOOKUP($A389,raw_ub[],COLUMN(U$1)-COLUMN($A$1),FALSE))</f>
        <v>269.74674393890837</v>
      </c>
      <c r="U389" s="70">
        <f>IF(VLOOKUP($A389,raw_ub[],COLUMN(V$1)-COLUMN($A$1),FALSE)=0, VLOOKUP($D389, regions_ub[], COLUMN(V$1)-COLUMN($A$1), FALSE), VLOOKUP($A389,raw_ub[],COLUMN(V$1)-COLUMN($A$1),FALSE))</f>
        <v>254.39375533149988</v>
      </c>
      <c r="V389" s="70">
        <f>IF(VLOOKUP($A389,raw_ub[],COLUMN(W$1)-COLUMN($A$1),FALSE)=0, VLOOKUP($D389, regions_ub[], COLUMN(W$1)-COLUMN($A$1), FALSE), VLOOKUP($A389,raw_ub[],COLUMN(W$1)-COLUMN($A$1),FALSE))</f>
        <v>5.1363228023950844</v>
      </c>
      <c r="W389" s="70">
        <f>IF(VLOOKUP($A389,raw_ub[],COLUMN(X$1)-COLUMN($A$1),FALSE)=0, VLOOKUP($D389, regions_ub[], COLUMN(X$1)-COLUMN($A$1), FALSE), VLOOKUP($A389,raw_ub[],COLUMN(X$1)-COLUMN($A$1),FALSE))</f>
        <v>10.207822802395086</v>
      </c>
      <c r="X389" s="70">
        <f>IF(VLOOKUP($A389,raw_ub[],COLUMN(Y$1)-COLUMN($A$1),FALSE)=0, VLOOKUP($D389, regions_ub[], COLUMN(Y$1)-COLUMN($A$1), FALSE), VLOOKUP($A389,raw_ub[],COLUMN(Y$1)-COLUMN($A$1),FALSE))</f>
        <v>5.1022194082179775</v>
      </c>
      <c r="Y389" s="70">
        <f>IF(VLOOKUP($A389,raw_ub[],COLUMN(Z$1)-COLUMN($A$1),FALSE)=0, VLOOKUP($D389, regions_ub[], COLUMN(Z$1)-COLUMN($A$1), FALSE), VLOOKUP($A389,raw_ub[],COLUMN(Z$1)-COLUMN($A$1),FALSE))</f>
        <v>10.173719408217977</v>
      </c>
      <c r="Z389" s="70">
        <f>IF(VLOOKUP($A389,raw_ub[],COLUMN(AA$1)-COLUMN($A$1),FALSE)=0, VLOOKUP($D389, regions_ub[], COLUMN(AA$1)-COLUMN($A$1), FALSE), VLOOKUP($A389,raw_ub[],COLUMN(AA$1)-COLUMN($A$1),FALSE))</f>
        <v>10.154439296142208</v>
      </c>
      <c r="AA389" s="70">
        <f>IF(VLOOKUP($A389,raw_ub[],COLUMN(AB$1)-COLUMN($A$1),FALSE)=0, VLOOKUP($D389, regions_ub[], COLUMN(AB$1)-COLUMN($A$1), FALSE), VLOOKUP($A389,raw_ub[],COLUMN(AB$1)-COLUMN($A$1),FALSE))</f>
        <v>5.1441928164359547</v>
      </c>
      <c r="AB389" s="70">
        <f>IF(VLOOKUP($A389,raw_ub[],COLUMN(AC$1)-COLUMN($A$1),FALSE)=0, VLOOKUP($D389, regions_ub[], COLUMN(AC$1)-COLUMN($A$1), FALSE), VLOOKUP($A389,raw_ub[],COLUMN(AC$1)-COLUMN($A$1),FALSE))</f>
        <v>10.215692816435954</v>
      </c>
      <c r="AC389" s="72">
        <f>IF(VLOOKUP($A389,raw_ub[],COLUMN(AD$1)-COLUMN($A$1),FALSE)=0, VLOOKUP($D389, regions_ub[], COLUMN(AD$1)-COLUMN($A$1), FALSE), VLOOKUP($A389,raw_ub[],COLUMN(AD$1)-COLUMN($A$1),FALSE))</f>
        <v>2.8606199999999939E-2</v>
      </c>
      <c r="AD389" s="72">
        <f>IF(VLOOKUP($A389,raw_ub[],COLUMN(AE$1)-COLUMN($A$1),FALSE)=0, VLOOKUP($D389, regions_ub[], COLUMN(AE$1)-COLUMN($A$1), FALSE), VLOOKUP($A389,raw_ub[],COLUMN(AE$1)-COLUMN($A$1),FALSE))</f>
        <v>2.2162985887519871E-3</v>
      </c>
      <c r="AE389" s="72">
        <f>IF(VLOOKUP($A389,raw_ub[],COLUMN(AF$1)-COLUMN($A$1),FALSE)=0, VLOOKUP($D389, regions_ub[], COLUMN(AF$1)-COLUMN($A$1), FALSE), VLOOKUP($A389,raw_ub[],COLUMN(AF$1)-COLUMN($A$1),FALSE))</f>
        <v>9.4688471010382226E-4</v>
      </c>
      <c r="AF389" s="72">
        <f>IF(VLOOKUP($A389,raw_ub[],COLUMN(AG$1)-COLUMN($A$1),FALSE)=0, VLOOKUP($D389, regions_ub[], COLUMN(AG$1)-COLUMN($A$1), FALSE), VLOOKUP($A389,raw_ub[],COLUMN(AG$1)-COLUMN($A$1),FALSE))</f>
        <v>7.912667595840403E-4</v>
      </c>
      <c r="AG389" s="72">
        <f>IF(VLOOKUP($A389,raw_ub[],COLUMN(AH$1)-COLUMN($A$1),FALSE)=0, VLOOKUP($D389, regions_ub[], COLUMN(AH$1)-COLUMN($A$1), FALSE), VLOOKUP($A389,raw_ub[],COLUMN(AH$1)-COLUMN($A$1),FALSE))</f>
        <v>1.3459613185123713E-3</v>
      </c>
      <c r="AH389" s="72">
        <f>IF(VLOOKUP($A389,raw_ub[],COLUMN(AI$1)-COLUMN($A$1),FALSE)=0, VLOOKUP($D389, regions_ub[], COLUMN(AI$1)-COLUMN($A$1), FALSE), VLOOKUP($A389,raw_ub[],COLUMN(AI$1)-COLUMN($A$1),FALSE))</f>
        <v>2.4006147815552798E-3</v>
      </c>
      <c r="AI389" s="72">
        <f>IF(VLOOKUP($A389,raw_ub[],COLUMN(AJ$1)-COLUMN($A$1),FALSE)=0, VLOOKUP($D389, regions_ub[], COLUMN(AJ$1)-COLUMN($A$1), FALSE), VLOOKUP($A389,raw_ub[],COLUMN(AJ$1)-COLUMN($A$1),FALSE))</f>
        <v>4.0183005192001272E-3</v>
      </c>
      <c r="AJ389" s="72">
        <f>IF(VLOOKUP($A389,raw_ub[],COLUMN(AK$1)-COLUMN($A$1),FALSE)=0, VLOOKUP($D389, regions_ub[], COLUMN(AK$1)-COLUMN($A$1), FALSE), VLOOKUP($A389,raw_ub[],COLUMN(AK$1)-COLUMN($A$1),FALSE))</f>
        <v>5.8643878156156119E-3</v>
      </c>
      <c r="AK389" s="72">
        <f>IF(VLOOKUP($A389,raw_ub[],COLUMN(AL$1)-COLUMN($A$1),FALSE)=0, VLOOKUP($D389, regions_ub[], COLUMN(AL$1)-COLUMN($A$1), FALSE), VLOOKUP($A389,raw_ub[],COLUMN(AL$1)-COLUMN($A$1),FALSE))</f>
        <v>8.5270908134880488E-3</v>
      </c>
      <c r="AL389" s="72">
        <f>IF(VLOOKUP($A389,raw_ub[],COLUMN(AM$1)-COLUMN($A$1),FALSE)=0, VLOOKUP($D389, regions_ub[], COLUMN(AM$1)-COLUMN($A$1), FALSE), VLOOKUP($A389,raw_ub[],COLUMN(AM$1)-COLUMN($A$1),FALSE))</f>
        <v>1.0266067652798527E-2</v>
      </c>
      <c r="AM389" s="72">
        <f>IF(VLOOKUP($A389,raw_ub[],COLUMN(AN$1)-COLUMN($A$1),FALSE)=0, VLOOKUP($D389, regions_ub[], COLUMN(AN$1)-COLUMN($A$1), FALSE), VLOOKUP($A389,raw_ub[],COLUMN(AN$1)-COLUMN($A$1),FALSE))</f>
        <v>1.2304175486549256E-2</v>
      </c>
      <c r="AN389" s="72">
        <f>IF(VLOOKUP($A389,raw_ub[],COLUMN(AO$1)-COLUMN($A$1),FALSE)=0, VLOOKUP($D389, regions_ub[], COLUMN(AO$1)-COLUMN($A$1), FALSE), VLOOKUP($A389,raw_ub[],COLUMN(AO$1)-COLUMN($A$1),FALSE))</f>
        <v>1.4934540254836134E-2</v>
      </c>
      <c r="AO389" s="72">
        <f>IF(VLOOKUP($A389,raw_ub[],COLUMN(AP$1)-COLUMN($A$1),FALSE)=0, VLOOKUP($D389, regions_ub[], COLUMN(AP$1)-COLUMN($A$1), FALSE), VLOOKUP($A389,raw_ub[],COLUMN(AP$1)-COLUMN($A$1),FALSE))</f>
        <v>1.8188427398020967E-2</v>
      </c>
      <c r="AP389" s="72">
        <f>IF(VLOOKUP($A389,raw_ub[],COLUMN(AQ$1)-COLUMN($A$1),FALSE)=0, VLOOKUP($D389, regions_ub[], COLUMN(AQ$1)-COLUMN($A$1), FALSE), VLOOKUP($A389,raw_ub[],COLUMN(AQ$1)-COLUMN($A$1),FALSE))</f>
        <v>2.4086398569404636E-2</v>
      </c>
      <c r="AQ389" s="72">
        <f>IF(VLOOKUP($A389,raw_ub[],COLUMN(AR$1)-COLUMN($A$1),FALSE)=0, VLOOKUP($D389, regions_ub[], COLUMN(AR$1)-COLUMN($A$1), FALSE), VLOOKUP($A389,raw_ub[],COLUMN(AR$1)-COLUMN($A$1),FALSE))</f>
        <v>3.3869117629657247E-2</v>
      </c>
      <c r="AR389" s="72">
        <f>IF(VLOOKUP($A389,raw_ub[],COLUMN(AS$1)-COLUMN($A$1),FALSE)=0, VLOOKUP($D389, regions_ub[], COLUMN(AS$1)-COLUMN($A$1), FALSE), VLOOKUP($A389,raw_ub[],COLUMN(AS$1)-COLUMN($A$1),FALSE))</f>
        <v>4.9334354700535717E-2</v>
      </c>
      <c r="AS389" s="72">
        <f>IF(VLOOKUP($A389,raw_ub[],COLUMN(AT$1)-COLUMN($A$1),FALSE)=0, VLOOKUP($D389, regions_ub[], COLUMN(AT$1)-COLUMN($A$1), FALSE), VLOOKUP($A389,raw_ub[],COLUMN(AT$1)-COLUMN($A$1),FALSE))</f>
        <v>7.2290709623683586E-2</v>
      </c>
      <c r="AT389" s="82">
        <f>IF(VLOOKUP($A389,raw_ub[],COLUMN(AT$1),FALSE)=0, VLOOKUP($D389, regions_ub[], COLUMN(AT$1), FALSE), VLOOKUP($A389,raw_ub[],COLUMN(AT$1),FALSE))</f>
        <v>0.10795071348991744</v>
      </c>
      <c r="AU389" s="82">
        <f>IF(VLOOKUP($A389,raw_ub[],COLUMN(AU$1),FALSE)=0, VLOOKUP($D389, regions_ub[], COLUMN(AU$1), FALSE), VLOOKUP($A389,raw_ub[],COLUMN(AU$1),FALSE))</f>
        <v>0.15085278205046967</v>
      </c>
      <c r="AV389" s="82">
        <f>IF(VLOOKUP($A389,raw_ub[],COLUMN(AV$1),FALSE)=0, VLOOKUP($D389, regions_ub[], COLUMN(AV$1), FALSE), VLOOKUP($A389,raw_ub[],COLUMN(AV$1),FALSE))</f>
        <v>0.18455128490027262</v>
      </c>
      <c r="AW389" s="82">
        <f>IF(VLOOKUP($A389,raw_ub[],COLUMN(AW$1),FALSE)=0, VLOOKUP($D389, regions_ub[], COLUMN(AW$1), FALSE), VLOOKUP($A389,raw_ub[],COLUMN(AW$1),FALSE))</f>
        <v>0.19669053317647764</v>
      </c>
      <c r="AX389" s="82">
        <f>IF(VLOOKUP($A389,raw_ub[],COLUMN(AX$1),FALSE)=0, VLOOKUP($D389, regions_ub[], COLUMN(AX$1), FALSE), VLOOKUP($A389,raw_ub[],COLUMN(AX$1),FALSE))</f>
        <v>66.795749999999998</v>
      </c>
      <c r="AY389" t="str">
        <f t="shared" si="13"/>
        <v>Yes</v>
      </c>
    </row>
    <row r="390" spans="1:51" x14ac:dyDescent="0.25">
      <c r="A390" s="53" t="s">
        <v>448</v>
      </c>
      <c r="B390" s="54" t="s">
        <v>449</v>
      </c>
      <c r="C390" s="54">
        <v>728</v>
      </c>
      <c r="D390" s="54" t="s">
        <v>207</v>
      </c>
      <c r="E390" s="54" t="s">
        <v>255</v>
      </c>
      <c r="F390" s="54" t="s">
        <v>211</v>
      </c>
      <c r="G390" s="54" t="s">
        <v>198</v>
      </c>
      <c r="H390" s="73"/>
      <c r="I390" s="73"/>
      <c r="J390" s="67">
        <f>IF(VLOOKUP($A390,raw_ub[],COLUMN(J$1),FALSE)=0, VLOOKUP($D390, regions_ub[], COLUMN(J$1), FALSE), VLOOKUP($A390,raw_ub[],COLUMN(J$1),FALSE))</f>
        <v>0.12075000000000001</v>
      </c>
      <c r="K390" s="77">
        <f>VLOOKUP($A390, raw_ub[], 11, FALSE)</f>
        <v>0</v>
      </c>
      <c r="L390" s="77">
        <f>VLOOKUP($A390, raw_ub[], 12, FALSE)</f>
        <v>0.51449999999999996</v>
      </c>
      <c r="M390" s="77">
        <f>IF(VLOOKUP($A390,raw_ub[],COLUMN(M$1),FALSE)=0, VLOOKUP($D390, regions_ub[], COLUMN(M$1), FALSE), VLOOKUP($A390,raw_ub[],COLUMN(M$1),FALSE))</f>
        <v>0.20550000000000002</v>
      </c>
      <c r="N390" s="68">
        <f>IF(VLOOKUP($A390,raw_ub[],COLUMN(N$1),FALSE)=0, VLOOKUP($D390, regions_ub[], COLUMN(N$1), FALSE), VLOOKUP($A390,raw_ub[],COLUMN(N$1),FALSE))</f>
        <v>0.39960000000000001</v>
      </c>
      <c r="O390" s="67">
        <f>IF(VLOOKUP($A390,raw_ub[],COLUMN(O$1),FALSE)=0, VLOOKUP($D390, regions_ub[], COLUMN(O$1), FALSE), VLOOKUP($A390,raw_ub[],COLUMN(O$1),FALSE))</f>
        <v>0.74399999999999999</v>
      </c>
      <c r="P390" s="68">
        <f>IF(VLOOKUP($A390,raw_ub[],COLUMN(P$1),FALSE)=0, VLOOKUP($D390, regions_ub[], COLUMN(P$1), FALSE), VLOOKUP($A390,raw_ub[],COLUMN(P$1),FALSE))</f>
        <v>0.13300000000000001</v>
      </c>
      <c r="Q390" s="70">
        <f>IF(VLOOKUP($A390,raw_ub[],COLUMN(Q$1),FALSE)=0, VLOOKUP($D390, regions_ub[], COLUMN(Q$1), FALSE), VLOOKUP($A390,raw_ub[],COLUMN(Q$1),FALSE))</f>
        <v>10.848787539350035</v>
      </c>
      <c r="R390" s="70">
        <f>IF(VLOOKUP($A390,raw_ub[],COLUMN(R$1),FALSE)=0, VLOOKUP($D390, regions_ub[], COLUMN(R$1), FALSE), VLOOKUP($A390,raw_ub[],COLUMN(R$1),FALSE))</f>
        <v>119.83458753935003</v>
      </c>
      <c r="S390" s="70">
        <f>IF(VLOOKUP($A390,raw_ub[],COLUMN(S$1),FALSE)=0, VLOOKUP($D390, regions_ub[], COLUMN(S$1), FALSE), VLOOKUP($A390,raw_ub[],COLUMN(S$1),FALSE))</f>
        <v>161.42169624364792</v>
      </c>
      <c r="T390" s="70">
        <f>IF(VLOOKUP($A390,raw_ub[],COLUMN(U$1)-COLUMN($A$1),FALSE)=0, VLOOKUP($D390, regions_ub[], COLUMN(U$1)-COLUMN($A$1), FALSE), VLOOKUP($A390,raw_ub[],COLUMN(U$1)-COLUMN($A$1),FALSE))</f>
        <v>167.85834407959484</v>
      </c>
      <c r="U390" s="70">
        <f>IF(VLOOKUP($A390,raw_ub[],COLUMN(V$1)-COLUMN($A$1),FALSE)=0, VLOOKUP($D390, regions_ub[], COLUMN(V$1)-COLUMN($A$1), FALSE), VLOOKUP($A390,raw_ub[],COLUMN(V$1)-COLUMN($A$1),FALSE))</f>
        <v>164.90277144673067</v>
      </c>
      <c r="V390" s="70">
        <f>IF(VLOOKUP($A390,raw_ub[],COLUMN(W$1)-COLUMN($A$1),FALSE)=0, VLOOKUP($D390, regions_ub[], COLUMN(W$1)-COLUMN($A$1), FALSE), VLOOKUP($A390,raw_ub[],COLUMN(W$1)-COLUMN($A$1),FALSE))</f>
        <v>5.3803233293868171</v>
      </c>
      <c r="W390" s="70">
        <f>IF(VLOOKUP($A390,raw_ub[],COLUMN(X$1)-COLUMN($A$1),FALSE)=0, VLOOKUP($D390, regions_ub[], COLUMN(X$1)-COLUMN($A$1), FALSE), VLOOKUP($A390,raw_ub[],COLUMN(X$1)-COLUMN($A$1),FALSE))</f>
        <v>9.1541076616971697</v>
      </c>
      <c r="X390" s="70">
        <f>IF(VLOOKUP($A390,raw_ub[],COLUMN(Y$1)-COLUMN($A$1),FALSE)=0, VLOOKUP($D390, regions_ub[], COLUMN(Y$1)-COLUMN($A$1), FALSE), VLOOKUP($A390,raw_ub[],COLUMN(Y$1)-COLUMN($A$1),FALSE))</f>
        <v>5.356173575140069</v>
      </c>
      <c r="Y390" s="70">
        <f>IF(VLOOKUP($A390,raw_ub[],COLUMN(Z$1)-COLUMN($A$1),FALSE)=0, VLOOKUP($D390, regions_ub[], COLUMN(Z$1)-COLUMN($A$1), FALSE), VLOOKUP($A390,raw_ub[],COLUMN(Z$1)-COLUMN($A$1),FALSE))</f>
        <v>9.1299579074504216</v>
      </c>
      <c r="Z390" s="70">
        <f>IF(VLOOKUP($A390,raw_ub[],COLUMN(AA$1)-COLUMN($A$1),FALSE)=0, VLOOKUP($D390, regions_ub[], COLUMN(AA$1)-COLUMN($A$1), FALSE), VLOOKUP($A390,raw_ub[],COLUMN(AA$1)-COLUMN($A$1),FALSE))</f>
        <v>9.1159410034291497</v>
      </c>
      <c r="AA390" s="70">
        <f>IF(VLOOKUP($A390,raw_ub[],COLUMN(AB$1)-COLUMN($A$1),FALSE)=0, VLOOKUP($D390, regions_ub[], COLUMN(AB$1)-COLUMN($A$1), FALSE), VLOOKUP($A390,raw_ub[],COLUMN(AB$1)-COLUMN($A$1),FALSE))</f>
        <v>5.3858963495976049</v>
      </c>
      <c r="AB390" s="70">
        <f>IF(VLOOKUP($A390,raw_ub[],COLUMN(AC$1)-COLUMN($A$1),FALSE)=0, VLOOKUP($D390, regions_ub[], COLUMN(AC$1)-COLUMN($A$1), FALSE), VLOOKUP($A390,raw_ub[],COLUMN(AC$1)-COLUMN($A$1),FALSE))</f>
        <v>9.1596806819079575</v>
      </c>
      <c r="AC390" s="72">
        <f>IF(VLOOKUP($A390,raw_ub[],COLUMN(AD$1)-COLUMN($A$1),FALSE)=0, VLOOKUP($D390, regions_ub[], COLUMN(AD$1)-COLUMN($A$1), FALSE), VLOOKUP($A390,raw_ub[],COLUMN(AD$1)-COLUMN($A$1),FALSE))</f>
        <v>6.7610739000000031E-2</v>
      </c>
      <c r="AD390" s="72">
        <f>IF(VLOOKUP($A390,raw_ub[],COLUMN(AE$1)-COLUMN($A$1),FALSE)=0, VLOOKUP($D390, regions_ub[], COLUMN(AE$1)-COLUMN($A$1), FALSE), VLOOKUP($A390,raw_ub[],COLUMN(AE$1)-COLUMN($A$1),FALSE))</f>
        <v>9.5840298673114353E-3</v>
      </c>
      <c r="AE390" s="72">
        <f>IF(VLOOKUP($A390,raw_ub[],COLUMN(AF$1)-COLUMN($A$1),FALSE)=0, VLOOKUP($D390, regions_ub[], COLUMN(AF$1)-COLUMN($A$1), FALSE), VLOOKUP($A390,raw_ub[],COLUMN(AF$1)-COLUMN($A$1),FALSE))</f>
        <v>3.9527582247868955E-3</v>
      </c>
      <c r="AF390" s="72">
        <f>IF(VLOOKUP($A390,raw_ub[],COLUMN(AG$1)-COLUMN($A$1),FALSE)=0, VLOOKUP($D390, regions_ub[], COLUMN(AG$1)-COLUMN($A$1), FALSE), VLOOKUP($A390,raw_ub[],COLUMN(AG$1)-COLUMN($A$1),FALSE))</f>
        <v>2.4015954567371892E-3</v>
      </c>
      <c r="AG390" s="72">
        <f>IF(VLOOKUP($A390,raw_ub[],COLUMN(AH$1)-COLUMN($A$1),FALSE)=0, VLOOKUP($D390, regions_ub[], COLUMN(AH$1)-COLUMN($A$1), FALSE), VLOOKUP($A390,raw_ub[],COLUMN(AH$1)-COLUMN($A$1),FALSE))</f>
        <v>3.0969968380762645E-3</v>
      </c>
      <c r="AH390" s="72">
        <f>IF(VLOOKUP($A390,raw_ub[],COLUMN(AI$1)-COLUMN($A$1),FALSE)=0, VLOOKUP($D390, regions_ub[], COLUMN(AI$1)-COLUMN($A$1), FALSE), VLOOKUP($A390,raw_ub[],COLUMN(AI$1)-COLUMN($A$1),FALSE))</f>
        <v>4.2832464488702735E-3</v>
      </c>
      <c r="AI390" s="72">
        <f>IF(VLOOKUP($A390,raw_ub[],COLUMN(AJ$1)-COLUMN($A$1),FALSE)=0, VLOOKUP($D390, regions_ub[], COLUMN(AJ$1)-COLUMN($A$1), FALSE), VLOOKUP($A390,raw_ub[],COLUMN(AJ$1)-COLUMN($A$1),FALSE))</f>
        <v>5.7682938288829639E-3</v>
      </c>
      <c r="AJ390" s="72">
        <f>IF(VLOOKUP($A390,raw_ub[],COLUMN(AK$1)-COLUMN($A$1),FALSE)=0, VLOOKUP($D390, regions_ub[], COLUMN(AK$1)-COLUMN($A$1), FALSE), VLOOKUP($A390,raw_ub[],COLUMN(AK$1)-COLUMN($A$1),FALSE))</f>
        <v>7.3340173421793031E-3</v>
      </c>
      <c r="AK390" s="72">
        <f>IF(VLOOKUP($A390,raw_ub[],COLUMN(AL$1)-COLUMN($A$1),FALSE)=0, VLOOKUP($D390, regions_ub[], COLUMN(AL$1)-COLUMN($A$1), FALSE), VLOOKUP($A390,raw_ub[],COLUMN(AL$1)-COLUMN($A$1),FALSE))</f>
        <v>9.3831486731590797E-3</v>
      </c>
      <c r="AL390" s="72">
        <f>IF(VLOOKUP($A390,raw_ub[],COLUMN(AM$1)-COLUMN($A$1),FALSE)=0, VLOOKUP($D390, regions_ub[], COLUMN(AM$1)-COLUMN($A$1), FALSE), VLOOKUP($A390,raw_ub[],COLUMN(AM$1)-COLUMN($A$1),FALSE))</f>
        <v>1.026194369894568E-2</v>
      </c>
      <c r="AM390" s="72">
        <f>IF(VLOOKUP($A390,raw_ub[],COLUMN(AN$1)-COLUMN($A$1),FALSE)=0, VLOOKUP($D390, regions_ub[], COLUMN(AN$1)-COLUMN($A$1), FALSE), VLOOKUP($A390,raw_ub[],COLUMN(AN$1)-COLUMN($A$1),FALSE))</f>
        <v>1.138141827364437E-2</v>
      </c>
      <c r="AN390" s="72">
        <f>IF(VLOOKUP($A390,raw_ub[],COLUMN(AO$1)-COLUMN($A$1),FALSE)=0, VLOOKUP($D390, regions_ub[], COLUMN(AO$1)-COLUMN($A$1), FALSE), VLOOKUP($A390,raw_ub[],COLUMN(AO$1)-COLUMN($A$1),FALSE))</f>
        <v>1.3429355540567749E-2</v>
      </c>
      <c r="AO390" s="72">
        <f>IF(VLOOKUP($A390,raw_ub[],COLUMN(AP$1)-COLUMN($A$1),FALSE)=0, VLOOKUP($D390, regions_ub[], COLUMN(AP$1)-COLUMN($A$1), FALSE), VLOOKUP($A390,raw_ub[],COLUMN(AP$1)-COLUMN($A$1),FALSE))</f>
        <v>1.6589504716475852E-2</v>
      </c>
      <c r="AP390" s="72">
        <f>IF(VLOOKUP($A390,raw_ub[],COLUMN(AQ$1)-COLUMN($A$1),FALSE)=0, VLOOKUP($D390, regions_ub[], COLUMN(AQ$1)-COLUMN($A$1), FALSE), VLOOKUP($A390,raw_ub[],COLUMN(AQ$1)-COLUMN($A$1),FALSE))</f>
        <v>2.3611610608705202E-2</v>
      </c>
      <c r="AQ390" s="72">
        <f>IF(VLOOKUP($A390,raw_ub[],COLUMN(AR$1)-COLUMN($A$1),FALSE)=0, VLOOKUP($D390, regions_ub[], COLUMN(AR$1)-COLUMN($A$1), FALSE), VLOOKUP($A390,raw_ub[],COLUMN(AR$1)-COLUMN($A$1),FALSE))</f>
        <v>3.3485066060526009E-2</v>
      </c>
      <c r="AR390" s="72">
        <f>IF(VLOOKUP($A390,raw_ub[],COLUMN(AS$1)-COLUMN($A$1),FALSE)=0, VLOOKUP($D390, regions_ub[], COLUMN(AS$1)-COLUMN($A$1), FALSE), VLOOKUP($A390,raw_ub[],COLUMN(AS$1)-COLUMN($A$1),FALSE))</f>
        <v>5.0657441272133598E-2</v>
      </c>
      <c r="AS390" s="72">
        <f>IF(VLOOKUP($A390,raw_ub[],COLUMN(AT$1)-COLUMN($A$1),FALSE)=0, VLOOKUP($D390, regions_ub[], COLUMN(AT$1)-COLUMN($A$1), FALSE), VLOOKUP($A390,raw_ub[],COLUMN(AT$1)-COLUMN($A$1),FALSE))</f>
        <v>7.4571241111907174E-2</v>
      </c>
      <c r="AT390" s="82">
        <f>IF(VLOOKUP($A390,raw_ub[],COLUMN(AT$1),FALSE)=0, VLOOKUP($D390, regions_ub[], COLUMN(AT$1), FALSE), VLOOKUP($A390,raw_ub[],COLUMN(AT$1),FALSE))</f>
        <v>0.10598698143463851</v>
      </c>
      <c r="AU390" s="82">
        <f>IF(VLOOKUP($A390,raw_ub[],COLUMN(AU$1),FALSE)=0, VLOOKUP($D390, regions_ub[], COLUMN(AU$1), FALSE), VLOOKUP($A390,raw_ub[],COLUMN(AU$1),FALSE))</f>
        <v>0.13803261548744403</v>
      </c>
      <c r="AV390" s="82">
        <f>IF(VLOOKUP($A390,raw_ub[],COLUMN(AV$1),FALSE)=0, VLOOKUP($D390, regions_ub[], COLUMN(AV$1), FALSE), VLOOKUP($A390,raw_ub[],COLUMN(AV$1),FALSE))</f>
        <v>0.16512736638233153</v>
      </c>
      <c r="AW390" s="82">
        <f>IF(VLOOKUP($A390,raw_ub[],COLUMN(AW$1),FALSE)=0, VLOOKUP($D390, regions_ub[], COLUMN(AW$1), FALSE), VLOOKUP($A390,raw_ub[],COLUMN(AW$1),FALSE))</f>
        <v>0.18424284045335393</v>
      </c>
      <c r="AX390" s="82">
        <f>IF(VLOOKUP($A390,raw_ub[],COLUMN(AX$1),FALSE)=0, VLOOKUP($D390, regions_ub[], COLUMN(AX$1), FALSE), VLOOKUP($A390,raw_ub[],COLUMN(AX$1),FALSE))</f>
        <v>60.296250000000001</v>
      </c>
      <c r="AY390" t="str">
        <f t="shared" si="13"/>
        <v>Yes</v>
      </c>
    </row>
    <row r="391" spans="1:51" x14ac:dyDescent="0.25">
      <c r="A391" s="55" t="s">
        <v>450</v>
      </c>
      <c r="B391" s="56" t="s">
        <v>451</v>
      </c>
      <c r="C391" s="56">
        <v>144</v>
      </c>
      <c r="D391" s="56" t="s">
        <v>225</v>
      </c>
      <c r="E391" s="56" t="s">
        <v>261</v>
      </c>
      <c r="F391" s="56" t="s">
        <v>262</v>
      </c>
      <c r="G391" s="56" t="s">
        <v>204</v>
      </c>
      <c r="H391" s="74"/>
      <c r="I391" s="74"/>
      <c r="J391" s="67">
        <f>IF(VLOOKUP($A391,raw_ub[],COLUMN(J$1),FALSE)=0, VLOOKUP($D391, regions_ub[], COLUMN(J$1), FALSE), VLOOKUP($A391,raw_ub[],COLUMN(J$1),FALSE))</f>
        <v>0.999</v>
      </c>
      <c r="K391" s="77">
        <f>VLOOKUP($A391, raw_ub[], 11, FALSE)</f>
        <v>0</v>
      </c>
      <c r="L391" s="77">
        <f>VLOOKUP($A391, raw_ub[], 12, FALSE)</f>
        <v>0.999</v>
      </c>
      <c r="M391" s="77">
        <f>IF(VLOOKUP($A391,raw_ub[],COLUMN(M$1),FALSE)=0, VLOOKUP($D391, regions_ub[], COLUMN(M$1), FALSE), VLOOKUP($A391,raw_ub[],COLUMN(M$1),FALSE))</f>
        <v>2.6000000000000002E-2</v>
      </c>
      <c r="N391" s="68">
        <f>IF(VLOOKUP($A391,raw_ub[],COLUMN(N$1),FALSE)=0, VLOOKUP($D391, regions_ub[], COLUMN(N$1), FALSE), VLOOKUP($A391,raw_ub[],COLUMN(N$1),FALSE))</f>
        <v>0.47729999999999995</v>
      </c>
      <c r="O391" s="67">
        <f>IF(VLOOKUP($A391,raw_ub[],COLUMN(O$1),FALSE)=0, VLOOKUP($D391, regions_ub[], COLUMN(O$1), FALSE), VLOOKUP($A391,raw_ub[],COLUMN(O$1),FALSE))</f>
        <v>0.9</v>
      </c>
      <c r="P391" s="68">
        <f>IF(VLOOKUP($A391,raw_ub[],COLUMN(P$1),FALSE)=0, VLOOKUP($D391, regions_ub[], COLUMN(P$1), FALSE), VLOOKUP($A391,raw_ub[],COLUMN(P$1),FALSE))</f>
        <v>0.3</v>
      </c>
      <c r="Q391" s="70">
        <f>IF(VLOOKUP($A391,raw_ub[],COLUMN(Q$1),FALSE)=0, VLOOKUP($D391, regions_ub[], COLUMN(Q$1), FALSE), VLOOKUP($A391,raw_ub[],COLUMN(Q$1),FALSE))</f>
        <v>11.57326077348066</v>
      </c>
      <c r="R391" s="70">
        <f>IF(VLOOKUP($A391,raw_ub[],COLUMN(R$1),FALSE)=0, VLOOKUP($D391, regions_ub[], COLUMN(R$1), FALSE), VLOOKUP($A391,raw_ub[],COLUMN(R$1),FALSE))</f>
        <v>120.55906077348067</v>
      </c>
      <c r="S391" s="70">
        <f>IF(VLOOKUP($A391,raw_ub[],COLUMN(S$1),FALSE)=0, VLOOKUP($D391, regions_ub[], COLUMN(S$1), FALSE), VLOOKUP($A391,raw_ub[],COLUMN(S$1),FALSE))</f>
        <v>163.07501190088223</v>
      </c>
      <c r="T391" s="70">
        <f>IF(VLOOKUP($A391,raw_ub[],COLUMN(U$1)-COLUMN($A$1),FALSE)=0, VLOOKUP($D391, regions_ub[], COLUMN(U$1)-COLUMN($A$1), FALSE), VLOOKUP($A391,raw_ub[],COLUMN(U$1)-COLUMN($A$1),FALSE))</f>
        <v>169.99508975394613</v>
      </c>
      <c r="U391" s="70">
        <f>IF(VLOOKUP($A391,raw_ub[],COLUMN(V$1)-COLUMN($A$1),FALSE)=0, VLOOKUP($D391, regions_ub[], COLUMN(V$1)-COLUMN($A$1), FALSE), VLOOKUP($A391,raw_ub[],COLUMN(V$1)-COLUMN($A$1),FALSE))</f>
        <v>166.81753627563066</v>
      </c>
      <c r="V391" s="70">
        <f>IF(VLOOKUP($A391,raw_ub[],COLUMN(W$1)-COLUMN($A$1),FALSE)=0, VLOOKUP($D391, regions_ub[], COLUMN(W$1)-COLUMN($A$1), FALSE), VLOOKUP($A391,raw_ub[],COLUMN(W$1)-COLUMN($A$1),FALSE))</f>
        <v>9.2440501575315981</v>
      </c>
      <c r="W391" s="70">
        <f>IF(VLOOKUP($A391,raw_ub[],COLUMN(X$1)-COLUMN($A$1),FALSE)=0, VLOOKUP($D391, regions_ub[], COLUMN(X$1)-COLUMN($A$1), FALSE), VLOOKUP($A391,raw_ub[],COLUMN(X$1)-COLUMN($A$1),FALSE))</f>
        <v>9.9055501575315983</v>
      </c>
      <c r="X391" s="70">
        <f>IF(VLOOKUP($A391,raw_ub[],COLUMN(Y$1)-COLUMN($A$1),FALSE)=0, VLOOKUP($D391, regions_ub[], COLUMN(Y$1)-COLUMN($A$1), FALSE), VLOOKUP($A391,raw_ub[],COLUMN(Y$1)-COLUMN($A$1),FALSE))</f>
        <v>9.2026643627760532</v>
      </c>
      <c r="Y391" s="70">
        <f>IF(VLOOKUP($A391,raw_ub[],COLUMN(Z$1)-COLUMN($A$1),FALSE)=0, VLOOKUP($D391, regions_ub[], COLUMN(Z$1)-COLUMN($A$1), FALSE), VLOOKUP($A391,raw_ub[],COLUMN(Z$1)-COLUMN($A$1),FALSE))</f>
        <v>9.8641643627760534</v>
      </c>
      <c r="Z391" s="70">
        <f>IF(VLOOKUP($A391,raw_ub[],COLUMN(AA$1)-COLUMN($A$1),FALSE)=0, VLOOKUP($D391, regions_ub[], COLUMN(AA$1)-COLUMN($A$1), FALSE), VLOOKUP($A391,raw_ub[],COLUMN(AA$1)-COLUMN($A$1),FALSE))</f>
        <v>9.8404922479749448</v>
      </c>
      <c r="AA391" s="70">
        <f>IF(VLOOKUP($A391,raw_ub[],COLUMN(AB$1)-COLUMN($A$1),FALSE)=0, VLOOKUP($D391, regions_ub[], COLUMN(AB$1)-COLUMN($A$1), FALSE), VLOOKUP($A391,raw_ub[],COLUMN(AB$1)-COLUMN($A$1),FALSE))</f>
        <v>9.2536007255521078</v>
      </c>
      <c r="AB391" s="70">
        <f>IF(VLOOKUP($A391,raw_ub[],COLUMN(AC$1)-COLUMN($A$1),FALSE)=0, VLOOKUP($D391, regions_ub[], COLUMN(AC$1)-COLUMN($A$1), FALSE), VLOOKUP($A391,raw_ub[],COLUMN(AC$1)-COLUMN($A$1),FALSE))</f>
        <v>9.915100725552108</v>
      </c>
      <c r="AC391" s="72">
        <f>IF(VLOOKUP($A391,raw_ub[],COLUMN(AD$1)-COLUMN($A$1),FALSE)=0, VLOOKUP($D391, regions_ub[], COLUMN(AD$1)-COLUMN($A$1), FALSE), VLOOKUP($A391,raw_ub[],COLUMN(AD$1)-COLUMN($A$1),FALSE))</f>
        <v>7.9519544999999778E-3</v>
      </c>
      <c r="AD391" s="72">
        <f>IF(VLOOKUP($A391,raw_ub[],COLUMN(AE$1)-COLUMN($A$1),FALSE)=0, VLOOKUP($D391, regions_ub[], COLUMN(AE$1)-COLUMN($A$1), FALSE), VLOOKUP($A391,raw_ub[],COLUMN(AE$1)-COLUMN($A$1),FALSE))</f>
        <v>2.6985670307081198E-4</v>
      </c>
      <c r="AE391" s="72">
        <f>IF(VLOOKUP($A391,raw_ub[],COLUMN(AF$1)-COLUMN($A$1),FALSE)=0, VLOOKUP($D391, regions_ub[], COLUMN(AF$1)-COLUMN($A$1), FALSE), VLOOKUP($A391,raw_ub[],COLUMN(AF$1)-COLUMN($A$1),FALSE))</f>
        <v>3.1190748634110491E-4</v>
      </c>
      <c r="AF391" s="72">
        <f>IF(VLOOKUP($A391,raw_ub[],COLUMN(AG$1)-COLUMN($A$1),FALSE)=0, VLOOKUP($D391, regions_ub[], COLUMN(AG$1)-COLUMN($A$1), FALSE), VLOOKUP($A391,raw_ub[],COLUMN(AG$1)-COLUMN($A$1),FALSE))</f>
        <v>3.0492337084786996E-4</v>
      </c>
      <c r="AG391" s="72">
        <f>IF(VLOOKUP($A391,raw_ub[],COLUMN(AH$1)-COLUMN($A$1),FALSE)=0, VLOOKUP($D391, regions_ub[], COLUMN(AH$1)-COLUMN($A$1), FALSE), VLOOKUP($A391,raw_ub[],COLUMN(AH$1)-COLUMN($A$1),FALSE))</f>
        <v>5.8265483493439077E-4</v>
      </c>
      <c r="AH391" s="72">
        <f>IF(VLOOKUP($A391,raw_ub[],COLUMN(AI$1)-COLUMN($A$1),FALSE)=0, VLOOKUP($D391, regions_ub[], COLUMN(AI$1)-COLUMN($A$1), FALSE), VLOOKUP($A391,raw_ub[],COLUMN(AI$1)-COLUMN($A$1),FALSE))</f>
        <v>8.2836920569008359E-4</v>
      </c>
      <c r="AI391" s="72">
        <f>IF(VLOOKUP($A391,raw_ub[],COLUMN(AJ$1)-COLUMN($A$1),FALSE)=0, VLOOKUP($D391, regions_ub[], COLUMN(AJ$1)-COLUMN($A$1), FALSE), VLOOKUP($A391,raw_ub[],COLUMN(AJ$1)-COLUMN($A$1),FALSE))</f>
        <v>9.0603243615311512E-4</v>
      </c>
      <c r="AJ391" s="72">
        <f>IF(VLOOKUP($A391,raw_ub[],COLUMN(AK$1)-COLUMN($A$1),FALSE)=0, VLOOKUP($D391, regions_ub[], COLUMN(AK$1)-COLUMN($A$1), FALSE), VLOOKUP($A391,raw_ub[],COLUMN(AK$1)-COLUMN($A$1),FALSE))</f>
        <v>1.0370179061018395E-3</v>
      </c>
      <c r="AK391" s="72">
        <f>IF(VLOOKUP($A391,raw_ub[],COLUMN(AL$1)-COLUMN($A$1),FALSE)=0, VLOOKUP($D391, regions_ub[], COLUMN(AL$1)-COLUMN($A$1), FALSE), VLOOKUP($A391,raw_ub[],COLUMN(AL$1)-COLUMN($A$1),FALSE))</f>
        <v>1.4917336690235914E-3</v>
      </c>
      <c r="AL391" s="72">
        <f>IF(VLOOKUP($A391,raw_ub[],COLUMN(AM$1)-COLUMN($A$1),FALSE)=0, VLOOKUP($D391, regions_ub[], COLUMN(AM$1)-COLUMN($A$1), FALSE), VLOOKUP($A391,raw_ub[],COLUMN(AM$1)-COLUMN($A$1),FALSE))</f>
        <v>2.1839892109599729E-3</v>
      </c>
      <c r="AM391" s="72">
        <f>IF(VLOOKUP($A391,raw_ub[],COLUMN(AN$1)-COLUMN($A$1),FALSE)=0, VLOOKUP($D391, regions_ub[], COLUMN(AN$1)-COLUMN($A$1), FALSE), VLOOKUP($A391,raw_ub[],COLUMN(AN$1)-COLUMN($A$1),FALSE))</f>
        <v>3.3678526633927016E-3</v>
      </c>
      <c r="AN391" s="72">
        <f>IF(VLOOKUP($A391,raw_ub[],COLUMN(AO$1)-COLUMN($A$1),FALSE)=0, VLOOKUP($D391, regions_ub[], COLUMN(AO$1)-COLUMN($A$1), FALSE), VLOOKUP($A391,raw_ub[],COLUMN(AO$1)-COLUMN($A$1),FALSE))</f>
        <v>5.1579409835322146E-3</v>
      </c>
      <c r="AO391" s="72">
        <f>IF(VLOOKUP($A391,raw_ub[],COLUMN(AP$1)-COLUMN($A$1),FALSE)=0, VLOOKUP($D391, regions_ub[], COLUMN(AP$1)-COLUMN($A$1), FALSE), VLOOKUP($A391,raw_ub[],COLUMN(AP$1)-COLUMN($A$1),FALSE))</f>
        <v>7.3246016074776368E-3</v>
      </c>
      <c r="AP391" s="72">
        <f>IF(VLOOKUP($A391,raw_ub[],COLUMN(AQ$1)-COLUMN($A$1),FALSE)=0, VLOOKUP($D391, regions_ub[], COLUMN(AQ$1)-COLUMN($A$1), FALSE), VLOOKUP($A391,raw_ub[],COLUMN(AQ$1)-COLUMN($A$1),FALSE))</f>
        <v>1.0494002050422375E-2</v>
      </c>
      <c r="AQ391" s="72">
        <f>IF(VLOOKUP($A391,raw_ub[],COLUMN(AR$1)-COLUMN($A$1),FALSE)=0, VLOOKUP($D391, regions_ub[], COLUMN(AR$1)-COLUMN($A$1), FALSE), VLOOKUP($A391,raw_ub[],COLUMN(AR$1)-COLUMN($A$1),FALSE))</f>
        <v>1.8379359136768188E-2</v>
      </c>
      <c r="AR391" s="72">
        <f>IF(VLOOKUP($A391,raw_ub[],COLUMN(AS$1)-COLUMN($A$1),FALSE)=0, VLOOKUP($D391, regions_ub[], COLUMN(AS$1)-COLUMN($A$1), FALSE), VLOOKUP($A391,raw_ub[],COLUMN(AS$1)-COLUMN($A$1),FALSE))</f>
        <v>3.3030790305563426E-2</v>
      </c>
      <c r="AS391" s="72">
        <f>IF(VLOOKUP($A391,raw_ub[],COLUMN(AT$1)-COLUMN($A$1),FALSE)=0, VLOOKUP($D391, regions_ub[], COLUMN(AT$1)-COLUMN($A$1), FALSE), VLOOKUP($A391,raw_ub[],COLUMN(AT$1)-COLUMN($A$1),FALSE))</f>
        <v>4.5284177478041823E-2</v>
      </c>
      <c r="AT391" s="82">
        <f>IF(VLOOKUP($A391,raw_ub[],COLUMN(AT$1),FALSE)=0, VLOOKUP($D391, regions_ub[], COLUMN(AT$1), FALSE), VLOOKUP($A391,raw_ub[],COLUMN(AT$1),FALSE))</f>
        <v>7.3438631715630406E-2</v>
      </c>
      <c r="AU391" s="82">
        <f>IF(VLOOKUP($A391,raw_ub[],COLUMN(AU$1),FALSE)=0, VLOOKUP($D391, regions_ub[], COLUMN(AU$1), FALSE), VLOOKUP($A391,raw_ub[],COLUMN(AU$1),FALSE))</f>
        <v>0.11199340061476418</v>
      </c>
      <c r="AV391" s="82">
        <f>IF(VLOOKUP($A391,raw_ub[],COLUMN(AV$1),FALSE)=0, VLOOKUP($D391, regions_ub[], COLUMN(AV$1), FALSE), VLOOKUP($A391,raw_ub[],COLUMN(AV$1),FALSE))</f>
        <v>0.15143565190961059</v>
      </c>
      <c r="AW391" s="82">
        <f>IF(VLOOKUP($A391,raw_ub[],COLUMN(AW$1),FALSE)=0, VLOOKUP($D391, regions_ub[], COLUMN(AW$1), FALSE), VLOOKUP($A391,raw_ub[],COLUMN(AW$1),FALSE))</f>
        <v>0.18033015405119185</v>
      </c>
      <c r="AX391" s="82">
        <f>IF(VLOOKUP($A391,raw_ub[],COLUMN(AX$1),FALSE)=0, VLOOKUP($D391, regions_ub[], COLUMN(AX$1), FALSE), VLOOKUP($A391,raw_ub[],COLUMN(AX$1),FALSE))</f>
        <v>80.561250000000001</v>
      </c>
      <c r="AY391" t="str">
        <f t="shared" si="13"/>
        <v>Yes</v>
      </c>
    </row>
    <row r="392" spans="1:51" x14ac:dyDescent="0.25">
      <c r="A392" s="53" t="s">
        <v>452</v>
      </c>
      <c r="B392" s="54" t="s">
        <v>453</v>
      </c>
      <c r="C392" s="54">
        <v>729</v>
      </c>
      <c r="D392" s="54" t="s">
        <v>196</v>
      </c>
      <c r="E392" s="54" t="s">
        <v>255</v>
      </c>
      <c r="F392" s="54" t="s">
        <v>211</v>
      </c>
      <c r="G392" s="54" t="s">
        <v>212</v>
      </c>
      <c r="H392" s="73"/>
      <c r="I392" s="73"/>
      <c r="J392" s="67">
        <f>IF(VLOOKUP($A392,raw_ub[],COLUMN(J$1),FALSE)=0, VLOOKUP($D392, regions_ub[], COLUMN(J$1), FALSE), VLOOKUP($A392,raw_ub[],COLUMN(J$1),FALSE))</f>
        <v>0.29085</v>
      </c>
      <c r="K392" s="77">
        <f>VLOOKUP($A392, raw_ub[], 11, FALSE)</f>
        <v>0</v>
      </c>
      <c r="L392" s="77">
        <f>VLOOKUP($A392, raw_ub[], 12, FALSE)</f>
        <v>0.94500000000000006</v>
      </c>
      <c r="M392" s="77">
        <f>IF(VLOOKUP($A392,raw_ub[],COLUMN(M$1),FALSE)=0, VLOOKUP($D392, regions_ub[], COLUMN(M$1), FALSE), VLOOKUP($A392,raw_ub[],COLUMN(M$1),FALSE))</f>
        <v>8.4000000000000005E-2</v>
      </c>
      <c r="N392" s="68">
        <f>IF(VLOOKUP($A392,raw_ub[],COLUMN(N$1),FALSE)=0, VLOOKUP($D392, regions_ub[], COLUMN(N$1), FALSE), VLOOKUP($A392,raw_ub[],COLUMN(N$1),FALSE))</f>
        <v>0.39960000000000001</v>
      </c>
      <c r="O392" s="67">
        <f>IF(VLOOKUP($A392,raw_ub[],COLUMN(O$1),FALSE)=0, VLOOKUP($D392, regions_ub[], COLUMN(O$1), FALSE), VLOOKUP($A392,raw_ub[],COLUMN(O$1),FALSE))</f>
        <v>0.74399999999999999</v>
      </c>
      <c r="P392" s="68">
        <f>IF(VLOOKUP($A392,raw_ub[],COLUMN(P$1),FALSE)=0, VLOOKUP($D392, regions_ub[], COLUMN(P$1), FALSE), VLOOKUP($A392,raw_ub[],COLUMN(P$1),FALSE))</f>
        <v>0.13300000000000001</v>
      </c>
      <c r="Q392" s="70">
        <f>IF(VLOOKUP($A392,raw_ub[],COLUMN(Q$1),FALSE)=0, VLOOKUP($D392, regions_ub[], COLUMN(Q$1), FALSE), VLOOKUP($A392,raw_ub[],COLUMN(Q$1),FALSE))</f>
        <v>9.7478873406966891</v>
      </c>
      <c r="R392" s="70">
        <f>IF(VLOOKUP($A392,raw_ub[],COLUMN(R$1),FALSE)=0, VLOOKUP($D392, regions_ub[], COLUMN(R$1), FALSE), VLOOKUP($A392,raw_ub[],COLUMN(R$1),FALSE))</f>
        <v>118.7336873406967</v>
      </c>
      <c r="S392" s="70">
        <f>IF(VLOOKUP($A392,raw_ub[],COLUMN(S$1),FALSE)=0, VLOOKUP($D392, regions_ub[], COLUMN(S$1), FALSE), VLOOKUP($A392,raw_ub[],COLUMN(S$1),FALSE))</f>
        <v>156.31296086452286</v>
      </c>
      <c r="T392" s="70">
        <f>IF(VLOOKUP($A392,raw_ub[],COLUMN(U$1)-COLUMN($A$1),FALSE)=0, VLOOKUP($D392, regions_ub[], COLUMN(U$1)-COLUMN($A$1), FALSE), VLOOKUP($A392,raw_ub[],COLUMN(U$1)-COLUMN($A$1),FALSE))</f>
        <v>160.66367056747271</v>
      </c>
      <c r="U392" s="70">
        <f>IF(VLOOKUP($A392,raw_ub[],COLUMN(V$1)-COLUMN($A$1),FALSE)=0, VLOOKUP($D392, regions_ub[], COLUMN(V$1)-COLUMN($A$1), FALSE), VLOOKUP($A392,raw_ub[],COLUMN(V$1)-COLUMN($A$1),FALSE))</f>
        <v>158.66591663416571</v>
      </c>
      <c r="V392" s="70">
        <f>IF(VLOOKUP($A392,raw_ub[],COLUMN(W$1)-COLUMN($A$1),FALSE)=0, VLOOKUP($D392, regions_ub[], COLUMN(W$1)-COLUMN($A$1), FALSE), VLOOKUP($A392,raw_ub[],COLUMN(W$1)-COLUMN($A$1),FALSE))</f>
        <v>4.5778479770433069</v>
      </c>
      <c r="W392" s="70">
        <f>IF(VLOOKUP($A392,raw_ub[],COLUMN(X$1)-COLUMN($A$1),FALSE)=0, VLOOKUP($D392, regions_ub[], COLUMN(X$1)-COLUMN($A$1), FALSE), VLOOKUP($A392,raw_ub[],COLUMN(X$1)-COLUMN($A$1),FALSE))</f>
        <v>9.6493479770433073</v>
      </c>
      <c r="X392" s="70">
        <f>IF(VLOOKUP($A392,raw_ub[],COLUMN(Y$1)-COLUMN($A$1),FALSE)=0, VLOOKUP($D392, regions_ub[], COLUMN(Y$1)-COLUMN($A$1), FALSE), VLOOKUP($A392,raw_ub[],COLUMN(Y$1)-COLUMN($A$1),FALSE))</f>
        <v>4.5677187459549273</v>
      </c>
      <c r="Y392" s="70">
        <f>IF(VLOOKUP($A392,raw_ub[],COLUMN(Z$1)-COLUMN($A$1),FALSE)=0, VLOOKUP($D392, regions_ub[], COLUMN(Z$1)-COLUMN($A$1), FALSE), VLOOKUP($A392,raw_ub[],COLUMN(Z$1)-COLUMN($A$1),FALSE))</f>
        <v>9.6392187459549277</v>
      </c>
      <c r="Z392" s="70">
        <f>IF(VLOOKUP($A392,raw_ub[],COLUMN(AA$1)-COLUMN($A$1),FALSE)=0, VLOOKUP($D392, regions_ub[], COLUMN(AA$1)-COLUMN($A$1), FALSE), VLOOKUP($A392,raw_ub[],COLUMN(AA$1)-COLUMN($A$1),FALSE))</f>
        <v>9.6335520956238518</v>
      </c>
      <c r="AA392" s="70">
        <f>IF(VLOOKUP($A392,raw_ub[],COLUMN(AB$1)-COLUMN($A$1),FALSE)=0, VLOOKUP($D392, regions_ub[], COLUMN(AB$1)-COLUMN($A$1), FALSE), VLOOKUP($A392,raw_ub[],COLUMN(AB$1)-COLUMN($A$1),FALSE))</f>
        <v>4.5801854919098552</v>
      </c>
      <c r="AB392" s="70">
        <f>IF(VLOOKUP($A392,raw_ub[],COLUMN(AC$1)-COLUMN($A$1),FALSE)=0, VLOOKUP($D392, regions_ub[], COLUMN(AC$1)-COLUMN($A$1), FALSE), VLOOKUP($A392,raw_ub[],COLUMN(AC$1)-COLUMN($A$1),FALSE))</f>
        <v>9.6516854919098556</v>
      </c>
      <c r="AC392" s="72">
        <f>IF(VLOOKUP($A392,raw_ub[],COLUMN(AD$1)-COLUMN($A$1),FALSE)=0, VLOOKUP($D392, regions_ub[], COLUMN(AD$1)-COLUMN($A$1), FALSE), VLOOKUP($A392,raw_ub[],COLUMN(AD$1)-COLUMN($A$1),FALSE))</f>
        <v>4.501859250000001E-2</v>
      </c>
      <c r="AD392" s="72">
        <f>IF(VLOOKUP($A392,raw_ub[],COLUMN(AE$1)-COLUMN($A$1),FALSE)=0, VLOOKUP($D392, regions_ub[], COLUMN(AE$1)-COLUMN($A$1), FALSE), VLOOKUP($A392,raw_ub[],COLUMN(AE$1)-COLUMN($A$1),FALSE))</f>
        <v>5.7864877962928917E-3</v>
      </c>
      <c r="AE392" s="72">
        <f>IF(VLOOKUP($A392,raw_ub[],COLUMN(AF$1)-COLUMN($A$1),FALSE)=0, VLOOKUP($D392, regions_ub[], COLUMN(AF$1)-COLUMN($A$1), FALSE), VLOOKUP($A392,raw_ub[],COLUMN(AF$1)-COLUMN($A$1),FALSE))</f>
        <v>2.2750208217927515E-3</v>
      </c>
      <c r="AF392" s="72">
        <f>IF(VLOOKUP($A392,raw_ub[],COLUMN(AG$1)-COLUMN($A$1),FALSE)=0, VLOOKUP($D392, regions_ub[], COLUMN(AG$1)-COLUMN($A$1), FALSE), VLOOKUP($A392,raw_ub[],COLUMN(AG$1)-COLUMN($A$1),FALSE))</f>
        <v>1.7078683314977387E-3</v>
      </c>
      <c r="AG392" s="72">
        <f>IF(VLOOKUP($A392,raw_ub[],COLUMN(AH$1)-COLUMN($A$1),FALSE)=0, VLOOKUP($D392, regions_ub[], COLUMN(AH$1)-COLUMN($A$1), FALSE), VLOOKUP($A392,raw_ub[],COLUMN(AH$1)-COLUMN($A$1),FALSE))</f>
        <v>2.014662459337528E-3</v>
      </c>
      <c r="AH392" s="72">
        <f>IF(VLOOKUP($A392,raw_ub[],COLUMN(AI$1)-COLUMN($A$1),FALSE)=0, VLOOKUP($D392, regions_ub[], COLUMN(AI$1)-COLUMN($A$1), FALSE), VLOOKUP($A392,raw_ub[],COLUMN(AI$1)-COLUMN($A$1),FALSE))</f>
        <v>2.7008311181251077E-3</v>
      </c>
      <c r="AI392" s="72">
        <f>IF(VLOOKUP($A392,raw_ub[],COLUMN(AJ$1)-COLUMN($A$1),FALSE)=0, VLOOKUP($D392, regions_ub[], COLUMN(AJ$1)-COLUMN($A$1), FALSE), VLOOKUP($A392,raw_ub[],COLUMN(AJ$1)-COLUMN($A$1),FALSE))</f>
        <v>3.2065527480574577E-3</v>
      </c>
      <c r="AJ392" s="72">
        <f>IF(VLOOKUP($A392,raw_ub[],COLUMN(AK$1)-COLUMN($A$1),FALSE)=0, VLOOKUP($D392, regions_ub[], COLUMN(AK$1)-COLUMN($A$1), FALSE), VLOOKUP($A392,raw_ub[],COLUMN(AK$1)-COLUMN($A$1),FALSE))</f>
        <v>3.7238305856888902E-3</v>
      </c>
      <c r="AK392" s="72">
        <f>IF(VLOOKUP($A392,raw_ub[],COLUMN(AL$1)-COLUMN($A$1),FALSE)=0, VLOOKUP($D392, regions_ub[], COLUMN(AL$1)-COLUMN($A$1), FALSE), VLOOKUP($A392,raw_ub[],COLUMN(AL$1)-COLUMN($A$1),FALSE))</f>
        <v>4.690870921800777E-3</v>
      </c>
      <c r="AL392" s="72">
        <f>IF(VLOOKUP($A392,raw_ub[],COLUMN(AM$1)-COLUMN($A$1),FALSE)=0, VLOOKUP($D392, regions_ub[], COLUMN(AM$1)-COLUMN($A$1), FALSE), VLOOKUP($A392,raw_ub[],COLUMN(AM$1)-COLUMN($A$1),FALSE))</f>
        <v>5.6815244081905511E-3</v>
      </c>
      <c r="AM392" s="72">
        <f>IF(VLOOKUP($A392,raw_ub[],COLUMN(AN$1)-COLUMN($A$1),FALSE)=0, VLOOKUP($D392, regions_ub[], COLUMN(AN$1)-COLUMN($A$1), FALSE), VLOOKUP($A392,raw_ub[],COLUMN(AN$1)-COLUMN($A$1),FALSE))</f>
        <v>6.9546985827998046E-3</v>
      </c>
      <c r="AN392" s="72">
        <f>IF(VLOOKUP($A392,raw_ub[],COLUMN(AO$1)-COLUMN($A$1),FALSE)=0, VLOOKUP($D392, regions_ub[], COLUMN(AO$1)-COLUMN($A$1), FALSE), VLOOKUP($A392,raw_ub[],COLUMN(AO$1)-COLUMN($A$1),FALSE))</f>
        <v>9.2742884245818041E-3</v>
      </c>
      <c r="AO392" s="72">
        <f>IF(VLOOKUP($A392,raw_ub[],COLUMN(AP$1)-COLUMN($A$1),FALSE)=0, VLOOKUP($D392, regions_ub[], COLUMN(AP$1)-COLUMN($A$1), FALSE), VLOOKUP($A392,raw_ub[],COLUMN(AP$1)-COLUMN($A$1),FALSE))</f>
        <v>1.2519252615699639E-2</v>
      </c>
      <c r="AP392" s="72">
        <f>IF(VLOOKUP($A392,raw_ub[],COLUMN(AQ$1)-COLUMN($A$1),FALSE)=0, VLOOKUP($D392, regions_ub[], COLUMN(AQ$1)-COLUMN($A$1), FALSE), VLOOKUP($A392,raw_ub[],COLUMN(AQ$1)-COLUMN($A$1),FALSE))</f>
        <v>1.8413794780652783E-2</v>
      </c>
      <c r="AQ392" s="72">
        <f>IF(VLOOKUP($A392,raw_ub[],COLUMN(AR$1)-COLUMN($A$1),FALSE)=0, VLOOKUP($D392, regions_ub[], COLUMN(AR$1)-COLUMN($A$1), FALSE), VLOOKUP($A392,raw_ub[],COLUMN(AR$1)-COLUMN($A$1),FALSE))</f>
        <v>2.878004443238389E-2</v>
      </c>
      <c r="AR392" s="72">
        <f>IF(VLOOKUP($A392,raw_ub[],COLUMN(AS$1)-COLUMN($A$1),FALSE)=0, VLOOKUP($D392, regions_ub[], COLUMN(AS$1)-COLUMN($A$1), FALSE), VLOOKUP($A392,raw_ub[],COLUMN(AS$1)-COLUMN($A$1),FALSE))</f>
        <v>4.470969949560679E-2</v>
      </c>
      <c r="AS392" s="72">
        <f>IF(VLOOKUP($A392,raw_ub[],COLUMN(AT$1)-COLUMN($A$1),FALSE)=0, VLOOKUP($D392, regions_ub[], COLUMN(AT$1)-COLUMN($A$1), FALSE), VLOOKUP($A392,raw_ub[],COLUMN(AT$1)-COLUMN($A$1),FALSE))</f>
        <v>6.7020845843525523E-2</v>
      </c>
      <c r="AT392" s="82">
        <f>IF(VLOOKUP($A392,raw_ub[],COLUMN(AT$1),FALSE)=0, VLOOKUP($D392, regions_ub[], COLUMN(AT$1), FALSE), VLOOKUP($A392,raw_ub[],COLUMN(AT$1),FALSE))</f>
        <v>9.6661564150910817E-2</v>
      </c>
      <c r="AU392" s="82">
        <f>IF(VLOOKUP($A392,raw_ub[],COLUMN(AU$1),FALSE)=0, VLOOKUP($D392, regions_ub[], COLUMN(AU$1), FALSE), VLOOKUP($A392,raw_ub[],COLUMN(AU$1),FALSE))</f>
        <v>0.12777696452902904</v>
      </c>
      <c r="AV392" s="82">
        <f>IF(VLOOKUP($A392,raw_ub[],COLUMN(AV$1),FALSE)=0, VLOOKUP($D392, regions_ub[], COLUMN(AV$1), FALSE), VLOOKUP($A392,raw_ub[],COLUMN(AV$1),FALSE))</f>
        <v>0.1556047938930811</v>
      </c>
      <c r="AW392" s="82">
        <f>IF(VLOOKUP($A392,raw_ub[],COLUMN(AW$1),FALSE)=0, VLOOKUP($D392, regions_ub[], COLUMN(AW$1), FALSE), VLOOKUP($A392,raw_ub[],COLUMN(AW$1),FALSE))</f>
        <v>0.17624935615569085</v>
      </c>
      <c r="AX392" s="82">
        <f>IF(VLOOKUP($A392,raw_ub[],COLUMN(AX$1),FALSE)=0, VLOOKUP($D392, regions_ub[], COLUMN(AX$1), FALSE), VLOOKUP($A392,raw_ub[],COLUMN(AX$1),FALSE))</f>
        <v>68.195399999999992</v>
      </c>
      <c r="AY392" t="str">
        <f t="shared" si="13"/>
        <v>Yes</v>
      </c>
    </row>
    <row r="393" spans="1:51" x14ac:dyDescent="0.25">
      <c r="A393" s="55" t="s">
        <v>454</v>
      </c>
      <c r="B393" s="56" t="s">
        <v>455</v>
      </c>
      <c r="C393" s="56">
        <v>740</v>
      </c>
      <c r="D393" s="56" t="s">
        <v>215</v>
      </c>
      <c r="E393" s="56" t="s">
        <v>232</v>
      </c>
      <c r="F393" s="56" t="s">
        <v>217</v>
      </c>
      <c r="G393" s="56" t="s">
        <v>204</v>
      </c>
      <c r="H393" s="74"/>
      <c r="I393" s="74"/>
      <c r="J393" s="67">
        <f>IF(VLOOKUP($A393,raw_ub[],COLUMN(J$1),FALSE)=0, VLOOKUP($D393, regions_ub[], COLUMN(J$1), FALSE), VLOOKUP($A393,raw_ub[],COLUMN(J$1),FALSE))</f>
        <v>0.97545000000000004</v>
      </c>
      <c r="K393" s="77">
        <f>VLOOKUP($A393, raw_ub[], 11, FALSE)</f>
        <v>0.82950000000000013</v>
      </c>
      <c r="L393" s="77">
        <f>VLOOKUP($A393, raw_ub[], 12, FALSE)</f>
        <v>0.53550000000000009</v>
      </c>
      <c r="M393" s="77">
        <f>IF(VLOOKUP($A393,raw_ub[],COLUMN(M$1),FALSE)=0, VLOOKUP($D393, regions_ub[], COLUMN(M$1), FALSE), VLOOKUP($A393,raw_ub[],COLUMN(M$1),FALSE))</f>
        <v>4.8799999999999996E-2</v>
      </c>
      <c r="N393" s="68">
        <f>IF(VLOOKUP($A393,raw_ub[],COLUMN(N$1),FALSE)=0, VLOOKUP($D393, regions_ub[], COLUMN(N$1), FALSE), VLOOKUP($A393,raw_ub[],COLUMN(N$1),FALSE))</f>
        <v>0.43</v>
      </c>
      <c r="O393" s="67">
        <f>IF(VLOOKUP($A393,raw_ub[],COLUMN(O$1),FALSE)=0, VLOOKUP($D393, regions_ub[], COLUMN(O$1), FALSE), VLOOKUP($A393,raw_ub[],COLUMN(O$1),FALSE))</f>
        <v>0.9</v>
      </c>
      <c r="P393" s="68">
        <f>IF(VLOOKUP($A393,raw_ub[],COLUMN(P$1),FALSE)=0, VLOOKUP($D393, regions_ub[], COLUMN(P$1), FALSE), VLOOKUP($A393,raw_ub[],COLUMN(P$1),FALSE))</f>
        <v>0.3</v>
      </c>
      <c r="Q393" s="70">
        <f>IF(VLOOKUP($A393,raw_ub[],COLUMN(Q$1),FALSE)=0, VLOOKUP($D393, regions_ub[], COLUMN(Q$1), FALSE), VLOOKUP($A393,raw_ub[],COLUMN(Q$1),FALSE))</f>
        <v>23.724038674514901</v>
      </c>
      <c r="R393" s="70">
        <f>IF(VLOOKUP($A393,raw_ub[],COLUMN(R$1),FALSE)=0, VLOOKUP($D393, regions_ub[], COLUMN(R$1), FALSE), VLOOKUP($A393,raw_ub[],COLUMN(R$1),FALSE))</f>
        <v>132.70983867451491</v>
      </c>
      <c r="S393" s="70">
        <f>IF(VLOOKUP($A393,raw_ub[],COLUMN(S$1),FALSE)=0, VLOOKUP($D393, regions_ub[], COLUMN(S$1), FALSE), VLOOKUP($A393,raw_ub[],COLUMN(S$1),FALSE))</f>
        <v>204.70772778635339</v>
      </c>
      <c r="T393" s="70">
        <f>IF(VLOOKUP($A393,raw_ub[],COLUMN(U$1)-COLUMN($A$1),FALSE)=0, VLOOKUP($D393, regions_ub[], COLUMN(U$1)-COLUMN($A$1), FALSE), VLOOKUP($A393,raw_ub[],COLUMN(U$1)-COLUMN($A$1),FALSE))</f>
        <v>226.97212393275456</v>
      </c>
      <c r="U393" s="70">
        <f>IF(VLOOKUP($A393,raw_ub[],COLUMN(V$1)-COLUMN($A$1),FALSE)=0, VLOOKUP($D393, regions_ub[], COLUMN(V$1)-COLUMN($A$1), FALSE), VLOOKUP($A393,raw_ub[],COLUMN(V$1)-COLUMN($A$1),FALSE))</f>
        <v>216.74878383170829</v>
      </c>
      <c r="V393" s="70">
        <f>IF(VLOOKUP($A393,raw_ub[],COLUMN(W$1)-COLUMN($A$1),FALSE)=0, VLOOKUP($D393, regions_ub[], COLUMN(W$1)-COLUMN($A$1), FALSE), VLOOKUP($A393,raw_ub[],COLUMN(W$1)-COLUMN($A$1),FALSE))</f>
        <v>18.265099761224281</v>
      </c>
      <c r="W393" s="70">
        <f>IF(VLOOKUP($A393,raw_ub[],COLUMN(X$1)-COLUMN($A$1),FALSE)=0, VLOOKUP($D393, regions_ub[], COLUMN(X$1)-COLUMN($A$1), FALSE), VLOOKUP($A393,raw_ub[],COLUMN(X$1)-COLUMN($A$1),FALSE))</f>
        <v>18.286099761224282</v>
      </c>
      <c r="X393" s="70">
        <f>IF(VLOOKUP($A393,raw_ub[],COLUMN(Y$1)-COLUMN($A$1),FALSE)=0, VLOOKUP($D393, regions_ub[], COLUMN(Y$1)-COLUMN($A$1), FALSE), VLOOKUP($A393,raw_ub[],COLUMN(Y$1)-COLUMN($A$1),FALSE))</f>
        <v>18.236094626882362</v>
      </c>
      <c r="Y393" s="70">
        <f>IF(VLOOKUP($A393,raw_ub[],COLUMN(Z$1)-COLUMN($A$1),FALSE)=0, VLOOKUP($D393, regions_ub[], COLUMN(Z$1)-COLUMN($A$1), FALSE), VLOOKUP($A393,raw_ub[],COLUMN(Z$1)-COLUMN($A$1),FALSE))</f>
        <v>18.257094626882363</v>
      </c>
      <c r="Z393" s="70">
        <f>IF(VLOOKUP($A393,raw_ub[],COLUMN(AA$1)-COLUMN($A$1),FALSE)=0, VLOOKUP($D393, regions_ub[], COLUMN(AA$1)-COLUMN($A$1), FALSE), VLOOKUP($A393,raw_ub[],COLUMN(AA$1)-COLUMN($A$1),FALSE))</f>
        <v>18.241123121500902</v>
      </c>
      <c r="AA393" s="70">
        <f>IF(VLOOKUP($A393,raw_ub[],COLUMN(AB$1)-COLUMN($A$1),FALSE)=0, VLOOKUP($D393, regions_ub[], COLUMN(AB$1)-COLUMN($A$1), FALSE), VLOOKUP($A393,raw_ub[],COLUMN(AB$1)-COLUMN($A$1),FALSE))</f>
        <v>18.271793253764724</v>
      </c>
      <c r="AB393" s="70">
        <f>IF(VLOOKUP($A393,raw_ub[],COLUMN(AC$1)-COLUMN($A$1),FALSE)=0, VLOOKUP($D393, regions_ub[], COLUMN(AC$1)-COLUMN($A$1), FALSE), VLOOKUP($A393,raw_ub[],COLUMN(AC$1)-COLUMN($A$1),FALSE))</f>
        <v>18.292793253764724</v>
      </c>
      <c r="AC393" s="72">
        <f>IF(VLOOKUP($A393,raw_ub[],COLUMN(AD$1)-COLUMN($A$1),FALSE)=0, VLOOKUP($D393, regions_ub[], COLUMN(AD$1)-COLUMN($A$1), FALSE), VLOOKUP($A393,raw_ub[],COLUMN(AD$1)-COLUMN($A$1),FALSE))</f>
        <v>1.8371366999999948E-2</v>
      </c>
      <c r="AD393" s="72">
        <f>IF(VLOOKUP($A393,raw_ub[],COLUMN(AE$1)-COLUMN($A$1),FALSE)=0, VLOOKUP($D393, regions_ub[], COLUMN(AE$1)-COLUMN($A$1), FALSE), VLOOKUP($A393,raw_ub[],COLUMN(AE$1)-COLUMN($A$1),FALSE))</f>
        <v>5.5348698212218128E-4</v>
      </c>
      <c r="AE393" s="72">
        <f>IF(VLOOKUP($A393,raw_ub[],COLUMN(AF$1)-COLUMN($A$1),FALSE)=0, VLOOKUP($D393, regions_ub[], COLUMN(AF$1)-COLUMN($A$1), FALSE), VLOOKUP($A393,raw_ub[],COLUMN(AF$1)-COLUMN($A$1),FALSE))</f>
        <v>5.7846867333960668E-4</v>
      </c>
      <c r="AF393" s="72">
        <f>IF(VLOOKUP($A393,raw_ub[],COLUMN(AG$1)-COLUMN($A$1),FALSE)=0, VLOOKUP($D393, regions_ub[], COLUMN(AG$1)-COLUMN($A$1), FALSE), VLOOKUP($A393,raw_ub[],COLUMN(AG$1)-COLUMN($A$1),FALSE))</f>
        <v>3.3118890600516054E-4</v>
      </c>
      <c r="AG393" s="72">
        <f>IF(VLOOKUP($A393,raw_ub[],COLUMN(AH$1)-COLUMN($A$1),FALSE)=0, VLOOKUP($D393, regions_ub[], COLUMN(AH$1)-COLUMN($A$1), FALSE), VLOOKUP($A393,raw_ub[],COLUMN(AH$1)-COLUMN($A$1),FALSE))</f>
        <v>6.0395139609980707E-4</v>
      </c>
      <c r="AH393" s="72">
        <f>IF(VLOOKUP($A393,raw_ub[],COLUMN(AI$1)-COLUMN($A$1),FALSE)=0, VLOOKUP($D393, regions_ub[], COLUMN(AI$1)-COLUMN($A$1), FALSE), VLOOKUP($A393,raw_ub[],COLUMN(AI$1)-COLUMN($A$1),FALSE))</f>
        <v>1.2334334382935244E-3</v>
      </c>
      <c r="AI393" s="72">
        <f>IF(VLOOKUP($A393,raw_ub[],COLUMN(AJ$1)-COLUMN($A$1),FALSE)=0, VLOOKUP($D393, regions_ub[], COLUMN(AJ$1)-COLUMN($A$1), FALSE), VLOOKUP($A393,raw_ub[],COLUMN(AJ$1)-COLUMN($A$1),FALSE))</f>
        <v>1.9910084127090048E-3</v>
      </c>
      <c r="AJ393" s="72">
        <f>IF(VLOOKUP($A393,raw_ub[],COLUMN(AK$1)-COLUMN($A$1),FALSE)=0, VLOOKUP($D393, regions_ub[], COLUMN(AK$1)-COLUMN($A$1), FALSE), VLOOKUP($A393,raw_ub[],COLUMN(AK$1)-COLUMN($A$1),FALSE))</f>
        <v>2.6970697975910191E-3</v>
      </c>
      <c r="AK393" s="72">
        <f>IF(VLOOKUP($A393,raw_ub[],COLUMN(AL$1)-COLUMN($A$1),FALSE)=0, VLOOKUP($D393, regions_ub[], COLUMN(AL$1)-COLUMN($A$1), FALSE), VLOOKUP($A393,raw_ub[],COLUMN(AL$1)-COLUMN($A$1),FALSE))</f>
        <v>3.3766058241579988E-3</v>
      </c>
      <c r="AL393" s="72">
        <f>IF(VLOOKUP($A393,raw_ub[],COLUMN(AM$1)-COLUMN($A$1),FALSE)=0, VLOOKUP($D393, regions_ub[], COLUMN(AM$1)-COLUMN($A$1), FALSE), VLOOKUP($A393,raw_ub[],COLUMN(AM$1)-COLUMN($A$1),FALSE))</f>
        <v>4.1309305998209287E-3</v>
      </c>
      <c r="AM393" s="72">
        <f>IF(VLOOKUP($A393,raw_ub[],COLUMN(AN$1)-COLUMN($A$1),FALSE)=0, VLOOKUP($D393, regions_ub[], COLUMN(AN$1)-COLUMN($A$1), FALSE), VLOOKUP($A393,raw_ub[],COLUMN(AN$1)-COLUMN($A$1),FALSE))</f>
        <v>5.3094321041114298E-3</v>
      </c>
      <c r="AN393" s="72">
        <f>IF(VLOOKUP($A393,raw_ub[],COLUMN(AO$1)-COLUMN($A$1),FALSE)=0, VLOOKUP($D393, regions_ub[], COLUMN(AO$1)-COLUMN($A$1), FALSE), VLOOKUP($A393,raw_ub[],COLUMN(AO$1)-COLUMN($A$1),FALSE))</f>
        <v>7.6941617681486607E-3</v>
      </c>
      <c r="AO393" s="72">
        <f>IF(VLOOKUP($A393,raw_ub[],COLUMN(AP$1)-COLUMN($A$1),FALSE)=0, VLOOKUP($D393, regions_ub[], COLUMN(AP$1)-COLUMN($A$1), FALSE), VLOOKUP($A393,raw_ub[],COLUMN(AP$1)-COLUMN($A$1),FALSE))</f>
        <v>1.1925245100141316E-2</v>
      </c>
      <c r="AP393" s="72">
        <f>IF(VLOOKUP($A393,raw_ub[],COLUMN(AQ$1)-COLUMN($A$1),FALSE)=0, VLOOKUP($D393, regions_ub[], COLUMN(AQ$1)-COLUMN($A$1), FALSE), VLOOKUP($A393,raw_ub[],COLUMN(AQ$1)-COLUMN($A$1),FALSE))</f>
        <v>1.8412374234507929E-2</v>
      </c>
      <c r="AQ393" s="72">
        <f>IF(VLOOKUP($A393,raw_ub[],COLUMN(AR$1)-COLUMN($A$1),FALSE)=0, VLOOKUP($D393, regions_ub[], COLUMN(AR$1)-COLUMN($A$1), FALSE), VLOOKUP($A393,raw_ub[],COLUMN(AR$1)-COLUMN($A$1),FALSE))</f>
        <v>2.7795866569855308E-2</v>
      </c>
      <c r="AR393" s="72">
        <f>IF(VLOOKUP($A393,raw_ub[],COLUMN(AS$1)-COLUMN($A$1),FALSE)=0, VLOOKUP($D393, regions_ub[], COLUMN(AS$1)-COLUMN($A$1), FALSE), VLOOKUP($A393,raw_ub[],COLUMN(AS$1)-COLUMN($A$1),FALSE))</f>
        <v>4.1160395805510237E-2</v>
      </c>
      <c r="AS393" s="72">
        <f>IF(VLOOKUP($A393,raw_ub[],COLUMN(AT$1)-COLUMN($A$1),FALSE)=0, VLOOKUP($D393, regions_ub[], COLUMN(AT$1)-COLUMN($A$1), FALSE), VLOOKUP($A393,raw_ub[],COLUMN(AT$1)-COLUMN($A$1),FALSE))</f>
        <v>5.9642984510163831E-2</v>
      </c>
      <c r="AT393" s="82">
        <f>IF(VLOOKUP($A393,raw_ub[],COLUMN(AT$1),FALSE)=0, VLOOKUP($D393, regions_ub[], COLUMN(AT$1), FALSE), VLOOKUP($A393,raw_ub[],COLUMN(AT$1),FALSE))</f>
        <v>8.3804937834456056E-2</v>
      </c>
      <c r="AU393" s="82">
        <f>IF(VLOOKUP($A393,raw_ub[],COLUMN(AU$1),FALSE)=0, VLOOKUP($D393, regions_ub[], COLUMN(AU$1), FALSE), VLOOKUP($A393,raw_ub[],COLUMN(AU$1),FALSE))</f>
        <v>0.11195017439742516</v>
      </c>
      <c r="AV393" s="82">
        <f>IF(VLOOKUP($A393,raw_ub[],COLUMN(AV$1),FALSE)=0, VLOOKUP($D393, regions_ub[], COLUMN(AV$1), FALSE), VLOOKUP($A393,raw_ub[],COLUMN(AV$1),FALSE))</f>
        <v>0.14054328098589122</v>
      </c>
      <c r="AW393" s="82">
        <f>IF(VLOOKUP($A393,raw_ub[],COLUMN(AW$1),FALSE)=0, VLOOKUP($D393, regions_ub[], COLUMN(AW$1), FALSE), VLOOKUP($A393,raw_ub[],COLUMN(AW$1),FALSE))</f>
        <v>0.1654472611384466</v>
      </c>
      <c r="AX393" s="82">
        <f>IF(VLOOKUP($A393,raw_ub[],COLUMN(AX$1),FALSE)=0, VLOOKUP($D393, regions_ub[], COLUMN(AX$1), FALSE), VLOOKUP($A393,raw_ub[],COLUMN(AX$1),FALSE))</f>
        <v>75.062399999999997</v>
      </c>
      <c r="AY393" t="str">
        <f t="shared" si="13"/>
        <v>No</v>
      </c>
    </row>
    <row r="394" spans="1:51" x14ac:dyDescent="0.25">
      <c r="A394" s="53" t="s">
        <v>456</v>
      </c>
      <c r="B394" s="54" t="s">
        <v>457</v>
      </c>
      <c r="C394" s="54">
        <v>760</v>
      </c>
      <c r="D394" s="54" t="s">
        <v>196</v>
      </c>
      <c r="E394" s="54" t="s">
        <v>197</v>
      </c>
      <c r="F394" s="54" t="s">
        <v>197</v>
      </c>
      <c r="G394" s="54" t="s">
        <v>198</v>
      </c>
      <c r="H394" s="73"/>
      <c r="I394" s="73"/>
      <c r="J394" s="67">
        <f>IF(VLOOKUP($A394,raw_ub[],COLUMN(J$1),FALSE)=0, VLOOKUP($D394, regions_ub[], COLUMN(J$1), FALSE), VLOOKUP($A394,raw_ub[],COLUMN(J$1),FALSE))</f>
        <v>0.82110000000000005</v>
      </c>
      <c r="K394" s="77">
        <f>VLOOKUP($A394, raw_ub[], 11, FALSE)</f>
        <v>0</v>
      </c>
      <c r="L394" s="77">
        <f>VLOOKUP($A394, raw_ub[], 12, FALSE)</f>
        <v>0.51449999999999996</v>
      </c>
      <c r="M394" s="77">
        <f>IF(VLOOKUP($A394,raw_ub[],COLUMN(M$1),FALSE)=0, VLOOKUP($D394, regions_ub[], COLUMN(M$1), FALSE), VLOOKUP($A394,raw_ub[],COLUMN(M$1),FALSE))</f>
        <v>2.46E-2</v>
      </c>
      <c r="N394" s="68">
        <f>IF(VLOOKUP($A394,raw_ub[],COLUMN(N$1),FALSE)=0, VLOOKUP($D394, regions_ub[], COLUMN(N$1), FALSE), VLOOKUP($A394,raw_ub[],COLUMN(N$1),FALSE))</f>
        <v>0.37619999999999998</v>
      </c>
      <c r="O394" s="67">
        <f>IF(VLOOKUP($A394,raw_ub[],COLUMN(O$1),FALSE)=0, VLOOKUP($D394, regions_ub[], COLUMN(O$1), FALSE), VLOOKUP($A394,raw_ub[],COLUMN(O$1),FALSE))</f>
        <v>0.9</v>
      </c>
      <c r="P394" s="68">
        <f>IF(VLOOKUP($A394,raw_ub[],COLUMN(P$1),FALSE)=0, VLOOKUP($D394, regions_ub[], COLUMN(P$1), FALSE), VLOOKUP($A394,raw_ub[],COLUMN(P$1),FALSE))</f>
        <v>0.3</v>
      </c>
      <c r="Q394" s="70">
        <f>IF(VLOOKUP($A394,raw_ub[],COLUMN(Q$1),FALSE)=0, VLOOKUP($D394, regions_ub[], COLUMN(Q$1), FALSE), VLOOKUP($A394,raw_ub[],COLUMN(Q$1),FALSE))</f>
        <v>18.4758172721479</v>
      </c>
      <c r="R394" s="70">
        <f>IF(VLOOKUP($A394,raw_ub[],COLUMN(R$1),FALSE)=0, VLOOKUP($D394, regions_ub[], COLUMN(R$1), FALSE), VLOOKUP($A394,raw_ub[],COLUMN(R$1),FALSE))</f>
        <v>127.4616172721479</v>
      </c>
      <c r="S394" s="70">
        <f>IF(VLOOKUP($A394,raw_ub[],COLUMN(S$1),FALSE)=0, VLOOKUP($D394, regions_ub[], COLUMN(S$1), FALSE), VLOOKUP($A394,raw_ub[],COLUMN(S$1),FALSE))</f>
        <v>185.10468700476665</v>
      </c>
      <c r="T394" s="70">
        <f>IF(VLOOKUP($A394,raw_ub[],COLUMN(U$1)-COLUMN($A$1),FALSE)=0, VLOOKUP($D394, regions_ub[], COLUMN(U$1)-COLUMN($A$1), FALSE), VLOOKUP($A394,raw_ub[],COLUMN(U$1)-COLUMN($A$1),FALSE))</f>
        <v>199.89790138169292</v>
      </c>
      <c r="U394" s="70">
        <f>IF(VLOOKUP($A394,raw_ub[],COLUMN(V$1)-COLUMN($A$1),FALSE)=0, VLOOKUP($D394, regions_ub[], COLUMN(V$1)-COLUMN($A$1), FALSE), VLOOKUP($A394,raw_ub[],COLUMN(V$1)-COLUMN($A$1),FALSE))</f>
        <v>193.10517002852524</v>
      </c>
      <c r="V394" s="70">
        <f>IF(VLOOKUP($A394,raw_ub[],COLUMN(W$1)-COLUMN($A$1),FALSE)=0, VLOOKUP($D394, regions_ub[], COLUMN(W$1)-COLUMN($A$1), FALSE), VLOOKUP($A394,raw_ub[],COLUMN(W$1)-COLUMN($A$1),FALSE))</f>
        <v>2.6599477050275215</v>
      </c>
      <c r="W394" s="70">
        <f>IF(VLOOKUP($A394,raw_ub[],COLUMN(X$1)-COLUMN($A$1),FALSE)=0, VLOOKUP($D394, regions_ub[], COLUMN(X$1)-COLUMN($A$1), FALSE), VLOOKUP($A394,raw_ub[],COLUMN(X$1)-COLUMN($A$1),FALSE))</f>
        <v>3.1639477050275215</v>
      </c>
      <c r="X394" s="70">
        <f>IF(VLOOKUP($A394,raw_ub[],COLUMN(Y$1)-COLUMN($A$1),FALSE)=0, VLOOKUP($D394, regions_ub[], COLUMN(Y$1)-COLUMN($A$1), FALSE), VLOOKUP($A394,raw_ub[],COLUMN(Y$1)-COLUMN($A$1),FALSE))</f>
        <v>2.6363999062220804</v>
      </c>
      <c r="Y394" s="70">
        <f>IF(VLOOKUP($A394,raw_ub[],COLUMN(Z$1)-COLUMN($A$1),FALSE)=0, VLOOKUP($D394, regions_ub[], COLUMN(Z$1)-COLUMN($A$1), FALSE), VLOOKUP($A394,raw_ub[],COLUMN(Z$1)-COLUMN($A$1),FALSE))</f>
        <v>3.1403999062220804</v>
      </c>
      <c r="Z394" s="70">
        <f>IF(VLOOKUP($A394,raw_ub[],COLUMN(AA$1)-COLUMN($A$1),FALSE)=0, VLOOKUP($D394, regions_ub[], COLUMN(AA$1)-COLUMN($A$1), FALSE), VLOOKUP($A394,raw_ub[],COLUMN(AA$1)-COLUMN($A$1),FALSE))</f>
        <v>3.126656182701641</v>
      </c>
      <c r="AA394" s="70">
        <f>IF(VLOOKUP($A394,raw_ub[],COLUMN(AB$1)-COLUMN($A$1),FALSE)=0, VLOOKUP($D394, regions_ub[], COLUMN(AB$1)-COLUMN($A$1), FALSE), VLOOKUP($A394,raw_ub[],COLUMN(AB$1)-COLUMN($A$1),FALSE))</f>
        <v>2.6653818124441617</v>
      </c>
      <c r="AB394" s="70">
        <f>IF(VLOOKUP($A394,raw_ub[],COLUMN(AC$1)-COLUMN($A$1),FALSE)=0, VLOOKUP($D394, regions_ub[], COLUMN(AC$1)-COLUMN($A$1), FALSE), VLOOKUP($A394,raw_ub[],COLUMN(AC$1)-COLUMN($A$1),FALSE))</f>
        <v>3.1693818124441617</v>
      </c>
      <c r="AC394" s="72">
        <f>IF(VLOOKUP($A394,raw_ub[],COLUMN(AD$1)-COLUMN($A$1),FALSE)=0, VLOOKUP($D394, regions_ub[], COLUMN(AD$1)-COLUMN($A$1), FALSE), VLOOKUP($A394,raw_ub[],COLUMN(AD$1)-COLUMN($A$1),FALSE))</f>
        <v>1.6321021500000019E-2</v>
      </c>
      <c r="AD394" s="72">
        <f>IF(VLOOKUP($A394,raw_ub[],COLUMN(AE$1)-COLUMN($A$1),FALSE)=0, VLOOKUP($D394, regions_ub[], COLUMN(AE$1)-COLUMN($A$1), FALSE), VLOOKUP($A394,raw_ub[],COLUMN(AE$1)-COLUMN($A$1),FALSE))</f>
        <v>5.9457230584474008E-4</v>
      </c>
      <c r="AE394" s="72">
        <f>IF(VLOOKUP($A394,raw_ub[],COLUMN(AF$1)-COLUMN($A$1),FALSE)=0, VLOOKUP($D394, regions_ub[], COLUMN(AF$1)-COLUMN($A$1), FALSE), VLOOKUP($A394,raw_ub[],COLUMN(AF$1)-COLUMN($A$1),FALSE))</f>
        <v>3.7231133508392654E-4</v>
      </c>
      <c r="AF394" s="72">
        <f>IF(VLOOKUP($A394,raw_ub[],COLUMN(AG$1)-COLUMN($A$1),FALSE)=0, VLOOKUP($D394, regions_ub[], COLUMN(AG$1)-COLUMN($A$1), FALSE), VLOOKUP($A394,raw_ub[],COLUMN(AG$1)-COLUMN($A$1),FALSE))</f>
        <v>3.3189505185058889E-4</v>
      </c>
      <c r="AG394" s="72">
        <f>IF(VLOOKUP($A394,raw_ub[],COLUMN(AH$1)-COLUMN($A$1),FALSE)=0, VLOOKUP($D394, regions_ub[], COLUMN(AH$1)-COLUMN($A$1), FALSE), VLOOKUP($A394,raw_ub[],COLUMN(AH$1)-COLUMN($A$1),FALSE))</f>
        <v>2.2550427309636308E-3</v>
      </c>
      <c r="AH394" s="72">
        <f>IF(VLOOKUP($A394,raw_ub[],COLUMN(AI$1)-COLUMN($A$1),FALSE)=0, VLOOKUP($D394, regions_ub[], COLUMN(AI$1)-COLUMN($A$1), FALSE), VLOOKUP($A394,raw_ub[],COLUMN(AI$1)-COLUMN($A$1),FALSE))</f>
        <v>3.2909142421129289E-3</v>
      </c>
      <c r="AI394" s="72">
        <f>IF(VLOOKUP($A394,raw_ub[],COLUMN(AJ$1)-COLUMN($A$1),FALSE)=0, VLOOKUP($D394, regions_ub[], COLUMN(AJ$1)-COLUMN($A$1), FALSE), VLOOKUP($A394,raw_ub[],COLUMN(AJ$1)-COLUMN($A$1),FALSE))</f>
        <v>4.8811839491137267E-3</v>
      </c>
      <c r="AJ394" s="72">
        <f>IF(VLOOKUP($A394,raw_ub[],COLUMN(AK$1)-COLUMN($A$1),FALSE)=0, VLOOKUP($D394, regions_ub[], COLUMN(AK$1)-COLUMN($A$1), FALSE), VLOOKUP($A394,raw_ub[],COLUMN(AK$1)-COLUMN($A$1),FALSE))</f>
        <v>4.1932358571168385E-3</v>
      </c>
      <c r="AK394" s="72">
        <f>IF(VLOOKUP($A394,raw_ub[],COLUMN(AL$1)-COLUMN($A$1),FALSE)=0, VLOOKUP($D394, regions_ub[], COLUMN(AL$1)-COLUMN($A$1), FALSE), VLOOKUP($A394,raw_ub[],COLUMN(AL$1)-COLUMN($A$1),FALSE))</f>
        <v>2.8568133535646677E-3</v>
      </c>
      <c r="AL394" s="72">
        <f>IF(VLOOKUP($A394,raw_ub[],COLUMN(AM$1)-COLUMN($A$1),FALSE)=0, VLOOKUP($D394, regions_ub[], COLUMN(AM$1)-COLUMN($A$1), FALSE), VLOOKUP($A394,raw_ub[],COLUMN(AM$1)-COLUMN($A$1),FALSE))</f>
        <v>2.8583233015923681E-3</v>
      </c>
      <c r="AM394" s="72">
        <f>IF(VLOOKUP($A394,raw_ub[],COLUMN(AN$1)-COLUMN($A$1),FALSE)=0, VLOOKUP($D394, regions_ub[], COLUMN(AN$1)-COLUMN($A$1), FALSE), VLOOKUP($A394,raw_ub[],COLUMN(AN$1)-COLUMN($A$1),FALSE))</f>
        <v>4.2693574561719801E-3</v>
      </c>
      <c r="AN394" s="72">
        <f>IF(VLOOKUP($A394,raw_ub[],COLUMN(AO$1)-COLUMN($A$1),FALSE)=0, VLOOKUP($D394, regions_ub[], COLUMN(AO$1)-COLUMN($A$1), FALSE), VLOOKUP($A394,raw_ub[],COLUMN(AO$1)-COLUMN($A$1),FALSE))</f>
        <v>6.9541385979065831E-3</v>
      </c>
      <c r="AO394" s="72">
        <f>IF(VLOOKUP($A394,raw_ub[],COLUMN(AP$1)-COLUMN($A$1),FALSE)=0, VLOOKUP($D394, regions_ub[], COLUMN(AP$1)-COLUMN($A$1), FALSE), VLOOKUP($A394,raw_ub[],COLUMN(AP$1)-COLUMN($A$1),FALSE))</f>
        <v>8.5161682514391396E-3</v>
      </c>
      <c r="AP394" s="72">
        <f>IF(VLOOKUP($A394,raw_ub[],COLUMN(AQ$1)-COLUMN($A$1),FALSE)=0, VLOOKUP($D394, regions_ub[], COLUMN(AQ$1)-COLUMN($A$1), FALSE), VLOOKUP($A394,raw_ub[],COLUMN(AQ$1)-COLUMN($A$1),FALSE))</f>
        <v>1.366296456727493E-2</v>
      </c>
      <c r="AQ394" s="72">
        <f>IF(VLOOKUP($A394,raw_ub[],COLUMN(AR$1)-COLUMN($A$1),FALSE)=0, VLOOKUP($D394, regions_ub[], COLUMN(AR$1)-COLUMN($A$1), FALSE), VLOOKUP($A394,raw_ub[],COLUMN(AR$1)-COLUMN($A$1),FALSE))</f>
        <v>2.2653173044982673E-2</v>
      </c>
      <c r="AR394" s="72">
        <f>IF(VLOOKUP($A394,raw_ub[],COLUMN(AS$1)-COLUMN($A$1),FALSE)=0, VLOOKUP($D394, regions_ub[], COLUMN(AS$1)-COLUMN($A$1), FALSE), VLOOKUP($A394,raw_ub[],COLUMN(AS$1)-COLUMN($A$1),FALSE))</f>
        <v>3.7272474862667791E-2</v>
      </c>
      <c r="AS394" s="72">
        <f>IF(VLOOKUP($A394,raw_ub[],COLUMN(AT$1)-COLUMN($A$1),FALSE)=0, VLOOKUP($D394, regions_ub[], COLUMN(AT$1)-COLUMN($A$1), FALSE), VLOOKUP($A394,raw_ub[],COLUMN(AT$1)-COLUMN($A$1),FALSE))</f>
        <v>5.4760644806118496E-2</v>
      </c>
      <c r="AT394" s="82">
        <f>IF(VLOOKUP($A394,raw_ub[],COLUMN(AT$1),FALSE)=0, VLOOKUP($D394, regions_ub[], COLUMN(AT$1), FALSE), VLOOKUP($A394,raw_ub[],COLUMN(AT$1),FALSE))</f>
        <v>8.6875391871879828E-2</v>
      </c>
      <c r="AU394" s="82">
        <f>IF(VLOOKUP($A394,raw_ub[],COLUMN(AU$1),FALSE)=0, VLOOKUP($D394, regions_ub[], COLUMN(AU$1), FALSE), VLOOKUP($A394,raw_ub[],COLUMN(AU$1),FALSE))</f>
        <v>0.12335531144691679</v>
      </c>
      <c r="AV394" s="82">
        <f>IF(VLOOKUP($A394,raw_ub[],COLUMN(AV$1),FALSE)=0, VLOOKUP($D394, regions_ub[], COLUMN(AV$1), FALSE), VLOOKUP($A394,raw_ub[],COLUMN(AV$1),FALSE))</f>
        <v>0.15828556870058197</v>
      </c>
      <c r="AW394" s="82">
        <f>IF(VLOOKUP($A394,raw_ub[],COLUMN(AW$1),FALSE)=0, VLOOKUP($D394, regions_ub[], COLUMN(AW$1), FALSE), VLOOKUP($A394,raw_ub[],COLUMN(AW$1),FALSE))</f>
        <v>0.18155357760825275</v>
      </c>
      <c r="AX394" s="82">
        <f>IF(VLOOKUP($A394,raw_ub[],COLUMN(AX$1),FALSE)=0, VLOOKUP($D394, regions_ub[], COLUMN(AX$1), FALSE), VLOOKUP($A394,raw_ub[],COLUMN(AX$1),FALSE))</f>
        <v>74.885999999999996</v>
      </c>
      <c r="AY394" t="str">
        <f t="shared" si="13"/>
        <v>Yes</v>
      </c>
    </row>
    <row r="395" spans="1:51" x14ac:dyDescent="0.25">
      <c r="A395" s="55" t="s">
        <v>458</v>
      </c>
      <c r="B395" s="56" t="s">
        <v>459</v>
      </c>
      <c r="C395" s="56">
        <v>762</v>
      </c>
      <c r="D395" s="56" t="s">
        <v>201</v>
      </c>
      <c r="E395" s="56" t="s">
        <v>220</v>
      </c>
      <c r="F395" s="56" t="s">
        <v>203</v>
      </c>
      <c r="G395" s="56" t="s">
        <v>198</v>
      </c>
      <c r="H395" s="74"/>
      <c r="I395" s="74"/>
      <c r="J395" s="67">
        <f>IF(VLOOKUP($A395,raw_ub[],COLUMN(J$1),FALSE)=0, VLOOKUP($D395, regions_ub[], COLUMN(J$1), FALSE), VLOOKUP($A395,raw_ub[],COLUMN(J$1),FALSE))</f>
        <v>0.92610000000000003</v>
      </c>
      <c r="K395" s="77">
        <f>VLOOKUP($A395, raw_ub[], 11, FALSE)</f>
        <v>0.999</v>
      </c>
      <c r="L395" s="77">
        <f>VLOOKUP($A395, raw_ub[], 12, FALSE)</f>
        <v>0.999</v>
      </c>
      <c r="M395" s="77">
        <f>IF(VLOOKUP($A395,raw_ub[],COLUMN(M$1),FALSE)=0, VLOOKUP($D395, regions_ub[], COLUMN(M$1), FALSE), VLOOKUP($A395,raw_ub[],COLUMN(M$1),FALSE))</f>
        <v>5.8600000000000006E-2</v>
      </c>
      <c r="N395" s="68">
        <f>IF(VLOOKUP($A395,raw_ub[],COLUMN(N$1),FALSE)=0, VLOOKUP($D395, regions_ub[], COLUMN(N$1), FALSE), VLOOKUP($A395,raw_ub[],COLUMN(N$1),FALSE))</f>
        <v>0.43079999999999996</v>
      </c>
      <c r="O395" s="67">
        <f>IF(VLOOKUP($A395,raw_ub[],COLUMN(O$1),FALSE)=0, VLOOKUP($D395, regions_ub[], COLUMN(O$1), FALSE), VLOOKUP($A395,raw_ub[],COLUMN(O$1),FALSE))</f>
        <v>0.9</v>
      </c>
      <c r="P395" s="68">
        <f>IF(VLOOKUP($A395,raw_ub[],COLUMN(P$1),FALSE)=0, VLOOKUP($D395, regions_ub[], COLUMN(P$1), FALSE), VLOOKUP($A395,raw_ub[],COLUMN(P$1),FALSE))</f>
        <v>0.3</v>
      </c>
      <c r="Q395" s="70">
        <f>IF(VLOOKUP($A395,raw_ub[],COLUMN(Q$1),FALSE)=0, VLOOKUP($D395, regions_ub[], COLUMN(Q$1), FALSE), VLOOKUP($A395,raw_ub[],COLUMN(Q$1),FALSE))</f>
        <v>8.0443734104046207</v>
      </c>
      <c r="R395" s="70">
        <f>IF(VLOOKUP($A395,raw_ub[],COLUMN(R$1),FALSE)=0, VLOOKUP($D395, regions_ub[], COLUMN(R$1), FALSE), VLOOKUP($A395,raw_ub[],COLUMN(R$1),FALSE))</f>
        <v>117.03017341040463</v>
      </c>
      <c r="S395" s="70">
        <f>IF(VLOOKUP($A395,raw_ub[],COLUMN(S$1),FALSE)=0, VLOOKUP($D395, regions_ub[], COLUMN(S$1), FALSE), VLOOKUP($A395,raw_ub[],COLUMN(S$1),FALSE))</f>
        <v>150.57083411728371</v>
      </c>
      <c r="T395" s="70">
        <f>IF(VLOOKUP($A395,raw_ub[],COLUMN(U$1)-COLUMN($A$1),FALSE)=0, VLOOKUP($D395, regions_ub[], COLUMN(U$1)-COLUMN($A$1), FALSE), VLOOKUP($A395,raw_ub[],COLUMN(U$1)-COLUMN($A$1),FALSE))</f>
        <v>152.81958700316471</v>
      </c>
      <c r="U395" s="70">
        <f>IF(VLOOKUP($A395,raw_ub[],COLUMN(V$1)-COLUMN($A$1),FALSE)=0, VLOOKUP($D395, regions_ub[], COLUMN(V$1)-COLUMN($A$1), FALSE), VLOOKUP($A395,raw_ub[],COLUMN(V$1)-COLUMN($A$1),FALSE))</f>
        <v>151.78700721054872</v>
      </c>
      <c r="V395" s="70">
        <f>IF(VLOOKUP($A395,raw_ub[],COLUMN(W$1)-COLUMN($A$1),FALSE)=0, VLOOKUP($D395, regions_ub[], COLUMN(W$1)-COLUMN($A$1), FALSE), VLOOKUP($A395,raw_ub[],COLUMN(W$1)-COLUMN($A$1),FALSE))</f>
        <v>6.3700085689468793</v>
      </c>
      <c r="W395" s="70">
        <f>IF(VLOOKUP($A395,raw_ub[],COLUMN(X$1)-COLUMN($A$1),FALSE)=0, VLOOKUP($D395, regions_ub[], COLUMN(X$1)-COLUMN($A$1), FALSE), VLOOKUP($A395,raw_ub[],COLUMN(X$1)-COLUMN($A$1),FALSE))</f>
        <v>10.64350856894688</v>
      </c>
      <c r="X395" s="70">
        <f>IF(VLOOKUP($A395,raw_ub[],COLUMN(Y$1)-COLUMN($A$1),FALSE)=0, VLOOKUP($D395, regions_ub[], COLUMN(Y$1)-COLUMN($A$1), FALSE), VLOOKUP($A395,raw_ub[],COLUMN(Y$1)-COLUMN($A$1),FALSE))</f>
        <v>6.3603650035568986</v>
      </c>
      <c r="Y395" s="70">
        <f>IF(VLOOKUP($A395,raw_ub[],COLUMN(Z$1)-COLUMN($A$1),FALSE)=0, VLOOKUP($D395, regions_ub[], COLUMN(Z$1)-COLUMN($A$1), FALSE), VLOOKUP($A395,raw_ub[],COLUMN(Z$1)-COLUMN($A$1),FALSE))</f>
        <v>10.633865003556899</v>
      </c>
      <c r="Z395" s="70">
        <f>IF(VLOOKUP($A395,raw_ub[],COLUMN(AA$1)-COLUMN($A$1),FALSE)=0, VLOOKUP($D395, regions_ub[], COLUMN(AA$1)-COLUMN($A$1), FALSE), VLOOKUP($A395,raw_ub[],COLUMN(AA$1)-COLUMN($A$1),FALSE))</f>
        <v>10.628359984897195</v>
      </c>
      <c r="AA395" s="70">
        <f>IF(VLOOKUP($A395,raw_ub[],COLUMN(AB$1)-COLUMN($A$1),FALSE)=0, VLOOKUP($D395, regions_ub[], COLUMN(AB$1)-COLUMN($A$1), FALSE), VLOOKUP($A395,raw_ub[],COLUMN(AB$1)-COLUMN($A$1),FALSE))</f>
        <v>6.3722340071137982</v>
      </c>
      <c r="AB395" s="70">
        <f>IF(VLOOKUP($A395,raw_ub[],COLUMN(AC$1)-COLUMN($A$1),FALSE)=0, VLOOKUP($D395, regions_ub[], COLUMN(AC$1)-COLUMN($A$1), FALSE), VLOOKUP($A395,raw_ub[],COLUMN(AC$1)-COLUMN($A$1),FALSE))</f>
        <v>10.645734007113798</v>
      </c>
      <c r="AC395" s="72">
        <f>IF(VLOOKUP($A395,raw_ub[],COLUMN(AD$1)-COLUMN($A$1),FALSE)=0, VLOOKUP($D395, regions_ub[], COLUMN(AD$1)-COLUMN($A$1), FALSE), VLOOKUP($A395,raw_ub[],COLUMN(AD$1)-COLUMN($A$1),FALSE))</f>
        <v>3.0739002000000053E-2</v>
      </c>
      <c r="AD395" s="72">
        <f>IF(VLOOKUP($A395,raw_ub[],COLUMN(AE$1)-COLUMN($A$1),FALSE)=0, VLOOKUP($D395, regions_ub[], COLUMN(AE$1)-COLUMN($A$1), FALSE), VLOOKUP($A395,raw_ub[],COLUMN(AE$1)-COLUMN($A$1),FALSE))</f>
        <v>8.146053933969766E-4</v>
      </c>
      <c r="AE395" s="72">
        <f>IF(VLOOKUP($A395,raw_ub[],COLUMN(AF$1)-COLUMN($A$1),FALSE)=0, VLOOKUP($D395, regions_ub[], COLUMN(AF$1)-COLUMN($A$1), FALSE), VLOOKUP($A395,raw_ub[],COLUMN(AF$1)-COLUMN($A$1),FALSE))</f>
        <v>2.0111306836170293E-4</v>
      </c>
      <c r="AF395" s="72">
        <f>IF(VLOOKUP($A395,raw_ub[],COLUMN(AG$1)-COLUMN($A$1),FALSE)=0, VLOOKUP($D395, regions_ub[], COLUMN(AG$1)-COLUMN($A$1), FALSE), VLOOKUP($A395,raw_ub[],COLUMN(AG$1)-COLUMN($A$1),FALSE))</f>
        <v>2.103485013672831E-4</v>
      </c>
      <c r="AG395" s="72">
        <f>IF(VLOOKUP($A395,raw_ub[],COLUMN(AH$1)-COLUMN($A$1),FALSE)=0, VLOOKUP($D395, regions_ub[], COLUMN(AH$1)-COLUMN($A$1), FALSE), VLOOKUP($A395,raw_ub[],COLUMN(AH$1)-COLUMN($A$1),FALSE))</f>
        <v>3.48576832137598E-4</v>
      </c>
      <c r="AH395" s="72">
        <f>IF(VLOOKUP($A395,raw_ub[],COLUMN(AI$1)-COLUMN($A$1),FALSE)=0, VLOOKUP($D395, regions_ub[], COLUMN(AI$1)-COLUMN($A$1), FALSE), VLOOKUP($A395,raw_ub[],COLUMN(AI$1)-COLUMN($A$1),FALSE))</f>
        <v>5.363655507820013E-4</v>
      </c>
      <c r="AI395" s="72">
        <f>IF(VLOOKUP($A395,raw_ub[],COLUMN(AJ$1)-COLUMN($A$1),FALSE)=0, VLOOKUP($D395, regions_ub[], COLUMN(AJ$1)-COLUMN($A$1), FALSE), VLOOKUP($A395,raw_ub[],COLUMN(AJ$1)-COLUMN($A$1),FALSE))</f>
        <v>8.9840572406592496E-4</v>
      </c>
      <c r="AJ395" s="72">
        <f>IF(VLOOKUP($A395,raw_ub[],COLUMN(AK$1)-COLUMN($A$1),FALSE)=0, VLOOKUP($D395, regions_ub[], COLUMN(AK$1)-COLUMN($A$1), FALSE), VLOOKUP($A395,raw_ub[],COLUMN(AK$1)-COLUMN($A$1),FALSE))</f>
        <v>1.3809468733470809E-3</v>
      </c>
      <c r="AK395" s="72">
        <f>IF(VLOOKUP($A395,raw_ub[],COLUMN(AL$1)-COLUMN($A$1),FALSE)=0, VLOOKUP($D395, regions_ub[], COLUMN(AL$1)-COLUMN($A$1), FALSE), VLOOKUP($A395,raw_ub[],COLUMN(AL$1)-COLUMN($A$1),FALSE))</f>
        <v>2.1127202667968726E-3</v>
      </c>
      <c r="AL395" s="72">
        <f>IF(VLOOKUP($A395,raw_ub[],COLUMN(AM$1)-COLUMN($A$1),FALSE)=0, VLOOKUP($D395, regions_ub[], COLUMN(AM$1)-COLUMN($A$1), FALSE), VLOOKUP($A395,raw_ub[],COLUMN(AM$1)-COLUMN($A$1),FALSE))</f>
        <v>2.6797949890995489E-3</v>
      </c>
      <c r="AM395" s="72">
        <f>IF(VLOOKUP($A395,raw_ub[],COLUMN(AN$1)-COLUMN($A$1),FALSE)=0, VLOOKUP($D395, regions_ub[], COLUMN(AN$1)-COLUMN($A$1), FALSE), VLOOKUP($A395,raw_ub[],COLUMN(AN$1)-COLUMN($A$1),FALSE))</f>
        <v>3.8215524932911668E-3</v>
      </c>
      <c r="AN395" s="72">
        <f>IF(VLOOKUP($A395,raw_ub[],COLUMN(AO$1)-COLUMN($A$1),FALSE)=0, VLOOKUP($D395, regions_ub[], COLUMN(AO$1)-COLUMN($A$1), FALSE), VLOOKUP($A395,raw_ub[],COLUMN(AO$1)-COLUMN($A$1),FALSE))</f>
        <v>6.2848753165892085E-3</v>
      </c>
      <c r="AO395" s="72">
        <f>IF(VLOOKUP($A395,raw_ub[],COLUMN(AP$1)-COLUMN($A$1),FALSE)=0, VLOOKUP($D395, regions_ub[], COLUMN(AP$1)-COLUMN($A$1), FALSE), VLOOKUP($A395,raw_ub[],COLUMN(AP$1)-COLUMN($A$1),FALSE))</f>
        <v>1.1188973903740103E-2</v>
      </c>
      <c r="AP395" s="72">
        <f>IF(VLOOKUP($A395,raw_ub[],COLUMN(AQ$1)-COLUMN($A$1),FALSE)=0, VLOOKUP($D395, regions_ub[], COLUMN(AQ$1)-COLUMN($A$1), FALSE), VLOOKUP($A395,raw_ub[],COLUMN(AQ$1)-COLUMN($A$1),FALSE))</f>
        <v>1.9322771786814449E-2</v>
      </c>
      <c r="AQ395" s="72">
        <f>IF(VLOOKUP($A395,raw_ub[],COLUMN(AR$1)-COLUMN($A$1),FALSE)=0, VLOOKUP($D395, regions_ub[], COLUMN(AR$1)-COLUMN($A$1), FALSE), VLOOKUP($A395,raw_ub[],COLUMN(AR$1)-COLUMN($A$1),FALSE))</f>
        <v>3.027648826426697E-2</v>
      </c>
      <c r="AR395" s="72">
        <f>IF(VLOOKUP($A395,raw_ub[],COLUMN(AS$1)-COLUMN($A$1),FALSE)=0, VLOOKUP($D395, regions_ub[], COLUMN(AS$1)-COLUMN($A$1), FALSE), VLOOKUP($A395,raw_ub[],COLUMN(AS$1)-COLUMN($A$1),FALSE))</f>
        <v>4.9993099388046178E-2</v>
      </c>
      <c r="AS395" s="72">
        <f>IF(VLOOKUP($A395,raw_ub[],COLUMN(AT$1)-COLUMN($A$1),FALSE)=0, VLOOKUP($D395, regions_ub[], COLUMN(AT$1)-COLUMN($A$1), FALSE), VLOOKUP($A395,raw_ub[],COLUMN(AT$1)-COLUMN($A$1),FALSE))</f>
        <v>7.7598678114881289E-2</v>
      </c>
      <c r="AT395" s="82">
        <f>IF(VLOOKUP($A395,raw_ub[],COLUMN(AT$1),FALSE)=0, VLOOKUP($D395, regions_ub[], COLUMN(AT$1), FALSE), VLOOKUP($A395,raw_ub[],COLUMN(AT$1),FALSE))</f>
        <v>0.1109403770688054</v>
      </c>
      <c r="AU395" s="82">
        <f>IF(VLOOKUP($A395,raw_ub[],COLUMN(AU$1),FALSE)=0, VLOOKUP($D395, regions_ub[], COLUMN(AU$1), FALSE), VLOOKUP($A395,raw_ub[],COLUMN(AU$1),FALSE))</f>
        <v>0.14401976232239924</v>
      </c>
      <c r="AV395" s="82">
        <f>IF(VLOOKUP($A395,raw_ub[],COLUMN(AV$1),FALSE)=0, VLOOKUP($D395, regions_ub[], COLUMN(AV$1), FALSE), VLOOKUP($A395,raw_ub[],COLUMN(AV$1),FALSE))</f>
        <v>0.1726566196803698</v>
      </c>
      <c r="AW395" s="82">
        <f>IF(VLOOKUP($A395,raw_ub[],COLUMN(AW$1),FALSE)=0, VLOOKUP($D395, regions_ub[], COLUMN(AW$1), FALSE), VLOOKUP($A395,raw_ub[],COLUMN(AW$1),FALSE))</f>
        <v>0.1913699596897393</v>
      </c>
      <c r="AX395" s="82">
        <f>IF(VLOOKUP($A395,raw_ub[],COLUMN(AX$1),FALSE)=0, VLOOKUP($D395, regions_ub[], COLUMN(AX$1), FALSE), VLOOKUP($A395,raw_ub[],COLUMN(AX$1),FALSE))</f>
        <v>74.308499999999995</v>
      </c>
      <c r="AY395" t="str">
        <f t="shared" si="13"/>
        <v>No</v>
      </c>
    </row>
    <row r="396" spans="1:51" x14ac:dyDescent="0.25">
      <c r="A396" s="53" t="s">
        <v>460</v>
      </c>
      <c r="B396" s="54" t="s">
        <v>461</v>
      </c>
      <c r="C396" s="54">
        <v>834</v>
      </c>
      <c r="D396" s="54" t="s">
        <v>207</v>
      </c>
      <c r="E396" s="54" t="s">
        <v>255</v>
      </c>
      <c r="F396" s="54" t="s">
        <v>211</v>
      </c>
      <c r="G396" s="54" t="s">
        <v>198</v>
      </c>
      <c r="H396" s="73"/>
      <c r="I396" s="73"/>
      <c r="J396" s="67">
        <f>IF(VLOOKUP($A396,raw_ub[],COLUMN(J$1),FALSE)=0, VLOOKUP($D396, regions_ub[], COLUMN(J$1), FALSE), VLOOKUP($A396,raw_ub[],COLUMN(J$1),FALSE))</f>
        <v>0.6573</v>
      </c>
      <c r="K396" s="77">
        <f>VLOOKUP($A396, raw_ub[], 11, FALSE)</f>
        <v>0</v>
      </c>
      <c r="L396" s="77">
        <f>VLOOKUP($A396, raw_ub[], 12, FALSE)</f>
        <v>0.90300000000000002</v>
      </c>
      <c r="M396" s="77">
        <f>IF(VLOOKUP($A396,raw_ub[],COLUMN(M$1),FALSE)=0, VLOOKUP($D396, regions_ub[], COLUMN(M$1), FALSE), VLOOKUP($A396,raw_ub[],COLUMN(M$1),FALSE))</f>
        <v>4.8799999999999996E-2</v>
      </c>
      <c r="N396" s="68">
        <f>IF(VLOOKUP($A396,raw_ub[],COLUMN(N$1),FALSE)=0, VLOOKUP($D396, regions_ub[], COLUMN(N$1), FALSE), VLOOKUP($A396,raw_ub[],COLUMN(N$1),FALSE))</f>
        <v>0.39960000000000001</v>
      </c>
      <c r="O396" s="67">
        <f>IF(VLOOKUP($A396,raw_ub[],COLUMN(O$1),FALSE)=0, VLOOKUP($D396, regions_ub[], COLUMN(O$1), FALSE), VLOOKUP($A396,raw_ub[],COLUMN(O$1),FALSE))</f>
        <v>0.74399999999999999</v>
      </c>
      <c r="P396" s="68">
        <f>IF(VLOOKUP($A396,raw_ub[],COLUMN(P$1),FALSE)=0, VLOOKUP($D396, regions_ub[], COLUMN(P$1), FALSE), VLOOKUP($A396,raw_ub[],COLUMN(P$1),FALSE))</f>
        <v>0.13300000000000001</v>
      </c>
      <c r="Q396" s="70">
        <f>IF(VLOOKUP($A396,raw_ub[],COLUMN(Q$1),FALSE)=0, VLOOKUP($D396, regions_ub[], COLUMN(Q$1), FALSE), VLOOKUP($A396,raw_ub[],COLUMN(Q$1),FALSE))</f>
        <v>6.9526269662921303</v>
      </c>
      <c r="R396" s="70">
        <f>IF(VLOOKUP($A396,raw_ub[],COLUMN(R$1),FALSE)=0, VLOOKUP($D396, regions_ub[], COLUMN(R$1), FALSE), VLOOKUP($A396,raw_ub[],COLUMN(R$1),FALSE))</f>
        <v>115.93842696629214</v>
      </c>
      <c r="S396" s="70">
        <f>IF(VLOOKUP($A396,raw_ub[],COLUMN(S$1),FALSE)=0, VLOOKUP($D396, regions_ub[], COLUMN(S$1), FALSE), VLOOKUP($A396,raw_ub[],COLUMN(S$1),FALSE))</f>
        <v>147.76003279197857</v>
      </c>
      <c r="T396" s="70">
        <f>IF(VLOOKUP($A396,raw_ub[],COLUMN(U$1)-COLUMN($A$1),FALSE)=0, VLOOKUP($D396, regions_ub[], COLUMN(U$1)-COLUMN($A$1), FALSE), VLOOKUP($A396,raw_ub[],COLUMN(U$1)-COLUMN($A$1),FALSE))</f>
        <v>149.11407769513951</v>
      </c>
      <c r="U396" s="70">
        <f>IF(VLOOKUP($A396,raw_ub[],COLUMN(V$1)-COLUMN($A$1),FALSE)=0, VLOOKUP($D396, regions_ub[], COLUMN(V$1)-COLUMN($A$1), FALSE), VLOOKUP($A396,raw_ub[],COLUMN(V$1)-COLUMN($A$1),FALSE))</f>
        <v>148.49232889647112</v>
      </c>
      <c r="V396" s="70">
        <f>IF(VLOOKUP($A396,raw_ub[],COLUMN(W$1)-COLUMN($A$1),FALSE)=0, VLOOKUP($D396, regions_ub[], COLUMN(W$1)-COLUMN($A$1), FALSE), VLOOKUP($A396,raw_ub[],COLUMN(W$1)-COLUMN($A$1),FALSE))</f>
        <v>5.2505609536740296</v>
      </c>
      <c r="W396" s="70">
        <f>IF(VLOOKUP($A396,raw_ub[],COLUMN(X$1)-COLUMN($A$1),FALSE)=0, VLOOKUP($D396, regions_ub[], COLUMN(X$1)-COLUMN($A$1), FALSE), VLOOKUP($A396,raw_ub[],COLUMN(X$1)-COLUMN($A$1),FALSE))</f>
        <v>10.322060953674029</v>
      </c>
      <c r="X396" s="70">
        <f>IF(VLOOKUP($A396,raw_ub[],COLUMN(Y$1)-COLUMN($A$1),FALSE)=0, VLOOKUP($D396, regions_ub[], COLUMN(Y$1)-COLUMN($A$1), FALSE), VLOOKUP($A396,raw_ub[],COLUMN(Y$1)-COLUMN($A$1),FALSE))</f>
        <v>5.2391662503029126</v>
      </c>
      <c r="Y396" s="70">
        <f>IF(VLOOKUP($A396,raw_ub[],COLUMN(Z$1)-COLUMN($A$1),FALSE)=0, VLOOKUP($D396, regions_ub[], COLUMN(Z$1)-COLUMN($A$1), FALSE), VLOOKUP($A396,raw_ub[],COLUMN(Z$1)-COLUMN($A$1),FALSE))</f>
        <v>10.310666250302912</v>
      </c>
      <c r="Z396" s="70">
        <f>IF(VLOOKUP($A396,raw_ub[],COLUMN(AA$1)-COLUMN($A$1),FALSE)=0, VLOOKUP($D396, regions_ub[], COLUMN(AA$1)-COLUMN($A$1), FALSE), VLOOKUP($A396,raw_ub[],COLUMN(AA$1)-COLUMN($A$1),FALSE))</f>
        <v>10.304615854700398</v>
      </c>
      <c r="AA396" s="70">
        <f>IF(VLOOKUP($A396,raw_ub[],COLUMN(AB$1)-COLUMN($A$1),FALSE)=0, VLOOKUP($D396, regions_ub[], COLUMN(AB$1)-COLUMN($A$1), FALSE), VLOOKUP($A396,raw_ub[],COLUMN(AB$1)-COLUMN($A$1),FALSE))</f>
        <v>5.2531905006058262</v>
      </c>
      <c r="AB396" s="70">
        <f>IF(VLOOKUP($A396,raw_ub[],COLUMN(AC$1)-COLUMN($A$1),FALSE)=0, VLOOKUP($D396, regions_ub[], COLUMN(AC$1)-COLUMN($A$1), FALSE), VLOOKUP($A396,raw_ub[],COLUMN(AC$1)-COLUMN($A$1),FALSE))</f>
        <v>10.324690500605826</v>
      </c>
      <c r="AC396" s="72">
        <f>IF(VLOOKUP($A396,raw_ub[],COLUMN(AD$1)-COLUMN($A$1),FALSE)=0, VLOOKUP($D396, regions_ub[], COLUMN(AD$1)-COLUMN($A$1), FALSE), VLOOKUP($A396,raw_ub[],COLUMN(AD$1)-COLUMN($A$1),FALSE))</f>
        <v>4.3274752499999992E-2</v>
      </c>
      <c r="AD396" s="72">
        <f>IF(VLOOKUP($A396,raw_ub[],COLUMN(AE$1)-COLUMN($A$1),FALSE)=0, VLOOKUP($D396, regions_ub[], COLUMN(AE$1)-COLUMN($A$1), FALSE), VLOOKUP($A396,raw_ub[],COLUMN(AE$1)-COLUMN($A$1),FALSE))</f>
        <v>4.196694006623705E-3</v>
      </c>
      <c r="AE396" s="72">
        <f>IF(VLOOKUP($A396,raw_ub[],COLUMN(AF$1)-COLUMN($A$1),FALSE)=0, VLOOKUP($D396, regions_ub[], COLUMN(AF$1)-COLUMN($A$1), FALSE), VLOOKUP($A396,raw_ub[],COLUMN(AF$1)-COLUMN($A$1),FALSE))</f>
        <v>1.6477407645676043E-3</v>
      </c>
      <c r="AF396" s="72">
        <f>IF(VLOOKUP($A396,raw_ub[],COLUMN(AG$1)-COLUMN($A$1),FALSE)=0, VLOOKUP($D396, regions_ub[], COLUMN(AG$1)-COLUMN($A$1), FALSE), VLOOKUP($A396,raw_ub[],COLUMN(AG$1)-COLUMN($A$1),FALSE))</f>
        <v>1.1668901151419644E-3</v>
      </c>
      <c r="AG396" s="72">
        <f>IF(VLOOKUP($A396,raw_ub[],COLUMN(AH$1)-COLUMN($A$1),FALSE)=0, VLOOKUP($D396, regions_ub[], COLUMN(AH$1)-COLUMN($A$1), FALSE), VLOOKUP($A396,raw_ub[],COLUMN(AH$1)-COLUMN($A$1),FALSE))</f>
        <v>1.8662148762369182E-3</v>
      </c>
      <c r="AH396" s="72">
        <f>IF(VLOOKUP($A396,raw_ub[],COLUMN(AI$1)-COLUMN($A$1),FALSE)=0, VLOOKUP($D396, regions_ub[], COLUMN(AI$1)-COLUMN($A$1), FALSE), VLOOKUP($A396,raw_ub[],COLUMN(AI$1)-COLUMN($A$1),FALSE))</f>
        <v>2.699390450381717E-3</v>
      </c>
      <c r="AI396" s="72">
        <f>IF(VLOOKUP($A396,raw_ub[],COLUMN(AJ$1)-COLUMN($A$1),FALSE)=0, VLOOKUP($D396, regions_ub[], COLUMN(AJ$1)-COLUMN($A$1), FALSE), VLOOKUP($A396,raw_ub[],COLUMN(AJ$1)-COLUMN($A$1),FALSE))</f>
        <v>3.1311192857966237E-3</v>
      </c>
      <c r="AJ396" s="72">
        <f>IF(VLOOKUP($A396,raw_ub[],COLUMN(AK$1)-COLUMN($A$1),FALSE)=0, VLOOKUP($D396, regions_ub[], COLUMN(AK$1)-COLUMN($A$1), FALSE), VLOOKUP($A396,raw_ub[],COLUMN(AK$1)-COLUMN($A$1),FALSE))</f>
        <v>3.6724357051874665E-3</v>
      </c>
      <c r="AK396" s="72">
        <f>IF(VLOOKUP($A396,raw_ub[],COLUMN(AL$1)-COLUMN($A$1),FALSE)=0, VLOOKUP($D396, regions_ub[], COLUMN(AL$1)-COLUMN($A$1), FALSE), VLOOKUP($A396,raw_ub[],COLUMN(AL$1)-COLUMN($A$1),FALSE))</f>
        <v>4.4880135504277918E-3</v>
      </c>
      <c r="AL396" s="72">
        <f>IF(VLOOKUP($A396,raw_ub[],COLUMN(AM$1)-COLUMN($A$1),FALSE)=0, VLOOKUP($D396, regions_ub[], COLUMN(AM$1)-COLUMN($A$1), FALSE), VLOOKUP($A396,raw_ub[],COLUMN(AM$1)-COLUMN($A$1),FALSE))</f>
        <v>5.6805157010169456E-3</v>
      </c>
      <c r="AM396" s="72">
        <f>IF(VLOOKUP($A396,raw_ub[],COLUMN(AN$1)-COLUMN($A$1),FALSE)=0, VLOOKUP($D396, regions_ub[], COLUMN(AN$1)-COLUMN($A$1), FALSE), VLOOKUP($A396,raw_ub[],COLUMN(AN$1)-COLUMN($A$1),FALSE))</f>
        <v>7.1601354095088979E-3</v>
      </c>
      <c r="AN396" s="72">
        <f>IF(VLOOKUP($A396,raw_ub[],COLUMN(AO$1)-COLUMN($A$1),FALSE)=0, VLOOKUP($D396, regions_ub[], COLUMN(AO$1)-COLUMN($A$1), FALSE), VLOOKUP($A396,raw_ub[],COLUMN(AO$1)-COLUMN($A$1),FALSE))</f>
        <v>1.0145028989737064E-2</v>
      </c>
      <c r="AO396" s="72">
        <f>IF(VLOOKUP($A396,raw_ub[],COLUMN(AP$1)-COLUMN($A$1),FALSE)=0, VLOOKUP($D396, regions_ub[], COLUMN(AP$1)-COLUMN($A$1), FALSE), VLOOKUP($A396,raw_ub[],COLUMN(AP$1)-COLUMN($A$1),FALSE))</f>
        <v>1.361971620622853E-2</v>
      </c>
      <c r="AP396" s="72">
        <f>IF(VLOOKUP($A396,raw_ub[],COLUMN(AQ$1)-COLUMN($A$1),FALSE)=0, VLOOKUP($D396, regions_ub[], COLUMN(AQ$1)-COLUMN($A$1), FALSE), VLOOKUP($A396,raw_ub[],COLUMN(AQ$1)-COLUMN($A$1),FALSE))</f>
        <v>2.0511006647375048E-2</v>
      </c>
      <c r="AQ396" s="72">
        <f>IF(VLOOKUP($A396,raw_ub[],COLUMN(AR$1)-COLUMN($A$1),FALSE)=0, VLOOKUP($D396, regions_ub[], COLUMN(AR$1)-COLUMN($A$1), FALSE), VLOOKUP($A396,raw_ub[],COLUMN(AR$1)-COLUMN($A$1),FALSE))</f>
        <v>3.1710837248348514E-2</v>
      </c>
      <c r="AR396" s="72">
        <f>IF(VLOOKUP($A396,raw_ub[],COLUMN(AS$1)-COLUMN($A$1),FALSE)=0, VLOOKUP($D396, regions_ub[], COLUMN(AS$1)-COLUMN($A$1), FALSE), VLOOKUP($A396,raw_ub[],COLUMN(AS$1)-COLUMN($A$1),FALSE))</f>
        <v>4.9302638158889502E-2</v>
      </c>
      <c r="AS396" s="72">
        <f>IF(VLOOKUP($A396,raw_ub[],COLUMN(AT$1)-COLUMN($A$1),FALSE)=0, VLOOKUP($D396, regions_ub[], COLUMN(AT$1)-COLUMN($A$1), FALSE), VLOOKUP($A396,raw_ub[],COLUMN(AT$1)-COLUMN($A$1),FALSE))</f>
        <v>7.5466522919631934E-2</v>
      </c>
      <c r="AT396" s="82">
        <f>IF(VLOOKUP($A396,raw_ub[],COLUMN(AT$1),FALSE)=0, VLOOKUP($D396, regions_ub[], COLUMN(AT$1), FALSE), VLOOKUP($A396,raw_ub[],COLUMN(AT$1),FALSE))</f>
        <v>0.1123328387871995</v>
      </c>
      <c r="AU396" s="82">
        <f>IF(VLOOKUP($A396,raw_ub[],COLUMN(AU$1),FALSE)=0, VLOOKUP($D396, regions_ub[], COLUMN(AU$1), FALSE), VLOOKUP($A396,raw_ub[],COLUMN(AU$1),FALSE))</f>
        <v>0.15424640561807276</v>
      </c>
      <c r="AV396" s="82">
        <f>IF(VLOOKUP($A396,raw_ub[],COLUMN(AV$1),FALSE)=0, VLOOKUP($D396, regions_ub[], COLUMN(AV$1), FALSE), VLOOKUP($A396,raw_ub[],COLUMN(AV$1),FALSE))</f>
        <v>0.18884488568208707</v>
      </c>
      <c r="AW396" s="82">
        <f>IF(VLOOKUP($A396,raw_ub[],COLUMN(AW$1),FALSE)=0, VLOOKUP($D396, regions_ub[], COLUMN(AW$1), FALSE), VLOOKUP($A396,raw_ub[],COLUMN(AW$1),FALSE))</f>
        <v>0.19933884498058171</v>
      </c>
      <c r="AX396" s="82">
        <f>IF(VLOOKUP($A396,raw_ub[],COLUMN(AX$1),FALSE)=0, VLOOKUP($D396, regions_ub[], COLUMN(AX$1), FALSE), VLOOKUP($A396,raw_ub[],COLUMN(AX$1),FALSE))</f>
        <v>68.084100000000007</v>
      </c>
      <c r="AY396" t="str">
        <f t="shared" si="13"/>
        <v>Yes</v>
      </c>
    </row>
    <row r="397" spans="1:51" x14ac:dyDescent="0.25">
      <c r="A397" s="55" t="s">
        <v>462</v>
      </c>
      <c r="B397" s="56" t="s">
        <v>463</v>
      </c>
      <c r="C397" s="56">
        <v>764</v>
      </c>
      <c r="D397" s="56" t="s">
        <v>225</v>
      </c>
      <c r="E397" s="56" t="s">
        <v>261</v>
      </c>
      <c r="F397" s="56" t="s">
        <v>262</v>
      </c>
      <c r="G397" s="56" t="s">
        <v>204</v>
      </c>
      <c r="H397" s="74"/>
      <c r="I397" s="74"/>
      <c r="J397" s="67">
        <f>IF(VLOOKUP($A397,raw_ub[],COLUMN(J$1),FALSE)=0, VLOOKUP($D397, regions_ub[], COLUMN(J$1), FALSE), VLOOKUP($A397,raw_ub[],COLUMN(J$1),FALSE))</f>
        <v>0.999</v>
      </c>
      <c r="K397" s="77">
        <f>VLOOKUP($A397, raw_ub[], 11, FALSE)</f>
        <v>0.999</v>
      </c>
      <c r="L397" s="77">
        <f>VLOOKUP($A397, raw_ub[], 12, FALSE)</f>
        <v>0.999</v>
      </c>
      <c r="M397" s="77">
        <f>IF(VLOOKUP($A397,raw_ub[],COLUMN(M$1),FALSE)=0, VLOOKUP($D397, regions_ub[], COLUMN(M$1), FALSE), VLOOKUP($A397,raw_ub[],COLUMN(M$1),FALSE))</f>
        <v>3.1699999999999999E-2</v>
      </c>
      <c r="N397" s="68">
        <f>IF(VLOOKUP($A397,raw_ub[],COLUMN(N$1),FALSE)=0, VLOOKUP($D397, regions_ub[], COLUMN(N$1), FALSE), VLOOKUP($A397,raw_ub[],COLUMN(N$1),FALSE))</f>
        <v>0.47729999999999995</v>
      </c>
      <c r="O397" s="67">
        <f>IF(VLOOKUP($A397,raw_ub[],COLUMN(O$1),FALSE)=0, VLOOKUP($D397, regions_ub[], COLUMN(O$1), FALSE), VLOOKUP($A397,raw_ub[],COLUMN(O$1),FALSE))</f>
        <v>0.9</v>
      </c>
      <c r="P397" s="68">
        <f>IF(VLOOKUP($A397,raw_ub[],COLUMN(P$1),FALSE)=0, VLOOKUP($D397, regions_ub[], COLUMN(P$1), FALSE), VLOOKUP($A397,raw_ub[],COLUMN(P$1),FALSE))</f>
        <v>0.3</v>
      </c>
      <c r="Q397" s="70">
        <f>IF(VLOOKUP($A397,raw_ub[],COLUMN(Q$1),FALSE)=0, VLOOKUP($D397, regions_ub[], COLUMN(Q$1), FALSE), VLOOKUP($A397,raw_ub[],COLUMN(Q$1),FALSE))</f>
        <v>18.939337083768102</v>
      </c>
      <c r="R397" s="70">
        <f>IF(VLOOKUP($A397,raw_ub[],COLUMN(R$1),FALSE)=0, VLOOKUP($D397, regions_ub[], COLUMN(R$1), FALSE), VLOOKUP($A397,raw_ub[],COLUMN(R$1),FALSE))</f>
        <v>127.92513708376811</v>
      </c>
      <c r="S397" s="70">
        <f>IF(VLOOKUP($A397,raw_ub[],COLUMN(S$1),FALSE)=0, VLOOKUP($D397, regions_ub[], COLUMN(S$1), FALSE), VLOOKUP($A397,raw_ub[],COLUMN(S$1),FALSE))</f>
        <v>190.15987962235428</v>
      </c>
      <c r="T397" s="70">
        <f>IF(VLOOKUP($A397,raw_ub[],COLUMN(U$1)-COLUMN($A$1),FALSE)=0, VLOOKUP($D397, regions_ub[], COLUMN(U$1)-COLUMN($A$1), FALSE), VLOOKUP($A397,raw_ub[],COLUMN(U$1)-COLUMN($A$1),FALSE))</f>
        <v>207.34289921055327</v>
      </c>
      <c r="U397" s="70">
        <f>IF(VLOOKUP($A397,raw_ub[],COLUMN(V$1)-COLUMN($A$1),FALSE)=0, VLOOKUP($D397, regions_ub[], COLUMN(V$1)-COLUMN($A$1), FALSE), VLOOKUP($A397,raw_ub[],COLUMN(V$1)-COLUMN($A$1),FALSE))</f>
        <v>199.45281981841609</v>
      </c>
      <c r="V397" s="70">
        <f>IF(VLOOKUP($A397,raw_ub[],COLUMN(W$1)-COLUMN($A$1),FALSE)=0, VLOOKUP($D397, regions_ub[], COLUMN(W$1)-COLUMN($A$1), FALSE), VLOOKUP($A397,raw_ub[],COLUMN(W$1)-COLUMN($A$1),FALSE))</f>
        <v>9.4302260436598999</v>
      </c>
      <c r="W397" s="70">
        <f>IF(VLOOKUP($A397,raw_ub[],COLUMN(X$1)-COLUMN($A$1),FALSE)=0, VLOOKUP($D397, regions_ub[], COLUMN(X$1)-COLUMN($A$1), FALSE), VLOOKUP($A397,raw_ub[],COLUMN(X$1)-COLUMN($A$1),FALSE))</f>
        <v>10.0917260436599</v>
      </c>
      <c r="X397" s="70">
        <f>IF(VLOOKUP($A397,raw_ub[],COLUMN(Y$1)-COLUMN($A$1),FALSE)=0, VLOOKUP($D397, regions_ub[], COLUMN(Y$1)-COLUMN($A$1), FALSE), VLOOKUP($A397,raw_ub[],COLUMN(Y$1)-COLUMN($A$1),FALSE))</f>
        <v>9.3885408516744278</v>
      </c>
      <c r="Y397" s="70">
        <f>IF(VLOOKUP($A397,raw_ub[],COLUMN(Z$1)-COLUMN($A$1),FALSE)=0, VLOOKUP($D397, regions_ub[], COLUMN(Z$1)-COLUMN($A$1), FALSE), VLOOKUP($A397,raw_ub[],COLUMN(Z$1)-COLUMN($A$1),FALSE))</f>
        <v>10.050040851674428</v>
      </c>
      <c r="Z397" s="70">
        <f>IF(VLOOKUP($A397,raw_ub[],COLUMN(AA$1)-COLUMN($A$1),FALSE)=0, VLOOKUP($D397, regions_ub[], COLUMN(AA$1)-COLUMN($A$1), FALSE), VLOOKUP($A397,raw_ub[],COLUMN(AA$1)-COLUMN($A$1),FALSE))</f>
        <v>10.027572223208905</v>
      </c>
      <c r="AA397" s="70">
        <f>IF(VLOOKUP($A397,raw_ub[],COLUMN(AB$1)-COLUMN($A$1),FALSE)=0, VLOOKUP($D397, regions_ub[], COLUMN(AB$1)-COLUMN($A$1), FALSE), VLOOKUP($A397,raw_ub[],COLUMN(AB$1)-COLUMN($A$1),FALSE))</f>
        <v>9.4398457033488548</v>
      </c>
      <c r="AB397" s="70">
        <f>IF(VLOOKUP($A397,raw_ub[],COLUMN(AC$1)-COLUMN($A$1),FALSE)=0, VLOOKUP($D397, regions_ub[], COLUMN(AC$1)-COLUMN($A$1), FALSE), VLOOKUP($A397,raw_ub[],COLUMN(AC$1)-COLUMN($A$1),FALSE))</f>
        <v>10.101345703348855</v>
      </c>
      <c r="AC397" s="72">
        <f>IF(VLOOKUP($A397,raw_ub[],COLUMN(AD$1)-COLUMN($A$1),FALSE)=0, VLOOKUP($D397, regions_ub[], COLUMN(AD$1)-COLUMN($A$1), FALSE), VLOOKUP($A397,raw_ub[],COLUMN(AD$1)-COLUMN($A$1),FALSE))</f>
        <v>8.1419205000000227E-3</v>
      </c>
      <c r="AD397" s="72">
        <f>IF(VLOOKUP($A397,raw_ub[],COLUMN(AE$1)-COLUMN($A$1),FALSE)=0, VLOOKUP($D397, regions_ub[], COLUMN(AE$1)-COLUMN($A$1), FALSE), VLOOKUP($A397,raw_ub[],COLUMN(AE$1)-COLUMN($A$1),FALSE))</f>
        <v>3.2944848775826708E-4</v>
      </c>
      <c r="AE397" s="72">
        <f>IF(VLOOKUP($A397,raw_ub[],COLUMN(AF$1)-COLUMN($A$1),FALSE)=0, VLOOKUP($D397, regions_ub[], COLUMN(AF$1)-COLUMN($A$1), FALSE), VLOOKUP($A397,raw_ub[],COLUMN(AF$1)-COLUMN($A$1),FALSE))</f>
        <v>2.7837383085827422E-4</v>
      </c>
      <c r="AF397" s="72">
        <f>IF(VLOOKUP($A397,raw_ub[],COLUMN(AG$1)-COLUMN($A$1),FALSE)=0, VLOOKUP($D397, regions_ub[], COLUMN(AG$1)-COLUMN($A$1), FALSE), VLOOKUP($A397,raw_ub[],COLUMN(AG$1)-COLUMN($A$1),FALSE))</f>
        <v>4.3332041140043944E-4</v>
      </c>
      <c r="AG397" s="72">
        <f>IF(VLOOKUP($A397,raw_ub[],COLUMN(AH$1)-COLUMN($A$1),FALSE)=0, VLOOKUP($D397, regions_ub[], COLUMN(AH$1)-COLUMN($A$1), FALSE), VLOOKUP($A397,raw_ub[],COLUMN(AH$1)-COLUMN($A$1),FALSE))</f>
        <v>1.1293644707260986E-3</v>
      </c>
      <c r="AH397" s="72">
        <f>IF(VLOOKUP($A397,raw_ub[],COLUMN(AI$1)-COLUMN($A$1),FALSE)=0, VLOOKUP($D397, regions_ub[], COLUMN(AI$1)-COLUMN($A$1), FALSE), VLOOKUP($A397,raw_ub[],COLUMN(AI$1)-COLUMN($A$1),FALSE))</f>
        <v>1.0821935070727073E-3</v>
      </c>
      <c r="AI397" s="72">
        <f>IF(VLOOKUP($A397,raw_ub[],COLUMN(AJ$1)-COLUMN($A$1),FALSE)=0, VLOOKUP($D397, regions_ub[], COLUMN(AJ$1)-COLUMN($A$1), FALSE), VLOOKUP($A397,raw_ub[],COLUMN(AJ$1)-COLUMN($A$1),FALSE))</f>
        <v>1.1874840071217391E-3</v>
      </c>
      <c r="AJ397" s="72">
        <f>IF(VLOOKUP($A397,raw_ub[],COLUMN(AK$1)-COLUMN($A$1),FALSE)=0, VLOOKUP($D397, regions_ub[], COLUMN(AK$1)-COLUMN($A$1), FALSE), VLOOKUP($A397,raw_ub[],COLUMN(AK$1)-COLUMN($A$1),FALSE))</f>
        <v>1.6897122070438299E-3</v>
      </c>
      <c r="AK397" s="72">
        <f>IF(VLOOKUP($A397,raw_ub[],COLUMN(AL$1)-COLUMN($A$1),FALSE)=0, VLOOKUP($D397, regions_ub[], COLUMN(AL$1)-COLUMN($A$1), FALSE), VLOOKUP($A397,raw_ub[],COLUMN(AL$1)-COLUMN($A$1),FALSE))</f>
        <v>2.5668091053516391E-3</v>
      </c>
      <c r="AL397" s="72">
        <f>IF(VLOOKUP($A397,raw_ub[],COLUMN(AM$1)-COLUMN($A$1),FALSE)=0, VLOOKUP($D397, regions_ub[], COLUMN(AM$1)-COLUMN($A$1), FALSE), VLOOKUP($A397,raw_ub[],COLUMN(AM$1)-COLUMN($A$1),FALSE))</f>
        <v>3.5126631594236987E-3</v>
      </c>
      <c r="AM397" s="72">
        <f>IF(VLOOKUP($A397,raw_ub[],COLUMN(AN$1)-COLUMN($A$1),FALSE)=0, VLOOKUP($D397, regions_ub[], COLUMN(AN$1)-COLUMN($A$1), FALSE), VLOOKUP($A397,raw_ub[],COLUMN(AN$1)-COLUMN($A$1),FALSE))</f>
        <v>4.5801376992109198E-3</v>
      </c>
      <c r="AN397" s="72">
        <f>IF(VLOOKUP($A397,raw_ub[],COLUMN(AO$1)-COLUMN($A$1),FALSE)=0, VLOOKUP($D397, regions_ub[], COLUMN(AO$1)-COLUMN($A$1), FALSE), VLOOKUP($A397,raw_ub[],COLUMN(AO$1)-COLUMN($A$1),FALSE))</f>
        <v>6.0444061730401694E-3</v>
      </c>
      <c r="AO397" s="72">
        <f>IF(VLOOKUP($A397,raw_ub[],COLUMN(AP$1)-COLUMN($A$1),FALSE)=0, VLOOKUP($D397, regions_ub[], COLUMN(AP$1)-COLUMN($A$1), FALSE), VLOOKUP($A397,raw_ub[],COLUMN(AP$1)-COLUMN($A$1),FALSE))</f>
        <v>8.0831955395526123E-3</v>
      </c>
      <c r="AP397" s="72">
        <f>IF(VLOOKUP($A397,raw_ub[],COLUMN(AQ$1)-COLUMN($A$1),FALSE)=0, VLOOKUP($D397, regions_ub[], COLUMN(AQ$1)-COLUMN($A$1), FALSE), VLOOKUP($A397,raw_ub[],COLUMN(AQ$1)-COLUMN($A$1),FALSE))</f>
        <v>1.1711229425023133E-2</v>
      </c>
      <c r="AQ397" s="72">
        <f>IF(VLOOKUP($A397,raw_ub[],COLUMN(AR$1)-COLUMN($A$1),FALSE)=0, VLOOKUP($D397, regions_ub[], COLUMN(AR$1)-COLUMN($A$1), FALSE), VLOOKUP($A397,raw_ub[],COLUMN(AR$1)-COLUMN($A$1),FALSE))</f>
        <v>1.6290316472665076E-2</v>
      </c>
      <c r="AR397" s="72">
        <f>IF(VLOOKUP($A397,raw_ub[],COLUMN(AS$1)-COLUMN($A$1),FALSE)=0, VLOOKUP($D397, regions_ub[], COLUMN(AS$1)-COLUMN($A$1), FALSE), VLOOKUP($A397,raw_ub[],COLUMN(AS$1)-COLUMN($A$1),FALSE))</f>
        <v>2.5349339026536105E-2</v>
      </c>
      <c r="AS397" s="72">
        <f>IF(VLOOKUP($A397,raw_ub[],COLUMN(AT$1)-COLUMN($A$1),FALSE)=0, VLOOKUP($D397, regions_ub[], COLUMN(AT$1)-COLUMN($A$1), FALSE), VLOOKUP($A397,raw_ub[],COLUMN(AT$1)-COLUMN($A$1),FALSE))</f>
        <v>4.0151849402773915E-2</v>
      </c>
      <c r="AT397" s="82">
        <f>IF(VLOOKUP($A397,raw_ub[],COLUMN(AT$1),FALSE)=0, VLOOKUP($D397, regions_ub[], COLUMN(AT$1), FALSE), VLOOKUP($A397,raw_ub[],COLUMN(AT$1),FALSE))</f>
        <v>6.103447828658333E-2</v>
      </c>
      <c r="AU397" s="82">
        <f>IF(VLOOKUP($A397,raw_ub[],COLUMN(AU$1),FALSE)=0, VLOOKUP($D397, regions_ub[], COLUMN(AU$1), FALSE), VLOOKUP($A397,raw_ub[],COLUMN(AU$1),FALSE))</f>
        <v>8.8696338663652535E-2</v>
      </c>
      <c r="AV397" s="82">
        <f>IF(VLOOKUP($A397,raw_ub[],COLUMN(AV$1),FALSE)=0, VLOOKUP($D397, regions_ub[], COLUMN(AV$1), FALSE), VLOOKUP($A397,raw_ub[],COLUMN(AV$1),FALSE))</f>
        <v>0.11915515419200368</v>
      </c>
      <c r="AW397" s="82">
        <f>IF(VLOOKUP($A397,raw_ub[],COLUMN(AW$1),FALSE)=0, VLOOKUP($D397, regions_ub[], COLUMN(AW$1), FALSE), VLOOKUP($A397,raw_ub[],COLUMN(AW$1),FALSE))</f>
        <v>0.14762673947774813</v>
      </c>
      <c r="AX397" s="82">
        <f>IF(VLOOKUP($A397,raw_ub[],COLUMN(AX$1),FALSE)=0, VLOOKUP($D397, regions_ub[], COLUMN(AX$1), FALSE), VLOOKUP($A397,raw_ub[],COLUMN(AX$1),FALSE))</f>
        <v>80.673599999999993</v>
      </c>
      <c r="AY397" t="str">
        <f t="shared" si="13"/>
        <v>No</v>
      </c>
    </row>
    <row r="398" spans="1:51" x14ac:dyDescent="0.25">
      <c r="A398" s="53" t="s">
        <v>464</v>
      </c>
      <c r="B398" s="54" t="s">
        <v>465</v>
      </c>
      <c r="C398" s="54">
        <v>626</v>
      </c>
      <c r="D398" s="54" t="s">
        <v>225</v>
      </c>
      <c r="E398" s="54" t="s">
        <v>261</v>
      </c>
      <c r="F398" s="54" t="s">
        <v>262</v>
      </c>
      <c r="G398" s="54" t="s">
        <v>212</v>
      </c>
      <c r="H398" s="73"/>
      <c r="I398" s="73"/>
      <c r="J398" s="67">
        <f>IF(VLOOKUP($A398,raw_ub[],COLUMN(J$1),FALSE)=0, VLOOKUP($D398, regions_ub[], COLUMN(J$1), FALSE), VLOOKUP($A398,raw_ub[],COLUMN(J$1),FALSE))</f>
        <v>0.50924999999999998</v>
      </c>
      <c r="K398" s="77">
        <f>VLOOKUP($A398, raw_ub[], 11, FALSE)</f>
        <v>0.75600000000000001</v>
      </c>
      <c r="L398" s="77">
        <f>VLOOKUP($A398, raw_ub[], 12, FALSE)</f>
        <v>0.90300000000000002</v>
      </c>
      <c r="M398" s="77">
        <f>IF(VLOOKUP($A398,raw_ub[],COLUMN(M$1),FALSE)=0, VLOOKUP($D398, regions_ub[], COLUMN(M$1), FALSE), VLOOKUP($A398,raw_ub[],COLUMN(M$1),FALSE))</f>
        <v>6.0700000000000004E-2</v>
      </c>
      <c r="N398" s="68">
        <f>IF(VLOOKUP($A398,raw_ub[],COLUMN(N$1),FALSE)=0, VLOOKUP($D398, regions_ub[], COLUMN(N$1), FALSE), VLOOKUP($A398,raw_ub[],COLUMN(N$1),FALSE))</f>
        <v>0.47729999999999995</v>
      </c>
      <c r="O398" s="67">
        <f>IF(VLOOKUP($A398,raw_ub[],COLUMN(O$1),FALSE)=0, VLOOKUP($D398, regions_ub[], COLUMN(O$1), FALSE), VLOOKUP($A398,raw_ub[],COLUMN(O$1),FALSE))</f>
        <v>0.9</v>
      </c>
      <c r="P398" s="68">
        <f>IF(VLOOKUP($A398,raw_ub[],COLUMN(P$1),FALSE)=0, VLOOKUP($D398, regions_ub[], COLUMN(P$1), FALSE), VLOOKUP($A398,raw_ub[],COLUMN(P$1),FALSE))</f>
        <v>0.3</v>
      </c>
      <c r="Q398" s="70">
        <f>IF(VLOOKUP($A398,raw_ub[],COLUMN(Q$1),FALSE)=0, VLOOKUP($D398, regions_ub[], COLUMN(Q$1), FALSE), VLOOKUP($A398,raw_ub[],COLUMN(Q$1),FALSE))</f>
        <v>9.9667002047596274</v>
      </c>
      <c r="R398" s="70">
        <f>IF(VLOOKUP($A398,raw_ub[],COLUMN(R$1),FALSE)=0, VLOOKUP($D398, regions_ub[], COLUMN(R$1), FALSE), VLOOKUP($A398,raw_ub[],COLUMN(R$1),FALSE))</f>
        <v>118.95250020475962</v>
      </c>
      <c r="S398" s="70">
        <f>IF(VLOOKUP($A398,raw_ub[],COLUMN(S$1),FALSE)=0, VLOOKUP($D398, regions_ub[], COLUMN(S$1), FALSE), VLOOKUP($A398,raw_ub[],COLUMN(S$1),FALSE))</f>
        <v>157.48588624128527</v>
      </c>
      <c r="T398" s="70">
        <f>IF(VLOOKUP($A398,raw_ub[],COLUMN(U$1)-COLUMN($A$1),FALSE)=0, VLOOKUP($D398, regions_ub[], COLUMN(U$1)-COLUMN($A$1), FALSE), VLOOKUP($A398,raw_ub[],COLUMN(U$1)-COLUMN($A$1),FALSE))</f>
        <v>162.33317815976801</v>
      </c>
      <c r="U398" s="70">
        <f>IF(VLOOKUP($A398,raw_ub[],COLUMN(V$1)-COLUMN($A$1),FALSE)=0, VLOOKUP($D398, regions_ub[], COLUMN(V$1)-COLUMN($A$1), FALSE), VLOOKUP($A398,raw_ub[],COLUMN(V$1)-COLUMN($A$1),FALSE))</f>
        <v>160.10740416949915</v>
      </c>
      <c r="V398" s="70">
        <f>IF(VLOOKUP($A398,raw_ub[],COLUMN(W$1)-COLUMN($A$1),FALSE)=0, VLOOKUP($D398, regions_ub[], COLUMN(W$1)-COLUMN($A$1), FALSE), VLOOKUP($A398,raw_ub[],COLUMN(W$1)-COLUMN($A$1),FALSE))</f>
        <v>7.8789578137190572</v>
      </c>
      <c r="W398" s="70">
        <f>IF(VLOOKUP($A398,raw_ub[],COLUMN(X$1)-COLUMN($A$1),FALSE)=0, VLOOKUP($D398, regions_ub[], COLUMN(X$1)-COLUMN($A$1), FALSE), VLOOKUP($A398,raw_ub[],COLUMN(X$1)-COLUMN($A$1),FALSE))</f>
        <v>8.5404578137190565</v>
      </c>
      <c r="X398" s="70">
        <f>IF(VLOOKUP($A398,raw_ub[],COLUMN(Y$1)-COLUMN($A$1),FALSE)=0, VLOOKUP($D398, regions_ub[], COLUMN(Y$1)-COLUMN($A$1), FALSE), VLOOKUP($A398,raw_ub[],COLUMN(Y$1)-COLUMN($A$1),FALSE))</f>
        <v>7.8627787248105143</v>
      </c>
      <c r="Y398" s="70">
        <f>IF(VLOOKUP($A398,raw_ub[],COLUMN(Z$1)-COLUMN($A$1),FALSE)=0, VLOOKUP($D398, regions_ub[], COLUMN(Z$1)-COLUMN($A$1), FALSE), VLOOKUP($A398,raw_ub[],COLUMN(Z$1)-COLUMN($A$1),FALSE))</f>
        <v>8.5242787248105145</v>
      </c>
      <c r="Z398" s="70">
        <f>IF(VLOOKUP($A398,raw_ub[],COLUMN(AA$1)-COLUMN($A$1),FALSE)=0, VLOOKUP($D398, regions_ub[], COLUMN(AA$1)-COLUMN($A$1), FALSE), VLOOKUP($A398,raw_ub[],COLUMN(AA$1)-COLUMN($A$1),FALSE))</f>
        <v>8.5150528943574084</v>
      </c>
      <c r="AA398" s="70">
        <f>IF(VLOOKUP($A398,raw_ub[],COLUMN(AB$1)-COLUMN($A$1),FALSE)=0, VLOOKUP($D398, regions_ub[], COLUMN(AB$1)-COLUMN($A$1), FALSE), VLOOKUP($A398,raw_ub[],COLUMN(AB$1)-COLUMN($A$1),FALSE))</f>
        <v>7.8826914496210287</v>
      </c>
      <c r="AB398" s="70">
        <f>IF(VLOOKUP($A398,raw_ub[],COLUMN(AC$1)-COLUMN($A$1),FALSE)=0, VLOOKUP($D398, regions_ub[], COLUMN(AC$1)-COLUMN($A$1), FALSE), VLOOKUP($A398,raw_ub[],COLUMN(AC$1)-COLUMN($A$1),FALSE))</f>
        <v>8.5441914496210281</v>
      </c>
      <c r="AC398" s="72">
        <f>IF(VLOOKUP($A398,raw_ub[],COLUMN(AD$1)-COLUMN($A$1),FALSE)=0, VLOOKUP($D398, regions_ub[], COLUMN(AD$1)-COLUMN($A$1), FALSE), VLOOKUP($A398,raw_ub[],COLUMN(AD$1)-COLUMN($A$1),FALSE))</f>
        <v>3.9220954499999974E-2</v>
      </c>
      <c r="AD398" s="72">
        <f>IF(VLOOKUP($A398,raw_ub[],COLUMN(AE$1)-COLUMN($A$1),FALSE)=0, VLOOKUP($D398, regions_ub[], COLUMN(AE$1)-COLUMN($A$1), FALSE), VLOOKUP($A398,raw_ub[],COLUMN(AE$1)-COLUMN($A$1),FALSE))</f>
        <v>2.5638510206927559E-3</v>
      </c>
      <c r="AE398" s="72">
        <f>IF(VLOOKUP($A398,raw_ub[],COLUMN(AF$1)-COLUMN($A$1),FALSE)=0, VLOOKUP($D398, regions_ub[], COLUMN(AF$1)-COLUMN($A$1), FALSE), VLOOKUP($A398,raw_ub[],COLUMN(AF$1)-COLUMN($A$1),FALSE))</f>
        <v>7.8798535725077285E-4</v>
      </c>
      <c r="AF398" s="72">
        <f>IF(VLOOKUP($A398,raw_ub[],COLUMN(AG$1)-COLUMN($A$1),FALSE)=0, VLOOKUP($D398, regions_ub[], COLUMN(AG$1)-COLUMN($A$1), FALSE), VLOOKUP($A398,raw_ub[],COLUMN(AG$1)-COLUMN($A$1),FALSE))</f>
        <v>6.0888366394973054E-4</v>
      </c>
      <c r="AG398" s="72">
        <f>IF(VLOOKUP($A398,raw_ub[],COLUMN(AH$1)-COLUMN($A$1),FALSE)=0, VLOOKUP($D398, regions_ub[], COLUMN(AH$1)-COLUMN($A$1), FALSE), VLOOKUP($A398,raw_ub[],COLUMN(AH$1)-COLUMN($A$1),FALSE))</f>
        <v>1.0496184284337858E-3</v>
      </c>
      <c r="AH398" s="72">
        <f>IF(VLOOKUP($A398,raw_ub[],COLUMN(AI$1)-COLUMN($A$1),FALSE)=0, VLOOKUP($D398, regions_ub[], COLUMN(AI$1)-COLUMN($A$1), FALSE), VLOOKUP($A398,raw_ub[],COLUMN(AI$1)-COLUMN($A$1),FALSE))</f>
        <v>1.3241496652141257E-3</v>
      </c>
      <c r="AI398" s="72">
        <f>IF(VLOOKUP($A398,raw_ub[],COLUMN(AJ$1)-COLUMN($A$1),FALSE)=0, VLOOKUP($D398, regions_ub[], COLUMN(AJ$1)-COLUMN($A$1), FALSE), VLOOKUP($A398,raw_ub[],COLUMN(AJ$1)-COLUMN($A$1),FALSE))</f>
        <v>1.2644788139660938E-3</v>
      </c>
      <c r="AJ398" s="72">
        <f>IF(VLOOKUP($A398,raw_ub[],COLUMN(AK$1)-COLUMN($A$1),FALSE)=0, VLOOKUP($D398, regions_ub[], COLUMN(AK$1)-COLUMN($A$1), FALSE), VLOOKUP($A398,raw_ub[],COLUMN(AK$1)-COLUMN($A$1),FALSE))</f>
        <v>1.4063501518021204E-3</v>
      </c>
      <c r="AK398" s="72">
        <f>IF(VLOOKUP($A398,raw_ub[],COLUMN(AL$1)-COLUMN($A$1),FALSE)=0, VLOOKUP($D398, regions_ub[], COLUMN(AL$1)-COLUMN($A$1), FALSE), VLOOKUP($A398,raw_ub[],COLUMN(AL$1)-COLUMN($A$1),FALSE))</f>
        <v>1.8370173726497642E-3</v>
      </c>
      <c r="AL398" s="72">
        <f>IF(VLOOKUP($A398,raw_ub[],COLUMN(AM$1)-COLUMN($A$1),FALSE)=0, VLOOKUP($D398, regions_ub[], COLUMN(AM$1)-COLUMN($A$1), FALSE), VLOOKUP($A398,raw_ub[],COLUMN(AM$1)-COLUMN($A$1),FALSE))</f>
        <v>2.6425698031158746E-3</v>
      </c>
      <c r="AM398" s="72">
        <f>IF(VLOOKUP($A398,raw_ub[],COLUMN(AN$1)-COLUMN($A$1),FALSE)=0, VLOOKUP($D398, regions_ub[], COLUMN(AN$1)-COLUMN($A$1), FALSE), VLOOKUP($A398,raw_ub[],COLUMN(AN$1)-COLUMN($A$1),FALSE))</f>
        <v>4.2088551208562903E-3</v>
      </c>
      <c r="AN398" s="72">
        <f>IF(VLOOKUP($A398,raw_ub[],COLUMN(AO$1)-COLUMN($A$1),FALSE)=0, VLOOKUP($D398, regions_ub[], COLUMN(AO$1)-COLUMN($A$1), FALSE), VLOOKUP($A398,raw_ub[],COLUMN(AO$1)-COLUMN($A$1),FALSE))</f>
        <v>6.9056182402854925E-3</v>
      </c>
      <c r="AO398" s="72">
        <f>IF(VLOOKUP($A398,raw_ub[],COLUMN(AP$1)-COLUMN($A$1),FALSE)=0, VLOOKUP($D398, regions_ub[], COLUMN(AP$1)-COLUMN($A$1), FALSE), VLOOKUP($A398,raw_ub[],COLUMN(AP$1)-COLUMN($A$1),FALSE))</f>
        <v>1.1840526556369949E-2</v>
      </c>
      <c r="AP398" s="72">
        <f>IF(VLOOKUP($A398,raw_ub[],COLUMN(AQ$1)-COLUMN($A$1),FALSE)=0, VLOOKUP($D398, regions_ub[], COLUMN(AQ$1)-COLUMN($A$1), FALSE), VLOOKUP($A398,raw_ub[],COLUMN(AQ$1)-COLUMN($A$1),FALSE))</f>
        <v>1.9002846145813657E-2</v>
      </c>
      <c r="AQ398" s="72">
        <f>IF(VLOOKUP($A398,raw_ub[],COLUMN(AR$1)-COLUMN($A$1),FALSE)=0, VLOOKUP($D398, regions_ub[], COLUMN(AR$1)-COLUMN($A$1), FALSE), VLOOKUP($A398,raw_ub[],COLUMN(AR$1)-COLUMN($A$1),FALSE))</f>
        <v>3.0204594275904897E-2</v>
      </c>
      <c r="AR398" s="72">
        <f>IF(VLOOKUP($A398,raw_ub[],COLUMN(AS$1)-COLUMN($A$1),FALSE)=0, VLOOKUP($D398, regions_ub[], COLUMN(AS$1)-COLUMN($A$1), FALSE), VLOOKUP($A398,raw_ub[],COLUMN(AS$1)-COLUMN($A$1),FALSE))</f>
        <v>4.7898170104014398E-2</v>
      </c>
      <c r="AS398" s="72">
        <f>IF(VLOOKUP($A398,raw_ub[],COLUMN(AT$1)-COLUMN($A$1),FALSE)=0, VLOOKUP($D398, regions_ub[], COLUMN(AT$1)-COLUMN($A$1), FALSE), VLOOKUP($A398,raw_ub[],COLUMN(AT$1)-COLUMN($A$1),FALSE))</f>
        <v>7.3564634916089236E-2</v>
      </c>
      <c r="AT398" s="82">
        <f>IF(VLOOKUP($A398,raw_ub[],COLUMN(AT$1),FALSE)=0, VLOOKUP($D398, regions_ub[], COLUMN(AT$1), FALSE), VLOOKUP($A398,raw_ub[],COLUMN(AT$1),FALSE))</f>
        <v>0.10511155068601673</v>
      </c>
      <c r="AU398" s="82">
        <f>IF(VLOOKUP($A398,raw_ub[],COLUMN(AU$1),FALSE)=0, VLOOKUP($D398, regions_ub[], COLUMN(AU$1), FALSE), VLOOKUP($A398,raw_ub[],COLUMN(AU$1),FALSE))</f>
        <v>0.13933486124914579</v>
      </c>
      <c r="AV398" s="82">
        <f>IF(VLOOKUP($A398,raw_ub[],COLUMN(AV$1),FALSE)=0, VLOOKUP($D398, regions_ub[], COLUMN(AV$1), FALSE), VLOOKUP($A398,raw_ub[],COLUMN(AV$1),FALSE))</f>
        <v>0.16727135549032718</v>
      </c>
      <c r="AW398" s="82">
        <f>IF(VLOOKUP($A398,raw_ub[],COLUMN(AW$1),FALSE)=0, VLOOKUP($D398, regions_ub[], COLUMN(AW$1), FALSE), VLOOKUP($A398,raw_ub[],COLUMN(AW$1),FALSE))</f>
        <v>0.18687092370569863</v>
      </c>
      <c r="AX398" s="82">
        <f>IF(VLOOKUP($A398,raw_ub[],COLUMN(AX$1),FALSE)=0, VLOOKUP($D398, regions_ub[], COLUMN(AX$1), FALSE), VLOOKUP($A398,raw_ub[],COLUMN(AX$1),FALSE))</f>
        <v>72.610650000000007</v>
      </c>
      <c r="AY398" t="str">
        <f t="shared" si="13"/>
        <v>No</v>
      </c>
    </row>
    <row r="399" spans="1:51" x14ac:dyDescent="0.25">
      <c r="A399" s="55" t="s">
        <v>466</v>
      </c>
      <c r="B399" s="56" t="s">
        <v>467</v>
      </c>
      <c r="C399" s="56">
        <v>768</v>
      </c>
      <c r="D399" s="56" t="s">
        <v>207</v>
      </c>
      <c r="E399" s="56" t="s">
        <v>235</v>
      </c>
      <c r="F399" s="56" t="s">
        <v>211</v>
      </c>
      <c r="G399" s="56" t="s">
        <v>198</v>
      </c>
      <c r="H399" s="74"/>
      <c r="I399" s="74"/>
      <c r="J399" s="67">
        <f>IF(VLOOKUP($A399,raw_ub[],COLUMN(J$1),FALSE)=0, VLOOKUP($D399, regions_ub[], COLUMN(J$1), FALSE), VLOOKUP($A399,raw_ub[],COLUMN(J$1),FALSE))</f>
        <v>0.84000000000000008</v>
      </c>
      <c r="K399" s="77">
        <f>VLOOKUP($A399, raw_ub[], 11, FALSE)</f>
        <v>0</v>
      </c>
      <c r="L399" s="77">
        <f>VLOOKUP($A399, raw_ub[], 12, FALSE)</f>
        <v>0.86099999999999999</v>
      </c>
      <c r="M399" s="77">
        <f>IF(VLOOKUP($A399,raw_ub[],COLUMN(M$1),FALSE)=0, VLOOKUP($D399, regions_ub[], COLUMN(M$1), FALSE), VLOOKUP($A399,raw_ub[],COLUMN(M$1),FALSE))</f>
        <v>0.14610000000000001</v>
      </c>
      <c r="N399" s="68">
        <f>IF(VLOOKUP($A399,raw_ub[],COLUMN(N$1),FALSE)=0, VLOOKUP($D399, regions_ub[], COLUMN(N$1), FALSE), VLOOKUP($A399,raw_ub[],COLUMN(N$1),FALSE))</f>
        <v>0.41070000000000001</v>
      </c>
      <c r="O399" s="67">
        <f>IF(VLOOKUP($A399,raw_ub[],COLUMN(O$1),FALSE)=0, VLOOKUP($D399, regions_ub[], COLUMN(O$1), FALSE), VLOOKUP($A399,raw_ub[],COLUMN(O$1),FALSE))</f>
        <v>0.74399999999999999</v>
      </c>
      <c r="P399" s="68">
        <f>IF(VLOOKUP($A399,raw_ub[],COLUMN(P$1),FALSE)=0, VLOOKUP($D399, regions_ub[], COLUMN(P$1), FALSE), VLOOKUP($A399,raw_ub[],COLUMN(P$1),FALSE))</f>
        <v>0.13300000000000001</v>
      </c>
      <c r="Q399" s="70">
        <f>IF(VLOOKUP($A399,raw_ub[],COLUMN(Q$1),FALSE)=0, VLOOKUP($D399, regions_ub[], COLUMN(Q$1), FALSE), VLOOKUP($A399,raw_ub[],COLUMN(Q$1),FALSE))</f>
        <v>6.3227385656292299</v>
      </c>
      <c r="R399" s="70">
        <f>IF(VLOOKUP($A399,raw_ub[],COLUMN(R$1),FALSE)=0, VLOOKUP($D399, regions_ub[], COLUMN(R$1), FALSE), VLOOKUP($A399,raw_ub[],COLUMN(R$1),FALSE))</f>
        <v>115.30853856562925</v>
      </c>
      <c r="S399" s="70">
        <f>IF(VLOOKUP($A399,raw_ub[],COLUMN(S$1),FALSE)=0, VLOOKUP($D399, regions_ub[], COLUMN(S$1), FALSE), VLOOKUP($A399,raw_ub[],COLUMN(S$1),FALSE))</f>
        <v>146.35918152425722</v>
      </c>
      <c r="T399" s="70">
        <f>IF(VLOOKUP($A399,raw_ub[],COLUMN(U$1)-COLUMN($A$1),FALSE)=0, VLOOKUP($D399, regions_ub[], COLUMN(U$1)-COLUMN($A$1), FALSE), VLOOKUP($A399,raw_ub[],COLUMN(U$1)-COLUMN($A$1),FALSE))</f>
        <v>147.31196720115111</v>
      </c>
      <c r="U399" s="70">
        <f>IF(VLOOKUP($A399,raw_ub[],COLUMN(V$1)-COLUMN($A$1),FALSE)=0, VLOOKUP($D399, regions_ub[], COLUMN(V$1)-COLUMN($A$1), FALSE), VLOOKUP($A399,raw_ub[],COLUMN(V$1)-COLUMN($A$1),FALSE))</f>
        <v>146.874468157645</v>
      </c>
      <c r="V399" s="70">
        <f>IF(VLOOKUP($A399,raw_ub[],COLUMN(W$1)-COLUMN($A$1),FALSE)=0, VLOOKUP($D399, regions_ub[], COLUMN(W$1)-COLUMN($A$1), FALSE), VLOOKUP($A399,raw_ub[],COLUMN(W$1)-COLUMN($A$1),FALSE))</f>
        <v>4.8467924730694794</v>
      </c>
      <c r="W399" s="70">
        <f>IF(VLOOKUP($A399,raw_ub[],COLUMN(X$1)-COLUMN($A$1),FALSE)=0, VLOOKUP($D399, regions_ub[], COLUMN(X$1)-COLUMN($A$1), FALSE), VLOOKUP($A399,raw_ub[],COLUMN(X$1)-COLUMN($A$1),FALSE))</f>
        <v>9.9182924730694797</v>
      </c>
      <c r="X399" s="70">
        <f>IF(VLOOKUP($A399,raw_ub[],COLUMN(Y$1)-COLUMN($A$1),FALSE)=0, VLOOKUP($D399, regions_ub[], COLUMN(Y$1)-COLUMN($A$1), FALSE), VLOOKUP($A399,raw_ub[],COLUMN(Y$1)-COLUMN($A$1),FALSE))</f>
        <v>4.8316001920383336</v>
      </c>
      <c r="Y399" s="70">
        <f>IF(VLOOKUP($A399,raw_ub[],COLUMN(Z$1)-COLUMN($A$1),FALSE)=0, VLOOKUP($D399, regions_ub[], COLUMN(Z$1)-COLUMN($A$1), FALSE), VLOOKUP($A399,raw_ub[],COLUMN(Z$1)-COLUMN($A$1),FALSE))</f>
        <v>9.9031001920383339</v>
      </c>
      <c r="Z399" s="70">
        <f>IF(VLOOKUP($A399,raw_ub[],COLUMN(AA$1)-COLUMN($A$1),FALSE)=0, VLOOKUP($D399, regions_ub[], COLUMN(AA$1)-COLUMN($A$1), FALSE), VLOOKUP($A399,raw_ub[],COLUMN(AA$1)-COLUMN($A$1),FALSE))</f>
        <v>9.8948505121360384</v>
      </c>
      <c r="AA399" s="70">
        <f>IF(VLOOKUP($A399,raw_ub[],COLUMN(AB$1)-COLUMN($A$1),FALSE)=0, VLOOKUP($D399, regions_ub[], COLUMN(AB$1)-COLUMN($A$1), FALSE), VLOOKUP($A399,raw_ub[],COLUMN(AB$1)-COLUMN($A$1),FALSE))</f>
        <v>4.8502983840766669</v>
      </c>
      <c r="AB399" s="70">
        <f>IF(VLOOKUP($A399,raw_ub[],COLUMN(AC$1)-COLUMN($A$1),FALSE)=0, VLOOKUP($D399, regions_ub[], COLUMN(AC$1)-COLUMN($A$1), FALSE), VLOOKUP($A399,raw_ub[],COLUMN(AC$1)-COLUMN($A$1),FALSE))</f>
        <v>9.9217983840766664</v>
      </c>
      <c r="AC399" s="72">
        <f>IF(VLOOKUP($A399,raw_ub[],COLUMN(AD$1)-COLUMN($A$1),FALSE)=0, VLOOKUP($D399, regions_ub[], COLUMN(AD$1)-COLUMN($A$1), FALSE), VLOOKUP($A399,raw_ub[],COLUMN(AD$1)-COLUMN($A$1),FALSE))</f>
        <v>5.2181041500000074E-2</v>
      </c>
      <c r="AD399" s="72">
        <f>IF(VLOOKUP($A399,raw_ub[],COLUMN(AE$1)-COLUMN($A$1),FALSE)=0, VLOOKUP($D399, regions_ub[], COLUMN(AE$1)-COLUMN($A$1), FALSE), VLOOKUP($A399,raw_ub[],COLUMN(AE$1)-COLUMN($A$1),FALSE))</f>
        <v>7.1062857353496539E-3</v>
      </c>
      <c r="AE399" s="72">
        <f>IF(VLOOKUP($A399,raw_ub[],COLUMN(AF$1)-COLUMN($A$1),FALSE)=0, VLOOKUP($D399, regions_ub[], COLUMN(AF$1)-COLUMN($A$1), FALSE), VLOOKUP($A399,raw_ub[],COLUMN(AF$1)-COLUMN($A$1),FALSE))</f>
        <v>3.2495120257947613E-3</v>
      </c>
      <c r="AF399" s="72">
        <f>IF(VLOOKUP($A399,raw_ub[],COLUMN(AG$1)-COLUMN($A$1),FALSE)=0, VLOOKUP($D399, regions_ub[], COLUMN(AG$1)-COLUMN($A$1), FALSE), VLOOKUP($A399,raw_ub[],COLUMN(AG$1)-COLUMN($A$1),FALSE))</f>
        <v>1.9018587183679549E-3</v>
      </c>
      <c r="AG399" s="72">
        <f>IF(VLOOKUP($A399,raw_ub[],COLUMN(AH$1)-COLUMN($A$1),FALSE)=0, VLOOKUP($D399, regions_ub[], COLUMN(AH$1)-COLUMN($A$1), FALSE), VLOOKUP($A399,raw_ub[],COLUMN(AH$1)-COLUMN($A$1),FALSE))</f>
        <v>2.9044530854527889E-3</v>
      </c>
      <c r="AH399" s="72">
        <f>IF(VLOOKUP($A399,raw_ub[],COLUMN(AI$1)-COLUMN($A$1),FALSE)=0, VLOOKUP($D399, regions_ub[], COLUMN(AI$1)-COLUMN($A$1), FALSE), VLOOKUP($A399,raw_ub[],COLUMN(AI$1)-COLUMN($A$1),FALSE))</f>
        <v>4.0566853686809295E-3</v>
      </c>
      <c r="AI399" s="72">
        <f>IF(VLOOKUP($A399,raw_ub[],COLUMN(AJ$1)-COLUMN($A$1),FALSE)=0, VLOOKUP($D399, regions_ub[], COLUMN(AJ$1)-COLUMN($A$1), FALSE), VLOOKUP($A399,raw_ub[],COLUMN(AJ$1)-COLUMN($A$1),FALSE))</f>
        <v>4.3130451395077124E-3</v>
      </c>
      <c r="AJ399" s="72">
        <f>IF(VLOOKUP($A399,raw_ub[],COLUMN(AK$1)-COLUMN($A$1),FALSE)=0, VLOOKUP($D399, regions_ub[], COLUMN(AK$1)-COLUMN($A$1), FALSE), VLOOKUP($A399,raw_ub[],COLUMN(AK$1)-COLUMN($A$1),FALSE))</f>
        <v>4.7195825330234959E-3</v>
      </c>
      <c r="AK399" s="72">
        <f>IF(VLOOKUP($A399,raw_ub[],COLUMN(AL$1)-COLUMN($A$1),FALSE)=0, VLOOKUP($D399, regions_ub[], COLUMN(AL$1)-COLUMN($A$1), FALSE), VLOOKUP($A399,raw_ub[],COLUMN(AL$1)-COLUMN($A$1),FALSE))</f>
        <v>5.3660789664378107E-3</v>
      </c>
      <c r="AL399" s="72">
        <f>IF(VLOOKUP($A399,raw_ub[],COLUMN(AM$1)-COLUMN($A$1),FALSE)=0, VLOOKUP($D399, regions_ub[], COLUMN(AM$1)-COLUMN($A$1), FALSE), VLOOKUP($A399,raw_ub[],COLUMN(AM$1)-COLUMN($A$1),FALSE))</f>
        <v>6.5204945819310797E-3</v>
      </c>
      <c r="AM399" s="72">
        <f>IF(VLOOKUP($A399,raw_ub[],COLUMN(AN$1)-COLUMN($A$1),FALSE)=0, VLOOKUP($D399, regions_ub[], COLUMN(AN$1)-COLUMN($A$1), FALSE), VLOOKUP($A399,raw_ub[],COLUMN(AN$1)-COLUMN($A$1),FALSE))</f>
        <v>8.0653621666472546E-3</v>
      </c>
      <c r="AN399" s="72">
        <f>IF(VLOOKUP($A399,raw_ub[],COLUMN(AO$1)-COLUMN($A$1),FALSE)=0, VLOOKUP($D399, regions_ub[], COLUMN(AO$1)-COLUMN($A$1), FALSE), VLOOKUP($A399,raw_ub[],COLUMN(AO$1)-COLUMN($A$1),FALSE))</f>
        <v>1.1219568067823987E-2</v>
      </c>
      <c r="AO399" s="72">
        <f>IF(VLOOKUP($A399,raw_ub[],COLUMN(AP$1)-COLUMN($A$1),FALSE)=0, VLOOKUP($D399, regions_ub[], COLUMN(AP$1)-COLUMN($A$1), FALSE), VLOOKUP($A399,raw_ub[],COLUMN(AP$1)-COLUMN($A$1),FALSE))</f>
        <v>1.5866601707778698E-2</v>
      </c>
      <c r="AP399" s="72">
        <f>IF(VLOOKUP($A399,raw_ub[],COLUMN(AQ$1)-COLUMN($A$1),FALSE)=0, VLOOKUP($D399, regions_ub[], COLUMN(AQ$1)-COLUMN($A$1), FALSE), VLOOKUP($A399,raw_ub[],COLUMN(AQ$1)-COLUMN($A$1),FALSE))</f>
        <v>2.456964127452399E-2</v>
      </c>
      <c r="AQ399" s="72">
        <f>IF(VLOOKUP($A399,raw_ub[],COLUMN(AR$1)-COLUMN($A$1),FALSE)=0, VLOOKUP($D399, regions_ub[], COLUMN(AR$1)-COLUMN($A$1), FALSE), VLOOKUP($A399,raw_ub[],COLUMN(AR$1)-COLUMN($A$1),FALSE))</f>
        <v>3.7635594000322257E-2</v>
      </c>
      <c r="AR399" s="72">
        <f>IF(VLOOKUP($A399,raw_ub[],COLUMN(AS$1)-COLUMN($A$1),FALSE)=0, VLOOKUP($D399, regions_ub[], COLUMN(AS$1)-COLUMN($A$1), FALSE), VLOOKUP($A399,raw_ub[],COLUMN(AS$1)-COLUMN($A$1),FALSE))</f>
        <v>5.9815114166494321E-2</v>
      </c>
      <c r="AS399" s="72">
        <f>IF(VLOOKUP($A399,raw_ub[],COLUMN(AT$1)-COLUMN($A$1),FALSE)=0, VLOOKUP($D399, regions_ub[], COLUMN(AT$1)-COLUMN($A$1), FALSE), VLOOKUP($A399,raw_ub[],COLUMN(AT$1)-COLUMN($A$1),FALSE))</f>
        <v>9.1196917910823794E-2</v>
      </c>
      <c r="AT399" s="82">
        <f>IF(VLOOKUP($A399,raw_ub[],COLUMN(AT$1),FALSE)=0, VLOOKUP($D399, regions_ub[], COLUMN(AT$1), FALSE), VLOOKUP($A399,raw_ub[],COLUMN(AT$1),FALSE))</f>
        <v>0.12916269213311854</v>
      </c>
      <c r="AU399" s="82">
        <f>IF(VLOOKUP($A399,raw_ub[],COLUMN(AU$1),FALSE)=0, VLOOKUP($D399, regions_ub[], COLUMN(AU$1), FALSE), VLOOKUP($A399,raw_ub[],COLUMN(AU$1),FALSE))</f>
        <v>0.16339425922731182</v>
      </c>
      <c r="AV399" s="82">
        <f>IF(VLOOKUP($A399,raw_ub[],COLUMN(AV$1),FALSE)=0, VLOOKUP($D399, regions_ub[], COLUMN(AV$1), FALSE), VLOOKUP($A399,raw_ub[],COLUMN(AV$1),FALSE))</f>
        <v>0.18667504558638601</v>
      </c>
      <c r="AW399" s="82">
        <f>IF(VLOOKUP($A399,raw_ub[],COLUMN(AW$1),FALSE)=0, VLOOKUP($D399, regions_ub[], COLUMN(AW$1), FALSE), VLOOKUP($A399,raw_ub[],COLUMN(AW$1),FALSE))</f>
        <v>0.2037613251426007</v>
      </c>
      <c r="AX399" s="82">
        <f>IF(VLOOKUP($A399,raw_ub[],COLUMN(AX$1),FALSE)=0, VLOOKUP($D399, regions_ub[], COLUMN(AX$1), FALSE), VLOOKUP($A399,raw_ub[],COLUMN(AX$1),FALSE))</f>
        <v>63.554400000000001</v>
      </c>
      <c r="AY399" t="str">
        <f t="shared" si="13"/>
        <v>Yes</v>
      </c>
    </row>
    <row r="400" spans="1:51" x14ac:dyDescent="0.25">
      <c r="A400" s="53" t="s">
        <v>468</v>
      </c>
      <c r="B400" s="54" t="s">
        <v>469</v>
      </c>
      <c r="C400" s="54">
        <v>776</v>
      </c>
      <c r="D400" s="54" t="s">
        <v>260</v>
      </c>
      <c r="E400" s="54" t="s">
        <v>309</v>
      </c>
      <c r="F400" s="54" t="s">
        <v>262</v>
      </c>
      <c r="G400" s="54" t="s">
        <v>204</v>
      </c>
      <c r="H400" s="73"/>
      <c r="I400" s="73"/>
      <c r="J400" s="67">
        <f>IF(VLOOKUP($A400,raw_ub[],COLUMN(J$1),FALSE)=0, VLOOKUP($D400, regions_ub[], COLUMN(J$1), FALSE), VLOOKUP($A400,raw_ub[],COLUMN(J$1),FALSE))</f>
        <v>0.999</v>
      </c>
      <c r="K400" s="77">
        <f>VLOOKUP($A400, raw_ub[], 11, FALSE)</f>
        <v>0.999</v>
      </c>
      <c r="L400" s="77">
        <f>VLOOKUP($A400, raw_ub[], 12, FALSE)</f>
        <v>0.999</v>
      </c>
      <c r="M400" s="77">
        <f>IF(VLOOKUP($A400,raw_ub[],COLUMN(M$1),FALSE)=0, VLOOKUP($D400, regions_ub[], COLUMN(M$1), FALSE), VLOOKUP($A400,raw_ub[],COLUMN(M$1),FALSE))</f>
        <v>0.10460000000000001</v>
      </c>
      <c r="N400" s="68">
        <f>IF(VLOOKUP($A400,raw_ub[],COLUMN(N$1),FALSE)=0, VLOOKUP($D400, regions_ub[], COLUMN(N$1), FALSE), VLOOKUP($A400,raw_ub[],COLUMN(N$1),FALSE))</f>
        <v>0.47889999999999999</v>
      </c>
      <c r="O400" s="67">
        <f>IF(VLOOKUP($A400,raw_ub[],COLUMN(O$1),FALSE)=0, VLOOKUP($D400, regions_ub[], COLUMN(O$1), FALSE), VLOOKUP($A400,raw_ub[],COLUMN(O$1),FALSE))</f>
        <v>0.9</v>
      </c>
      <c r="P400" s="68">
        <f>IF(VLOOKUP($A400,raw_ub[],COLUMN(P$1),FALSE)=0, VLOOKUP($D400, regions_ub[], COLUMN(P$1), FALSE), VLOOKUP($A400,raw_ub[],COLUMN(P$1),FALSE))</f>
        <v>0.3</v>
      </c>
      <c r="Q400" s="70">
        <f>IF(VLOOKUP($A400,raw_ub[],COLUMN(Q$1),FALSE)=0, VLOOKUP($D400, regions_ub[], COLUMN(Q$1), FALSE), VLOOKUP($A400,raw_ub[],COLUMN(Q$1),FALSE))</f>
        <v>19.722999999999999</v>
      </c>
      <c r="R400" s="70">
        <f>IF(VLOOKUP($A400,raw_ub[],COLUMN(R$1),FALSE)=0, VLOOKUP($D400, regions_ub[], COLUMN(R$1), FALSE), VLOOKUP($A400,raw_ub[],COLUMN(R$1),FALSE))</f>
        <v>128.7088</v>
      </c>
      <c r="S400" s="70">
        <f>IF(VLOOKUP($A400,raw_ub[],COLUMN(S$1),FALSE)=0, VLOOKUP($D400, regions_ub[], COLUMN(S$1), FALSE), VLOOKUP($A400,raw_ub[],COLUMN(S$1),FALSE))</f>
        <v>186.34985327752722</v>
      </c>
      <c r="T400" s="70">
        <f>IF(VLOOKUP($A400,raw_ub[],COLUMN(U$1)-COLUMN($A$1),FALSE)=0, VLOOKUP($D400, regions_ub[], COLUMN(U$1)-COLUMN($A$1), FALSE), VLOOKUP($A400,raw_ub[],COLUMN(U$1)-COLUMN($A$1),FALSE))</f>
        <v>201.14201816005576</v>
      </c>
      <c r="U400" s="70">
        <f>IF(VLOOKUP($A400,raw_ub[],COLUMN(V$1)-COLUMN($A$1),FALSE)=0, VLOOKUP($D400, regions_ub[], COLUMN(V$1)-COLUMN($A$1), FALSE), VLOOKUP($A400,raw_ub[],COLUMN(V$1)-COLUMN($A$1),FALSE))</f>
        <v>194.34976871253204</v>
      </c>
      <c r="V400" s="70">
        <f>IF(VLOOKUP($A400,raw_ub[],COLUMN(W$1)-COLUMN($A$1),FALSE)=0, VLOOKUP($D400, regions_ub[], COLUMN(W$1)-COLUMN($A$1), FALSE), VLOOKUP($A400,raw_ub[],COLUMN(W$1)-COLUMN($A$1),FALSE))</f>
        <v>18.897773365774004</v>
      </c>
      <c r="W400" s="70">
        <f>IF(VLOOKUP($A400,raw_ub[],COLUMN(X$1)-COLUMN($A$1),FALSE)=0, VLOOKUP($D400, regions_ub[], COLUMN(X$1)-COLUMN($A$1), FALSE), VLOOKUP($A400,raw_ub[],COLUMN(X$1)-COLUMN($A$1),FALSE))</f>
        <v>19.559273365774004</v>
      </c>
      <c r="X400" s="70">
        <f>IF(VLOOKUP($A400,raw_ub[],COLUMN(Y$1)-COLUMN($A$1),FALSE)=0, VLOOKUP($D400, regions_ub[], COLUMN(Y$1)-COLUMN($A$1), FALSE), VLOOKUP($A400,raw_ub[],COLUMN(Y$1)-COLUMN($A$1),FALSE))</f>
        <v>18.871591650082209</v>
      </c>
      <c r="Y400" s="70">
        <f>IF(VLOOKUP($A400,raw_ub[],COLUMN(Z$1)-COLUMN($A$1),FALSE)=0, VLOOKUP($D400, regions_ub[], COLUMN(Z$1)-COLUMN($A$1), FALSE), VLOOKUP($A400,raw_ub[],COLUMN(Z$1)-COLUMN($A$1),FALSE))</f>
        <v>19.533091650082209</v>
      </c>
      <c r="Z400" s="70">
        <f>IF(VLOOKUP($A400,raw_ub[],COLUMN(AA$1)-COLUMN($A$1),FALSE)=0, VLOOKUP($D400, regions_ub[], COLUMN(AA$1)-COLUMN($A$1), FALSE), VLOOKUP($A400,raw_ub[],COLUMN(AA$1)-COLUMN($A$1),FALSE))</f>
        <v>19.519424390381101</v>
      </c>
      <c r="AA400" s="70">
        <f>IF(VLOOKUP($A400,raw_ub[],COLUMN(AB$1)-COLUMN($A$1),FALSE)=0, VLOOKUP($D400, regions_ub[], COLUMN(AB$1)-COLUMN($A$1), FALSE), VLOOKUP($A400,raw_ub[],COLUMN(AB$1)-COLUMN($A$1),FALSE))</f>
        <v>18.903815300164418</v>
      </c>
      <c r="AB400" s="70">
        <f>IF(VLOOKUP($A400,raw_ub[],COLUMN(AC$1)-COLUMN($A$1),FALSE)=0, VLOOKUP($D400, regions_ub[], COLUMN(AC$1)-COLUMN($A$1), FALSE), VLOOKUP($A400,raw_ub[],COLUMN(AC$1)-COLUMN($A$1),FALSE))</f>
        <v>19.565315300164418</v>
      </c>
      <c r="AC400" s="72">
        <f>IF(VLOOKUP($A400,raw_ub[],COLUMN(AD$1)-COLUMN($A$1),FALSE)=0, VLOOKUP($D400, regions_ub[], COLUMN(AD$1)-COLUMN($A$1), FALSE), VLOOKUP($A400,raw_ub[],COLUMN(AD$1)-COLUMN($A$1),FALSE))</f>
        <v>1.3142461500000004E-2</v>
      </c>
      <c r="AD400" s="72">
        <f>IF(VLOOKUP($A400,raw_ub[],COLUMN(AE$1)-COLUMN($A$1),FALSE)=0, VLOOKUP($D400, regions_ub[], COLUMN(AE$1)-COLUMN($A$1), FALSE), VLOOKUP($A400,raw_ub[],COLUMN(AE$1)-COLUMN($A$1),FALSE))</f>
        <v>8.2515440234705837E-4</v>
      </c>
      <c r="AE400" s="72">
        <f>IF(VLOOKUP($A400,raw_ub[],COLUMN(AF$1)-COLUMN($A$1),FALSE)=0, VLOOKUP($D400, regions_ub[], COLUMN(AF$1)-COLUMN($A$1), FALSE), VLOOKUP($A400,raw_ub[],COLUMN(AF$1)-COLUMN($A$1),FALSE))</f>
        <v>4.1801632007142146E-4</v>
      </c>
      <c r="AF400" s="72">
        <f>IF(VLOOKUP($A400,raw_ub[],COLUMN(AG$1)-COLUMN($A$1),FALSE)=0, VLOOKUP($D400, regions_ub[], COLUMN(AG$1)-COLUMN($A$1), FALSE), VLOOKUP($A400,raw_ub[],COLUMN(AG$1)-COLUMN($A$1),FALSE))</f>
        <v>3.9704461985552817E-4</v>
      </c>
      <c r="AG400" s="72">
        <f>IF(VLOOKUP($A400,raw_ub[],COLUMN(AH$1)-COLUMN($A$1),FALSE)=0, VLOOKUP($D400, regions_ub[], COLUMN(AH$1)-COLUMN($A$1), FALSE), VLOOKUP($A400,raw_ub[],COLUMN(AH$1)-COLUMN($A$1),FALSE))</f>
        <v>9.920878464068424E-4</v>
      </c>
      <c r="AH400" s="72">
        <f>IF(VLOOKUP($A400,raw_ub[],COLUMN(AI$1)-COLUMN($A$1),FALSE)=0, VLOOKUP($D400, regions_ub[], COLUMN(AI$1)-COLUMN($A$1), FALSE), VLOOKUP($A400,raw_ub[],COLUMN(AI$1)-COLUMN($A$1),FALSE))</f>
        <v>1.4418868747507157E-3</v>
      </c>
      <c r="AI400" s="72">
        <f>IF(VLOOKUP($A400,raw_ub[],COLUMN(AJ$1)-COLUMN($A$1),FALSE)=0, VLOOKUP($D400, regions_ub[], COLUMN(AJ$1)-COLUMN($A$1), FALSE), VLOOKUP($A400,raw_ub[],COLUMN(AJ$1)-COLUMN($A$1),FALSE))</f>
        <v>1.5780662177807072E-3</v>
      </c>
      <c r="AJ400" s="72">
        <f>IF(VLOOKUP($A400,raw_ub[],COLUMN(AK$1)-COLUMN($A$1),FALSE)=0, VLOOKUP($D400, regions_ub[], COLUMN(AK$1)-COLUMN($A$1), FALSE), VLOOKUP($A400,raw_ub[],COLUMN(AK$1)-COLUMN($A$1),FALSE))</f>
        <v>1.8866966642702339E-3</v>
      </c>
      <c r="AK400" s="72">
        <f>IF(VLOOKUP($A400,raw_ub[],COLUMN(AL$1)-COLUMN($A$1),FALSE)=0, VLOOKUP($D400, regions_ub[], COLUMN(AL$1)-COLUMN($A$1), FALSE), VLOOKUP($A400,raw_ub[],COLUMN(AL$1)-COLUMN($A$1),FALSE))</f>
        <v>2.5429317960542386E-3</v>
      </c>
      <c r="AL400" s="72">
        <f>IF(VLOOKUP($A400,raw_ub[],COLUMN(AM$1)-COLUMN($A$1),FALSE)=0, VLOOKUP($D400, regions_ub[], COLUMN(AM$1)-COLUMN($A$1), FALSE), VLOOKUP($A400,raw_ub[],COLUMN(AM$1)-COLUMN($A$1),FALSE))</f>
        <v>3.6548412816302229E-3</v>
      </c>
      <c r="AM400" s="72">
        <f>IF(VLOOKUP($A400,raw_ub[],COLUMN(AN$1)-COLUMN($A$1),FALSE)=0, VLOOKUP($D400, regions_ub[], COLUMN(AN$1)-COLUMN($A$1), FALSE), VLOOKUP($A400,raw_ub[],COLUMN(AN$1)-COLUMN($A$1),FALSE))</f>
        <v>5.4933801450625505E-3</v>
      </c>
      <c r="AN400" s="72">
        <f>IF(VLOOKUP($A400,raw_ub[],COLUMN(AO$1)-COLUMN($A$1),FALSE)=0, VLOOKUP($D400, regions_ub[], COLUMN(AO$1)-COLUMN($A$1), FALSE), VLOOKUP($A400,raw_ub[],COLUMN(AO$1)-COLUMN($A$1),FALSE))</f>
        <v>8.3032493594690365E-3</v>
      </c>
      <c r="AO400" s="72">
        <f>IF(VLOOKUP($A400,raw_ub[],COLUMN(AP$1)-COLUMN($A$1),FALSE)=0, VLOOKUP($D400, regions_ub[], COLUMN(AP$1)-COLUMN($A$1), FALSE), VLOOKUP($A400,raw_ub[],COLUMN(AP$1)-COLUMN($A$1),FALSE))</f>
        <v>1.2261459063966047E-2</v>
      </c>
      <c r="AP400" s="72">
        <f>IF(VLOOKUP($A400,raw_ub[],COLUMN(AQ$1)-COLUMN($A$1),FALSE)=0, VLOOKUP($D400, regions_ub[], COLUMN(AQ$1)-COLUMN($A$1), FALSE), VLOOKUP($A400,raw_ub[],COLUMN(AQ$1)-COLUMN($A$1),FALSE))</f>
        <v>1.9454465628032457E-2</v>
      </c>
      <c r="AQ400" s="72">
        <f>IF(VLOOKUP($A400,raw_ub[],COLUMN(AR$1)-COLUMN($A$1),FALSE)=0, VLOOKUP($D400, regions_ub[], COLUMN(AR$1)-COLUMN($A$1), FALSE), VLOOKUP($A400,raw_ub[],COLUMN(AR$1)-COLUMN($A$1),FALSE))</f>
        <v>3.0980011718835059E-2</v>
      </c>
      <c r="AR400" s="72">
        <f>IF(VLOOKUP($A400,raw_ub[],COLUMN(AS$1)-COLUMN($A$1),FALSE)=0, VLOOKUP($D400, regions_ub[], COLUMN(AS$1)-COLUMN($A$1), FALSE), VLOOKUP($A400,raw_ub[],COLUMN(AS$1)-COLUMN($A$1),FALSE))</f>
        <v>4.8035691411929475E-2</v>
      </c>
      <c r="AS400" s="72">
        <f>IF(VLOOKUP($A400,raw_ub[],COLUMN(AT$1)-COLUMN($A$1),FALSE)=0, VLOOKUP($D400, regions_ub[], COLUMN(AT$1)-COLUMN($A$1), FALSE), VLOOKUP($A400,raw_ub[],COLUMN(AT$1)-COLUMN($A$1),FALSE))</f>
        <v>7.2241034395332165E-2</v>
      </c>
      <c r="AT400" s="82">
        <f>IF(VLOOKUP($A400,raw_ub[],COLUMN(AT$1),FALSE)=0, VLOOKUP($D400, regions_ub[], COLUMN(AT$1), FALSE), VLOOKUP($A400,raw_ub[],COLUMN(AT$1),FALSE))</f>
        <v>0.10456161160101302</v>
      </c>
      <c r="AU400" s="82">
        <f>IF(VLOOKUP($A400,raw_ub[],COLUMN(AU$1),FALSE)=0, VLOOKUP($D400, regions_ub[], COLUMN(AU$1), FALSE), VLOOKUP($A400,raw_ub[],COLUMN(AU$1),FALSE))</f>
        <v>0.14108433240940566</v>
      </c>
      <c r="AV400" s="82">
        <f>IF(VLOOKUP($A400,raw_ub[],COLUMN(AV$1),FALSE)=0, VLOOKUP($D400, regions_ub[], COLUMN(AV$1), FALSE), VLOOKUP($A400,raw_ub[],COLUMN(AV$1),FALSE))</f>
        <v>0.17208397875185233</v>
      </c>
      <c r="AW400" s="82">
        <f>IF(VLOOKUP($A400,raw_ub[],COLUMN(AW$1),FALSE)=0, VLOOKUP($D400, regions_ub[], COLUMN(AW$1), FALSE), VLOOKUP($A400,raw_ub[],COLUMN(AW$1),FALSE))</f>
        <v>0.19108905187618003</v>
      </c>
      <c r="AX400" s="82">
        <f>IF(VLOOKUP($A400,raw_ub[],COLUMN(AX$1),FALSE)=0, VLOOKUP($D400, regions_ub[], COLUMN(AX$1), FALSE), VLOOKUP($A400,raw_ub[],COLUMN(AX$1),FALSE))</f>
        <v>74.278050000000007</v>
      </c>
      <c r="AY400" t="str">
        <f t="shared" si="13"/>
        <v>No</v>
      </c>
    </row>
    <row r="401" spans="1:51" x14ac:dyDescent="0.25">
      <c r="A401" s="55" t="s">
        <v>470</v>
      </c>
      <c r="B401" s="56" t="s">
        <v>471</v>
      </c>
      <c r="C401" s="56">
        <v>788</v>
      </c>
      <c r="D401" s="56" t="s">
        <v>196</v>
      </c>
      <c r="E401" s="56" t="s">
        <v>197</v>
      </c>
      <c r="F401" s="56" t="s">
        <v>197</v>
      </c>
      <c r="G401" s="56" t="s">
        <v>212</v>
      </c>
      <c r="H401" s="74"/>
      <c r="I401" s="74"/>
      <c r="J401" s="67">
        <f>IF(VLOOKUP($A401,raw_ub[],COLUMN(J$1),FALSE)=0, VLOOKUP($D401, regions_ub[], COLUMN(J$1), FALSE), VLOOKUP($A401,raw_ub[],COLUMN(J$1),FALSE))</f>
        <v>0.999</v>
      </c>
      <c r="K401" s="77">
        <f>VLOOKUP($A401, raw_ub[], 11, FALSE)</f>
        <v>0.77700000000000002</v>
      </c>
      <c r="L401" s="77">
        <f>VLOOKUP($A401, raw_ub[], 12, FALSE)</f>
        <v>0.96600000000000008</v>
      </c>
      <c r="M401" s="77">
        <f>IF(VLOOKUP($A401,raw_ub[],COLUMN(M$1),FALSE)=0, VLOOKUP($D401, regions_ub[], COLUMN(M$1), FALSE), VLOOKUP($A401,raw_ub[],COLUMN(M$1),FALSE))</f>
        <v>3.1E-2</v>
      </c>
      <c r="N401" s="68">
        <f>IF(VLOOKUP($A401,raw_ub[],COLUMN(N$1),FALSE)=0, VLOOKUP($D401, regions_ub[], COLUMN(N$1), FALSE), VLOOKUP($A401,raw_ub[],COLUMN(N$1),FALSE))</f>
        <v>0.37619999999999998</v>
      </c>
      <c r="O401" s="67">
        <f>IF(VLOOKUP($A401,raw_ub[],COLUMN(O$1),FALSE)=0, VLOOKUP($D401, regions_ub[], COLUMN(O$1), FALSE), VLOOKUP($A401,raw_ub[],COLUMN(O$1),FALSE))</f>
        <v>0.9</v>
      </c>
      <c r="P401" s="68">
        <f>IF(VLOOKUP($A401,raw_ub[],COLUMN(P$1),FALSE)=0, VLOOKUP($D401, regions_ub[], COLUMN(P$1), FALSE), VLOOKUP($A401,raw_ub[],COLUMN(P$1),FALSE))</f>
        <v>0.3</v>
      </c>
      <c r="Q401" s="70">
        <f>IF(VLOOKUP($A401,raw_ub[],COLUMN(Q$1),FALSE)=0, VLOOKUP($D401, regions_ub[], COLUMN(Q$1), FALSE), VLOOKUP($A401,raw_ub[],COLUMN(Q$1),FALSE))</f>
        <v>21.147511432325899</v>
      </c>
      <c r="R401" s="70">
        <f>IF(VLOOKUP($A401,raw_ub[],COLUMN(R$1),FALSE)=0, VLOOKUP($D401, regions_ub[], COLUMN(R$1), FALSE), VLOOKUP($A401,raw_ub[],COLUMN(R$1),FALSE))</f>
        <v>130.13331143232591</v>
      </c>
      <c r="S401" s="70">
        <f>IF(VLOOKUP($A401,raw_ub[],COLUMN(S$1),FALSE)=0, VLOOKUP($D401, regions_ub[], COLUMN(S$1), FALSE), VLOOKUP($A401,raw_ub[],COLUMN(S$1),FALSE))</f>
        <v>198.19323929305193</v>
      </c>
      <c r="T401" s="70">
        <f>IF(VLOOKUP($A401,raw_ub[],COLUMN(U$1)-COLUMN($A$1),FALSE)=0, VLOOKUP($D401, regions_ub[], COLUMN(U$1)-COLUMN($A$1), FALSE), VLOOKUP($A401,raw_ub[],COLUMN(U$1)-COLUMN($A$1),FALSE))</f>
        <v>218.40806424451344</v>
      </c>
      <c r="U401" s="70">
        <f>IF(VLOOKUP($A401,raw_ub[],COLUMN(V$1)-COLUMN($A$1),FALSE)=0, VLOOKUP($D401, regions_ub[], COLUMN(V$1)-COLUMN($A$1), FALSE), VLOOKUP($A401,raw_ub[],COLUMN(V$1)-COLUMN($A$1),FALSE))</f>
        <v>209.12584391376748</v>
      </c>
      <c r="V401" s="70">
        <f>IF(VLOOKUP($A401,raw_ub[],COLUMN(W$1)-COLUMN($A$1),FALSE)=0, VLOOKUP($D401, regions_ub[], COLUMN(W$1)-COLUMN($A$1), FALSE), VLOOKUP($A401,raw_ub[],COLUMN(W$1)-COLUMN($A$1),FALSE))</f>
        <v>8.7355276350470419</v>
      </c>
      <c r="W401" s="70">
        <f>IF(VLOOKUP($A401,raw_ub[],COLUMN(X$1)-COLUMN($A$1),FALSE)=0, VLOOKUP($D401, regions_ub[], COLUMN(X$1)-COLUMN($A$1), FALSE), VLOOKUP($A401,raw_ub[],COLUMN(X$1)-COLUMN($A$1),FALSE))</f>
        <v>9.2395276350470414</v>
      </c>
      <c r="X401" s="70">
        <f>IF(VLOOKUP($A401,raw_ub[],COLUMN(Y$1)-COLUMN($A$1),FALSE)=0, VLOOKUP($D401, regions_ub[], COLUMN(Y$1)-COLUMN($A$1), FALSE), VLOOKUP($A401,raw_ub[],COLUMN(Y$1)-COLUMN($A$1),FALSE))</f>
        <v>8.6957235917500935</v>
      </c>
      <c r="Y401" s="70">
        <f>IF(VLOOKUP($A401,raw_ub[],COLUMN(Z$1)-COLUMN($A$1),FALSE)=0, VLOOKUP($D401, regions_ub[], COLUMN(Z$1)-COLUMN($A$1), FALSE), VLOOKUP($A401,raw_ub[],COLUMN(Z$1)-COLUMN($A$1),FALSE))</f>
        <v>9.199723591750093</v>
      </c>
      <c r="Z401" s="70">
        <f>IF(VLOOKUP($A401,raw_ub[],COLUMN(AA$1)-COLUMN($A$1),FALSE)=0, VLOOKUP($D401, regions_ub[], COLUMN(AA$1)-COLUMN($A$1), FALSE), VLOOKUP($A401,raw_ub[],COLUMN(AA$1)-COLUMN($A$1),FALSE))</f>
        <v>9.1768198662821217</v>
      </c>
      <c r="AA401" s="70">
        <f>IF(VLOOKUP($A401,raw_ub[],COLUMN(AB$1)-COLUMN($A$1),FALSE)=0, VLOOKUP($D401, regions_ub[], COLUMN(AB$1)-COLUMN($A$1), FALSE), VLOOKUP($A401,raw_ub[],COLUMN(AB$1)-COLUMN($A$1),FALSE))</f>
        <v>8.7447131835001848</v>
      </c>
      <c r="AB401" s="70">
        <f>IF(VLOOKUP($A401,raw_ub[],COLUMN(AC$1)-COLUMN($A$1),FALSE)=0, VLOOKUP($D401, regions_ub[], COLUMN(AC$1)-COLUMN($A$1), FALSE), VLOOKUP($A401,raw_ub[],COLUMN(AC$1)-COLUMN($A$1),FALSE))</f>
        <v>9.2487131835001843</v>
      </c>
      <c r="AC401" s="72">
        <f>IF(VLOOKUP($A401,raw_ub[],COLUMN(AD$1)-COLUMN($A$1),FALSE)=0, VLOOKUP($D401, regions_ub[], COLUMN(AD$1)-COLUMN($A$1), FALSE), VLOOKUP($A401,raw_ub[],COLUMN(AD$1)-COLUMN($A$1),FALSE))</f>
        <v>1.3311543000000035E-2</v>
      </c>
      <c r="AD401" s="72">
        <f>IF(VLOOKUP($A401,raw_ub[],COLUMN(AE$1)-COLUMN($A$1),FALSE)=0, VLOOKUP($D401, regions_ub[], COLUMN(AE$1)-COLUMN($A$1), FALSE), VLOOKUP($A401,raw_ub[],COLUMN(AE$1)-COLUMN($A$1),FALSE))</f>
        <v>2.0608960899233625E-4</v>
      </c>
      <c r="AE401" s="72">
        <f>IF(VLOOKUP($A401,raw_ub[],COLUMN(AF$1)-COLUMN($A$1),FALSE)=0, VLOOKUP($D401, regions_ub[], COLUMN(AF$1)-COLUMN($A$1), FALSE), VLOOKUP($A401,raw_ub[],COLUMN(AF$1)-COLUMN($A$1),FALSE))</f>
        <v>1.5255083743129881E-4</v>
      </c>
      <c r="AF401" s="72">
        <f>IF(VLOOKUP($A401,raw_ub[],COLUMN(AG$1)-COLUMN($A$1),FALSE)=0, VLOOKUP($D401, regions_ub[], COLUMN(AG$1)-COLUMN($A$1), FALSE), VLOOKUP($A401,raw_ub[],COLUMN(AG$1)-COLUMN($A$1),FALSE))</f>
        <v>2.5796097022882431E-4</v>
      </c>
      <c r="AG401" s="72">
        <f>IF(VLOOKUP($A401,raw_ub[],COLUMN(AH$1)-COLUMN($A$1),FALSE)=0, VLOOKUP($D401, regions_ub[], COLUMN(AH$1)-COLUMN($A$1), FALSE), VLOOKUP($A401,raw_ub[],COLUMN(AH$1)-COLUMN($A$1),FALSE))</f>
        <v>3.8793349167197698E-4</v>
      </c>
      <c r="AH401" s="72">
        <f>IF(VLOOKUP($A401,raw_ub[],COLUMN(AI$1)-COLUMN($A$1),FALSE)=0, VLOOKUP($D401, regions_ub[], COLUMN(AI$1)-COLUMN($A$1), FALSE), VLOOKUP($A401,raw_ub[],COLUMN(AI$1)-COLUMN($A$1),FALSE))</f>
        <v>5.2729238093918477E-4</v>
      </c>
      <c r="AI401" s="72">
        <f>IF(VLOOKUP($A401,raw_ub[],COLUMN(AJ$1)-COLUMN($A$1),FALSE)=0, VLOOKUP($D401, regions_ub[], COLUMN(AJ$1)-COLUMN($A$1), FALSE), VLOOKUP($A401,raw_ub[],COLUMN(AJ$1)-COLUMN($A$1),FALSE))</f>
        <v>5.9878300731977237E-4</v>
      </c>
      <c r="AJ401" s="72">
        <f>IF(VLOOKUP($A401,raw_ub[],COLUMN(AK$1)-COLUMN($A$1),FALSE)=0, VLOOKUP($D401, regions_ub[], COLUMN(AK$1)-COLUMN($A$1), FALSE), VLOOKUP($A401,raw_ub[],COLUMN(AK$1)-COLUMN($A$1),FALSE))</f>
        <v>7.0216138782826817E-4</v>
      </c>
      <c r="AK401" s="72">
        <f>IF(VLOOKUP($A401,raw_ub[],COLUMN(AL$1)-COLUMN($A$1),FALSE)=0, VLOOKUP($D401, regions_ub[], COLUMN(AL$1)-COLUMN($A$1), FALSE), VLOOKUP($A401,raw_ub[],COLUMN(AL$1)-COLUMN($A$1),FALSE))</f>
        <v>9.8605699447690026E-4</v>
      </c>
      <c r="AL401" s="72">
        <f>IF(VLOOKUP($A401,raw_ub[],COLUMN(AM$1)-COLUMN($A$1),FALSE)=0, VLOOKUP($D401, regions_ub[], COLUMN(AM$1)-COLUMN($A$1), FALSE), VLOOKUP($A401,raw_ub[],COLUMN(AM$1)-COLUMN($A$1),FALSE))</f>
        <v>1.5704915089490585E-3</v>
      </c>
      <c r="AM401" s="72">
        <f>IF(VLOOKUP($A401,raw_ub[],COLUMN(AN$1)-COLUMN($A$1),FALSE)=0, VLOOKUP($D401, regions_ub[], COLUMN(AN$1)-COLUMN($A$1), FALSE), VLOOKUP($A401,raw_ub[],COLUMN(AN$1)-COLUMN($A$1),FALSE))</f>
        <v>2.580904568476268E-3</v>
      </c>
      <c r="AN401" s="72">
        <f>IF(VLOOKUP($A401,raw_ub[],COLUMN(AO$1)-COLUMN($A$1),FALSE)=0, VLOOKUP($D401, regions_ub[], COLUMN(AO$1)-COLUMN($A$1), FALSE), VLOOKUP($A401,raw_ub[],COLUMN(AO$1)-COLUMN($A$1),FALSE))</f>
        <v>4.4250712371072158E-3</v>
      </c>
      <c r="AO401" s="72">
        <f>IF(VLOOKUP($A401,raw_ub[],COLUMN(AP$1)-COLUMN($A$1),FALSE)=0, VLOOKUP($D401, regions_ub[], COLUMN(AP$1)-COLUMN($A$1), FALSE), VLOOKUP($A401,raw_ub[],COLUMN(AP$1)-COLUMN($A$1),FALSE))</f>
        <v>7.4090599119046871E-3</v>
      </c>
      <c r="AP401" s="72">
        <f>IF(VLOOKUP($A401,raw_ub[],COLUMN(AQ$1)-COLUMN($A$1),FALSE)=0, VLOOKUP($D401, regions_ub[], COLUMN(AQ$1)-COLUMN($A$1), FALSE), VLOOKUP($A401,raw_ub[],COLUMN(AQ$1)-COLUMN($A$1),FALSE))</f>
        <v>1.196662218810636E-2</v>
      </c>
      <c r="AQ401" s="72">
        <f>IF(VLOOKUP($A401,raw_ub[],COLUMN(AR$1)-COLUMN($A$1),FALSE)=0, VLOOKUP($D401, regions_ub[], COLUMN(AR$1)-COLUMN($A$1), FALSE), VLOOKUP($A401,raw_ub[],COLUMN(AR$1)-COLUMN($A$1),FALSE))</f>
        <v>1.8937553526277878E-2</v>
      </c>
      <c r="AR401" s="72">
        <f>IF(VLOOKUP($A401,raw_ub[],COLUMN(AS$1)-COLUMN($A$1),FALSE)=0, VLOOKUP($D401, regions_ub[], COLUMN(AS$1)-COLUMN($A$1), FALSE), VLOOKUP($A401,raw_ub[],COLUMN(AS$1)-COLUMN($A$1),FALSE))</f>
        <v>3.2473658281102477E-2</v>
      </c>
      <c r="AS401" s="72">
        <f>IF(VLOOKUP($A401,raw_ub[],COLUMN(AT$1)-COLUMN($A$1),FALSE)=0, VLOOKUP($D401, regions_ub[], COLUMN(AT$1)-COLUMN($A$1), FALSE), VLOOKUP($A401,raw_ub[],COLUMN(AT$1)-COLUMN($A$1),FALSE))</f>
        <v>5.4191825240946193E-2</v>
      </c>
      <c r="AT401" s="82">
        <f>IF(VLOOKUP($A401,raw_ub[],COLUMN(AT$1),FALSE)=0, VLOOKUP($D401, regions_ub[], COLUMN(AT$1), FALSE), VLOOKUP($A401,raw_ub[],COLUMN(AT$1),FALSE))</f>
        <v>8.4356729679455178E-2</v>
      </c>
      <c r="AU401" s="82">
        <f>IF(VLOOKUP($A401,raw_ub[],COLUMN(AU$1),FALSE)=0, VLOOKUP($D401, regions_ub[], COLUMN(AU$1), FALSE), VLOOKUP($A401,raw_ub[],COLUMN(AU$1),FALSE))</f>
        <v>0.11952868713079701</v>
      </c>
      <c r="AV401" s="82">
        <f>IF(VLOOKUP($A401,raw_ub[],COLUMN(AV$1),FALSE)=0, VLOOKUP($D401, regions_ub[], COLUMN(AV$1), FALSE), VLOOKUP($A401,raw_ub[],COLUMN(AV$1),FALSE))</f>
        <v>0.15178338475000064</v>
      </c>
      <c r="AW401" s="82">
        <f>IF(VLOOKUP($A401,raw_ub[],COLUMN(AW$1),FALSE)=0, VLOOKUP($D401, regions_ub[], COLUMN(AW$1), FALSE), VLOOKUP($A401,raw_ub[],COLUMN(AW$1),FALSE))</f>
        <v>0.17603360851768921</v>
      </c>
      <c r="AX401" s="82">
        <f>IF(VLOOKUP($A401,raw_ub[],COLUMN(AX$1),FALSE)=0, VLOOKUP($D401, regions_ub[], COLUMN(AX$1), FALSE), VLOOKUP($A401,raw_ub[],COLUMN(AX$1),FALSE))</f>
        <v>80.232600000000005</v>
      </c>
      <c r="AY401" t="str">
        <f t="shared" si="13"/>
        <v>No</v>
      </c>
    </row>
    <row r="402" spans="1:51" x14ac:dyDescent="0.25">
      <c r="A402" s="53" t="s">
        <v>472</v>
      </c>
      <c r="B402" s="54" t="s">
        <v>473</v>
      </c>
      <c r="C402" s="54">
        <v>792</v>
      </c>
      <c r="D402" s="54" t="s">
        <v>201</v>
      </c>
      <c r="E402" s="54" t="s">
        <v>197</v>
      </c>
      <c r="F402" s="54" t="s">
        <v>197</v>
      </c>
      <c r="G402" s="54" t="s">
        <v>204</v>
      </c>
      <c r="H402" s="73"/>
      <c r="I402" s="73"/>
      <c r="J402" s="67">
        <f>IF(VLOOKUP($A402,raw_ub[],COLUMN(J$1),FALSE)=0, VLOOKUP($D402, regions_ub[], COLUMN(J$1), FALSE), VLOOKUP($A402,raw_ub[],COLUMN(J$1),FALSE))</f>
        <v>0.999</v>
      </c>
      <c r="K402" s="77">
        <f>VLOOKUP($A402, raw_ub[], 11, FALSE)</f>
        <v>0.999</v>
      </c>
      <c r="L402" s="77">
        <f>VLOOKUP($A402, raw_ub[], 12, FALSE)</f>
        <v>0.999</v>
      </c>
      <c r="M402" s="77">
        <f>IF(VLOOKUP($A402,raw_ub[],COLUMN(M$1),FALSE)=0, VLOOKUP($D402, regions_ub[], COLUMN(M$1), FALSE), VLOOKUP($A402,raw_ub[],COLUMN(M$1),FALSE))</f>
        <v>3.6900000000000002E-2</v>
      </c>
      <c r="N402" s="68">
        <f>IF(VLOOKUP($A402,raw_ub[],COLUMN(N$1),FALSE)=0, VLOOKUP($D402, regions_ub[], COLUMN(N$1), FALSE), VLOOKUP($A402,raw_ub[],COLUMN(N$1),FALSE))</f>
        <v>0.37619999999999998</v>
      </c>
      <c r="O402" s="67">
        <f>IF(VLOOKUP($A402,raw_ub[],COLUMN(O$1),FALSE)=0, VLOOKUP($D402, regions_ub[], COLUMN(O$1), FALSE), VLOOKUP($A402,raw_ub[],COLUMN(O$1),FALSE))</f>
        <v>0.9</v>
      </c>
      <c r="P402" s="68">
        <f>IF(VLOOKUP($A402,raw_ub[],COLUMN(P$1),FALSE)=0, VLOOKUP($D402, regions_ub[], COLUMN(P$1), FALSE), VLOOKUP($A402,raw_ub[],COLUMN(P$1),FALSE))</f>
        <v>0.3</v>
      </c>
      <c r="Q402" s="70">
        <f>IF(VLOOKUP($A402,raw_ub[],COLUMN(Q$1),FALSE)=0, VLOOKUP($D402, regions_ub[], COLUMN(Q$1), FALSE), VLOOKUP($A402,raw_ub[],COLUMN(Q$1),FALSE))</f>
        <v>42.591111485974203</v>
      </c>
      <c r="R402" s="70">
        <f>IF(VLOOKUP($A402,raw_ub[],COLUMN(R$1),FALSE)=0, VLOOKUP($D402, regions_ub[], COLUMN(R$1), FALSE), VLOOKUP($A402,raw_ub[],COLUMN(R$1),FALSE))</f>
        <v>151.57691148597422</v>
      </c>
      <c r="S402" s="70">
        <f>IF(VLOOKUP($A402,raw_ub[],COLUMN(S$1),FALSE)=0, VLOOKUP($D402, regions_ub[], COLUMN(S$1), FALSE), VLOOKUP($A402,raw_ub[],COLUMN(S$1),FALSE))</f>
        <v>295.1658677485126</v>
      </c>
      <c r="T402" s="70">
        <f>IF(VLOOKUP($A402,raw_ub[],COLUMN(U$1)-COLUMN($A$1),FALSE)=0, VLOOKUP($D402, regions_ub[], COLUMN(U$1)-COLUMN($A$1), FALSE), VLOOKUP($A402,raw_ub[],COLUMN(U$1)-COLUMN($A$1),FALSE))</f>
        <v>354.69091215690753</v>
      </c>
      <c r="U402" s="70">
        <f>IF(VLOOKUP($A402,raw_ub[],COLUMN(V$1)-COLUMN($A$1),FALSE)=0, VLOOKUP($D402, regions_ub[], COLUMN(V$1)-COLUMN($A$1), FALSE), VLOOKUP($A402,raw_ub[],COLUMN(V$1)-COLUMN($A$1),FALSE))</f>
        <v>327.35826996372282</v>
      </c>
      <c r="V402" s="70">
        <f>IF(VLOOKUP($A402,raw_ub[],COLUMN(W$1)-COLUMN($A$1),FALSE)=0, VLOOKUP($D402, regions_ub[], COLUMN(W$1)-COLUMN($A$1), FALSE), VLOOKUP($A402,raw_ub[],COLUMN(W$1)-COLUMN($A$1),FALSE))</f>
        <v>10.925734425936151</v>
      </c>
      <c r="W402" s="70">
        <f>IF(VLOOKUP($A402,raw_ub[],COLUMN(X$1)-COLUMN($A$1),FALSE)=0, VLOOKUP($D402, regions_ub[], COLUMN(X$1)-COLUMN($A$1), FALSE), VLOOKUP($A402,raw_ub[],COLUMN(X$1)-COLUMN($A$1),FALSE))</f>
        <v>11.42973442593615</v>
      </c>
      <c r="X402" s="70">
        <f>IF(VLOOKUP($A402,raw_ub[],COLUMN(Y$1)-COLUMN($A$1),FALSE)=0, VLOOKUP($D402, regions_ub[], COLUMN(Y$1)-COLUMN($A$1), FALSE), VLOOKUP($A402,raw_ub[],COLUMN(Y$1)-COLUMN($A$1),FALSE))</f>
        <v>10.874299062585463</v>
      </c>
      <c r="Y402" s="70">
        <f>IF(VLOOKUP($A402,raw_ub[],COLUMN(Z$1)-COLUMN($A$1),FALSE)=0, VLOOKUP($D402, regions_ub[], COLUMN(Z$1)-COLUMN($A$1), FALSE), VLOOKUP($A402,raw_ub[],COLUMN(Z$1)-COLUMN($A$1),FALSE))</f>
        <v>11.378299062585462</v>
      </c>
      <c r="Z402" s="70">
        <f>IF(VLOOKUP($A402,raw_ub[],COLUMN(AA$1)-COLUMN($A$1),FALSE)=0, VLOOKUP($D402, regions_ub[], COLUMN(AA$1)-COLUMN($A$1), FALSE), VLOOKUP($A402,raw_ub[],COLUMN(AA$1)-COLUMN($A$1),FALSE))</f>
        <v>11.349245121344097</v>
      </c>
      <c r="AA402" s="70">
        <f>IF(VLOOKUP($A402,raw_ub[],COLUMN(AB$1)-COLUMN($A$1),FALSE)=0, VLOOKUP($D402, regions_ub[], COLUMN(AB$1)-COLUMN($A$1), FALSE), VLOOKUP($A402,raw_ub[],COLUMN(AB$1)-COLUMN($A$1),FALSE))</f>
        <v>10.937604125170925</v>
      </c>
      <c r="AB402" s="70">
        <f>IF(VLOOKUP($A402,raw_ub[],COLUMN(AC$1)-COLUMN($A$1),FALSE)=0, VLOOKUP($D402, regions_ub[], COLUMN(AC$1)-COLUMN($A$1), FALSE), VLOOKUP($A402,raw_ub[],COLUMN(AC$1)-COLUMN($A$1),FALSE))</f>
        <v>11.441604125170924</v>
      </c>
      <c r="AC402" s="72">
        <f>IF(VLOOKUP($A402,raw_ub[],COLUMN(AD$1)-COLUMN($A$1),FALSE)=0, VLOOKUP($D402, regions_ub[], COLUMN(AD$1)-COLUMN($A$1), FALSE), VLOOKUP($A402,raw_ub[],COLUMN(AD$1)-COLUMN($A$1),FALSE))</f>
        <v>9.3465749999999403E-3</v>
      </c>
      <c r="AD402" s="72">
        <f>IF(VLOOKUP($A402,raw_ub[],COLUMN(AE$1)-COLUMN($A$1),FALSE)=0, VLOOKUP($D402, regions_ub[], COLUMN(AE$1)-COLUMN($A$1), FALSE), VLOOKUP($A402,raw_ub[],COLUMN(AE$1)-COLUMN($A$1),FALSE))</f>
        <v>1.1518711308714572E-3</v>
      </c>
      <c r="AE402" s="72">
        <f>IF(VLOOKUP($A402,raw_ub[],COLUMN(AF$1)-COLUMN($A$1),FALSE)=0, VLOOKUP($D402, regions_ub[], COLUMN(AF$1)-COLUMN($A$1), FALSE), VLOOKUP($A402,raw_ub[],COLUMN(AF$1)-COLUMN($A$1),FALSE))</f>
        <v>7.164541905813846E-4</v>
      </c>
      <c r="AF402" s="72">
        <f>IF(VLOOKUP($A402,raw_ub[],COLUMN(AG$1)-COLUMN($A$1),FALSE)=0, VLOOKUP($D402, regions_ub[], COLUMN(AG$1)-COLUMN($A$1), FALSE), VLOOKUP($A402,raw_ub[],COLUMN(AG$1)-COLUMN($A$1),FALSE))</f>
        <v>6.1208562686156673E-4</v>
      </c>
      <c r="AG402" s="72">
        <f>IF(VLOOKUP($A402,raw_ub[],COLUMN(AH$1)-COLUMN($A$1),FALSE)=0, VLOOKUP($D402, regions_ub[], COLUMN(AH$1)-COLUMN($A$1), FALSE), VLOOKUP($A402,raw_ub[],COLUMN(AH$1)-COLUMN($A$1),FALSE))</f>
        <v>7.2619137537621086E-4</v>
      </c>
      <c r="AH402" s="72">
        <f>IF(VLOOKUP($A402,raw_ub[],COLUMN(AI$1)-COLUMN($A$1),FALSE)=0, VLOOKUP($D402, regions_ub[], COLUMN(AI$1)-COLUMN($A$1), FALSE), VLOOKUP($A402,raw_ub[],COLUMN(AI$1)-COLUMN($A$1),FALSE))</f>
        <v>1.0090713372233676E-3</v>
      </c>
      <c r="AI402" s="72">
        <f>IF(VLOOKUP($A402,raw_ub[],COLUMN(AJ$1)-COLUMN($A$1),FALSE)=0, VLOOKUP($D402, regions_ub[], COLUMN(AJ$1)-COLUMN($A$1), FALSE), VLOOKUP($A402,raw_ub[],COLUMN(AJ$1)-COLUMN($A$1),FALSE))</f>
        <v>1.233071611558365E-3</v>
      </c>
      <c r="AJ402" s="72">
        <f>IF(VLOOKUP($A402,raw_ub[],COLUMN(AK$1)-COLUMN($A$1),FALSE)=0, VLOOKUP($D402, regions_ub[], COLUMN(AK$1)-COLUMN($A$1), FALSE), VLOOKUP($A402,raw_ub[],COLUMN(AK$1)-COLUMN($A$1),FALSE))</f>
        <v>1.4462358104610482E-3</v>
      </c>
      <c r="AK402" s="72">
        <f>IF(VLOOKUP($A402,raw_ub[],COLUMN(AL$1)-COLUMN($A$1),FALSE)=0, VLOOKUP($D402, regions_ub[], COLUMN(AL$1)-COLUMN($A$1), FALSE), VLOOKUP($A402,raw_ub[],COLUMN(AL$1)-COLUMN($A$1),FALSE))</f>
        <v>1.7139813057957241E-3</v>
      </c>
      <c r="AL402" s="72">
        <f>IF(VLOOKUP($A402,raw_ub[],COLUMN(AM$1)-COLUMN($A$1),FALSE)=0, VLOOKUP($D402, regions_ub[], COLUMN(AM$1)-COLUMN($A$1), FALSE), VLOOKUP($A402,raw_ub[],COLUMN(AM$1)-COLUMN($A$1),FALSE))</f>
        <v>2.1038362818917721E-3</v>
      </c>
      <c r="AM402" s="72">
        <f>IF(VLOOKUP($A402,raw_ub[],COLUMN(AN$1)-COLUMN($A$1),FALSE)=0, VLOOKUP($D402, regions_ub[], COLUMN(AN$1)-COLUMN($A$1), FALSE), VLOOKUP($A402,raw_ub[],COLUMN(AN$1)-COLUMN($A$1),FALSE))</f>
        <v>2.7200263968622318E-3</v>
      </c>
      <c r="AN402" s="72">
        <f>IF(VLOOKUP($A402,raw_ub[],COLUMN(AO$1)-COLUMN($A$1),FALSE)=0, VLOOKUP($D402, regions_ub[], COLUMN(AO$1)-COLUMN($A$1), FALSE), VLOOKUP($A402,raw_ub[],COLUMN(AO$1)-COLUMN($A$1),FALSE))</f>
        <v>3.7103592700020354E-3</v>
      </c>
      <c r="AO402" s="72">
        <f>IF(VLOOKUP($A402,raw_ub[],COLUMN(AP$1)-COLUMN($A$1),FALSE)=0, VLOOKUP($D402, regions_ub[], COLUMN(AP$1)-COLUMN($A$1), FALSE), VLOOKUP($A402,raw_ub[],COLUMN(AP$1)-COLUMN($A$1),FALSE))</f>
        <v>5.4959173451945382E-3</v>
      </c>
      <c r="AP402" s="72">
        <f>IF(VLOOKUP($A402,raw_ub[],COLUMN(AQ$1)-COLUMN($A$1),FALSE)=0, VLOOKUP($D402, regions_ub[], COLUMN(AQ$1)-COLUMN($A$1), FALSE), VLOOKUP($A402,raw_ub[],COLUMN(AQ$1)-COLUMN($A$1),FALSE))</f>
        <v>8.5482827193287189E-3</v>
      </c>
      <c r="AQ402" s="72">
        <f>IF(VLOOKUP($A402,raw_ub[],COLUMN(AR$1)-COLUMN($A$1),FALSE)=0, VLOOKUP($D402, regions_ub[], COLUMN(AR$1)-COLUMN($A$1), FALSE), VLOOKUP($A402,raw_ub[],COLUMN(AR$1)-COLUMN($A$1),FALSE))</f>
        <v>1.3916391508008741E-2</v>
      </c>
      <c r="AR402" s="72">
        <f>IF(VLOOKUP($A402,raw_ub[],COLUMN(AS$1)-COLUMN($A$1),FALSE)=0, VLOOKUP($D402, regions_ub[], COLUMN(AS$1)-COLUMN($A$1), FALSE), VLOOKUP($A402,raw_ub[],COLUMN(AS$1)-COLUMN($A$1),FALSE))</f>
        <v>2.4870542934322847E-2</v>
      </c>
      <c r="AS402" s="72">
        <f>IF(VLOOKUP($A402,raw_ub[],COLUMN(AT$1)-COLUMN($A$1),FALSE)=0, VLOOKUP($D402, regions_ub[], COLUMN(AT$1)-COLUMN($A$1), FALSE), VLOOKUP($A402,raw_ub[],COLUMN(AT$1)-COLUMN($A$1),FALSE))</f>
        <v>4.4011237056635039E-2</v>
      </c>
      <c r="AT402" s="82">
        <f>IF(VLOOKUP($A402,raw_ub[],COLUMN(AT$1),FALSE)=0, VLOOKUP($D402, regions_ub[], COLUMN(AT$1), FALSE), VLOOKUP($A402,raw_ub[],COLUMN(AT$1),FALSE))</f>
        <v>7.2766737915263072E-2</v>
      </c>
      <c r="AU402" s="82">
        <f>IF(VLOOKUP($A402,raw_ub[],COLUMN(AU$1),FALSE)=0, VLOOKUP($D402, regions_ub[], COLUMN(AU$1), FALSE), VLOOKUP($A402,raw_ub[],COLUMN(AU$1),FALSE))</f>
        <v>0.10914139612526493</v>
      </c>
      <c r="AV402" s="82">
        <f>IF(VLOOKUP($A402,raw_ub[],COLUMN(AV$1),FALSE)=0, VLOOKUP($D402, regions_ub[], COLUMN(AV$1), FALSE), VLOOKUP($A402,raw_ub[],COLUMN(AV$1),FALSE))</f>
        <v>0.14685173116285838</v>
      </c>
      <c r="AW402" s="82">
        <f>IF(VLOOKUP($A402,raw_ub[],COLUMN(AW$1),FALSE)=0, VLOOKUP($D402, regions_ub[], COLUMN(AW$1), FALSE), VLOOKUP($A402,raw_ub[],COLUMN(AW$1),FALSE))</f>
        <v>0.17669010499414736</v>
      </c>
      <c r="AX402" s="82">
        <f>IF(VLOOKUP($A402,raw_ub[],COLUMN(AX$1),FALSE)=0, VLOOKUP($D402, regions_ub[], COLUMN(AX$1), FALSE), VLOOKUP($A402,raw_ub[],COLUMN(AX$1),FALSE))</f>
        <v>81.172350000000009</v>
      </c>
      <c r="AY402" t="str">
        <f t="shared" si="13"/>
        <v>No</v>
      </c>
    </row>
    <row r="403" spans="1:51" x14ac:dyDescent="0.25">
      <c r="A403" s="55" t="s">
        <v>474</v>
      </c>
      <c r="B403" s="56" t="s">
        <v>475</v>
      </c>
      <c r="C403" s="56">
        <v>795</v>
      </c>
      <c r="D403" s="56" t="s">
        <v>201</v>
      </c>
      <c r="E403" s="56" t="s">
        <v>220</v>
      </c>
      <c r="F403" s="56" t="s">
        <v>203</v>
      </c>
      <c r="G403" s="56" t="s">
        <v>204</v>
      </c>
      <c r="H403" s="74"/>
      <c r="I403" s="74"/>
      <c r="J403" s="67">
        <f>IF(VLOOKUP($A403,raw_ub[],COLUMN(J$1),FALSE)=0, VLOOKUP($D403, regions_ub[], COLUMN(J$1), FALSE), VLOOKUP($A403,raw_ub[],COLUMN(J$1),FALSE))</f>
        <v>0.999</v>
      </c>
      <c r="K403" s="77">
        <f>VLOOKUP($A403, raw_ub[], 11, FALSE)</f>
        <v>0.999</v>
      </c>
      <c r="L403" s="77">
        <f>VLOOKUP($A403, raw_ub[], 12, FALSE)</f>
        <v>0.999</v>
      </c>
      <c r="M403" s="77">
        <f>IF(VLOOKUP($A403,raw_ub[],COLUMN(M$1),FALSE)=0, VLOOKUP($D403, regions_ub[], COLUMN(M$1), FALSE), VLOOKUP($A403,raw_ub[],COLUMN(M$1),FALSE))</f>
        <v>0.10769999999999999</v>
      </c>
      <c r="N403" s="68">
        <f>IF(VLOOKUP($A403,raw_ub[],COLUMN(N$1),FALSE)=0, VLOOKUP($D403, regions_ub[], COLUMN(N$1), FALSE), VLOOKUP($A403,raw_ub[],COLUMN(N$1),FALSE))</f>
        <v>0.43079999999999996</v>
      </c>
      <c r="O403" s="67">
        <f>IF(VLOOKUP($A403,raw_ub[],COLUMN(O$1),FALSE)=0, VLOOKUP($D403, regions_ub[], COLUMN(O$1), FALSE), VLOOKUP($A403,raw_ub[],COLUMN(O$1),FALSE))</f>
        <v>0.9</v>
      </c>
      <c r="P403" s="68">
        <f>IF(VLOOKUP($A403,raw_ub[],COLUMN(P$1),FALSE)=0, VLOOKUP($D403, regions_ub[], COLUMN(P$1), FALSE), VLOOKUP($A403,raw_ub[],COLUMN(P$1),FALSE))</f>
        <v>0.3</v>
      </c>
      <c r="Q403" s="70">
        <f>IF(VLOOKUP($A403,raw_ub[],COLUMN(Q$1),FALSE)=0, VLOOKUP($D403, regions_ub[], COLUMN(Q$1), FALSE), VLOOKUP($A403,raw_ub[],COLUMN(Q$1),FALSE))</f>
        <v>20.058407822166302</v>
      </c>
      <c r="R403" s="70">
        <f>IF(VLOOKUP($A403,raw_ub[],COLUMN(R$1),FALSE)=0, VLOOKUP($D403, regions_ub[], COLUMN(R$1), FALSE), VLOOKUP($A403,raw_ub[],COLUMN(R$1),FALSE))</f>
        <v>129.0442078221663</v>
      </c>
      <c r="S403" s="70">
        <f>IF(VLOOKUP($A403,raw_ub[],COLUMN(S$1),FALSE)=0, VLOOKUP($D403, regions_ub[], COLUMN(S$1), FALSE), VLOOKUP($A403,raw_ub[],COLUMN(S$1),FALSE))</f>
        <v>192.63620075025378</v>
      </c>
      <c r="T403" s="70">
        <f>IF(VLOOKUP($A403,raw_ub[],COLUMN(U$1)-COLUMN($A$1),FALSE)=0, VLOOKUP($D403, regions_ub[], COLUMN(U$1)-COLUMN($A$1), FALSE), VLOOKUP($A403,raw_ub[],COLUMN(U$1)-COLUMN($A$1),FALSE))</f>
        <v>210.52562172872965</v>
      </c>
      <c r="U403" s="70">
        <f>IF(VLOOKUP($A403,raw_ub[],COLUMN(V$1)-COLUMN($A$1),FALSE)=0, VLOOKUP($D403, regions_ub[], COLUMN(V$1)-COLUMN($A$1), FALSE), VLOOKUP($A403,raw_ub[],COLUMN(V$1)-COLUMN($A$1),FALSE))</f>
        <v>202.31117774960052</v>
      </c>
      <c r="V403" s="70">
        <f>IF(VLOOKUP($A403,raw_ub[],COLUMN(W$1)-COLUMN($A$1),FALSE)=0, VLOOKUP($D403, regions_ub[], COLUMN(W$1)-COLUMN($A$1), FALSE), VLOOKUP($A403,raw_ub[],COLUMN(W$1)-COLUMN($A$1),FALSE))</f>
        <v>13.601663734261251</v>
      </c>
      <c r="W403" s="70">
        <f>IF(VLOOKUP($A403,raw_ub[],COLUMN(X$1)-COLUMN($A$1),FALSE)=0, VLOOKUP($D403, regions_ub[], COLUMN(X$1)-COLUMN($A$1), FALSE), VLOOKUP($A403,raw_ub[],COLUMN(X$1)-COLUMN($A$1),FALSE))</f>
        <v>17.87516373426125</v>
      </c>
      <c r="X403" s="70">
        <f>IF(VLOOKUP($A403,raw_ub[],COLUMN(Y$1)-COLUMN($A$1),FALSE)=0, VLOOKUP($D403, regions_ub[], COLUMN(Y$1)-COLUMN($A$1), FALSE), VLOOKUP($A403,raw_ub[],COLUMN(Y$1)-COLUMN($A$1),FALSE))</f>
        <v>13.556475853385518</v>
      </c>
      <c r="Y403" s="70">
        <f>IF(VLOOKUP($A403,raw_ub[],COLUMN(Z$1)-COLUMN($A$1),FALSE)=0, VLOOKUP($D403, regions_ub[], COLUMN(Z$1)-COLUMN($A$1), FALSE), VLOOKUP($A403,raw_ub[],COLUMN(Z$1)-COLUMN($A$1),FALSE))</f>
        <v>17.82997585338552</v>
      </c>
      <c r="Z403" s="70">
        <f>IF(VLOOKUP($A403,raw_ub[],COLUMN(AA$1)-COLUMN($A$1),FALSE)=0, VLOOKUP($D403, regions_ub[], COLUMN(AA$1)-COLUMN($A$1), FALSE), VLOOKUP($A403,raw_ub[],COLUMN(AA$1)-COLUMN($A$1),FALSE))</f>
        <v>17.804902116463342</v>
      </c>
      <c r="AA403" s="70">
        <f>IF(VLOOKUP($A403,raw_ub[],COLUMN(AB$1)-COLUMN($A$1),FALSE)=0, VLOOKUP($D403, regions_ub[], COLUMN(AB$1)-COLUMN($A$1), FALSE), VLOOKUP($A403,raw_ub[],COLUMN(AB$1)-COLUMN($A$1),FALSE))</f>
        <v>13.612091706771034</v>
      </c>
      <c r="AB403" s="70">
        <f>IF(VLOOKUP($A403,raw_ub[],COLUMN(AC$1)-COLUMN($A$1),FALSE)=0, VLOOKUP($D403, regions_ub[], COLUMN(AC$1)-COLUMN($A$1), FALSE), VLOOKUP($A403,raw_ub[],COLUMN(AC$1)-COLUMN($A$1),FALSE))</f>
        <v>17.885591706771034</v>
      </c>
      <c r="AC403" s="72">
        <f>IF(VLOOKUP($A403,raw_ub[],COLUMN(AD$1)-COLUMN($A$1),FALSE)=0, VLOOKUP($D403, regions_ub[], COLUMN(AD$1)-COLUMN($A$1), FALSE), VLOOKUP($A403,raw_ub[],COLUMN(AD$1)-COLUMN($A$1),FALSE))</f>
        <v>4.5477862500000063E-2</v>
      </c>
      <c r="AD403" s="72">
        <f>IF(VLOOKUP($A403,raw_ub[],COLUMN(AE$1)-COLUMN($A$1),FALSE)=0, VLOOKUP($D403, regions_ub[], COLUMN(AE$1)-COLUMN($A$1), FALSE), VLOOKUP($A403,raw_ub[],COLUMN(AE$1)-COLUMN($A$1),FALSE))</f>
        <v>2.2362174857992988E-3</v>
      </c>
      <c r="AE403" s="72">
        <f>IF(VLOOKUP($A403,raw_ub[],COLUMN(AF$1)-COLUMN($A$1),FALSE)=0, VLOOKUP($D403, regions_ub[], COLUMN(AF$1)-COLUMN($A$1), FALSE), VLOOKUP($A403,raw_ub[],COLUMN(AF$1)-COLUMN($A$1),FALSE))</f>
        <v>4.054532144106488E-4</v>
      </c>
      <c r="AF403" s="72">
        <f>IF(VLOOKUP($A403,raw_ub[],COLUMN(AG$1)-COLUMN($A$1),FALSE)=0, VLOOKUP($D403, regions_ub[], COLUMN(AG$1)-COLUMN($A$1), FALSE), VLOOKUP($A403,raw_ub[],COLUMN(AG$1)-COLUMN($A$1),FALSE))</f>
        <v>3.9747781157458578E-4</v>
      </c>
      <c r="AG403" s="72">
        <f>IF(VLOOKUP($A403,raw_ub[],COLUMN(AH$1)-COLUMN($A$1),FALSE)=0, VLOOKUP($D403, regions_ub[], COLUMN(AH$1)-COLUMN($A$1), FALSE), VLOOKUP($A403,raw_ub[],COLUMN(AH$1)-COLUMN($A$1),FALSE))</f>
        <v>9.162161806059489E-4</v>
      </c>
      <c r="AH403" s="72">
        <f>IF(VLOOKUP($A403,raw_ub[],COLUMN(AI$1)-COLUMN($A$1),FALSE)=0, VLOOKUP($D403, regions_ub[], COLUMN(AI$1)-COLUMN($A$1), FALSE), VLOOKUP($A403,raw_ub[],COLUMN(AI$1)-COLUMN($A$1),FALSE))</f>
        <v>1.2276712189129881E-3</v>
      </c>
      <c r="AI403" s="72">
        <f>IF(VLOOKUP($A403,raw_ub[],COLUMN(AJ$1)-COLUMN($A$1),FALSE)=0, VLOOKUP($D403, regions_ub[], COLUMN(AJ$1)-COLUMN($A$1), FALSE), VLOOKUP($A403,raw_ub[],COLUMN(AJ$1)-COLUMN($A$1),FALSE))</f>
        <v>1.5835657233174536E-3</v>
      </c>
      <c r="AJ403" s="72">
        <f>IF(VLOOKUP($A403,raw_ub[],COLUMN(AK$1)-COLUMN($A$1),FALSE)=0, VLOOKUP($D403, regions_ub[], COLUMN(AK$1)-COLUMN($A$1), FALSE), VLOOKUP($A403,raw_ub[],COLUMN(AK$1)-COLUMN($A$1),FALSE))</f>
        <v>2.1618159646976218E-3</v>
      </c>
      <c r="AK403" s="72">
        <f>IF(VLOOKUP($A403,raw_ub[],COLUMN(AL$1)-COLUMN($A$1),FALSE)=0, VLOOKUP($D403, regions_ub[], COLUMN(AL$1)-COLUMN($A$1), FALSE), VLOOKUP($A403,raw_ub[],COLUMN(AL$1)-COLUMN($A$1),FALSE))</f>
        <v>3.0547603355392679E-3</v>
      </c>
      <c r="AL403" s="72">
        <f>IF(VLOOKUP($A403,raw_ub[],COLUMN(AM$1)-COLUMN($A$1),FALSE)=0, VLOOKUP($D403, regions_ub[], COLUMN(AM$1)-COLUMN($A$1), FALSE), VLOOKUP($A403,raw_ub[],COLUMN(AM$1)-COLUMN($A$1),FALSE))</f>
        <v>4.3104606277592676E-3</v>
      </c>
      <c r="AM403" s="72">
        <f>IF(VLOOKUP($A403,raw_ub[],COLUMN(AN$1)-COLUMN($A$1),FALSE)=0, VLOOKUP($D403, regions_ub[], COLUMN(AN$1)-COLUMN($A$1), FALSE), VLOOKUP($A403,raw_ub[],COLUMN(AN$1)-COLUMN($A$1),FALSE))</f>
        <v>5.9821025921599066E-3</v>
      </c>
      <c r="AN403" s="72">
        <f>IF(VLOOKUP($A403,raw_ub[],COLUMN(AO$1)-COLUMN($A$1),FALSE)=0, VLOOKUP($D403, regions_ub[], COLUMN(AO$1)-COLUMN($A$1), FALSE), VLOOKUP($A403,raw_ub[],COLUMN(AO$1)-COLUMN($A$1),FALSE))</f>
        <v>9.3930582545521044E-3</v>
      </c>
      <c r="AO403" s="72">
        <f>IF(VLOOKUP($A403,raw_ub[],COLUMN(AP$1)-COLUMN($A$1),FALSE)=0, VLOOKUP($D403, regions_ub[], COLUMN(AP$1)-COLUMN($A$1), FALSE), VLOOKUP($A403,raw_ub[],COLUMN(AP$1)-COLUMN($A$1),FALSE))</f>
        <v>1.380067593122635E-2</v>
      </c>
      <c r="AP403" s="72">
        <f>IF(VLOOKUP($A403,raw_ub[],COLUMN(AQ$1)-COLUMN($A$1),FALSE)=0, VLOOKUP($D403, regions_ub[], COLUMN(AQ$1)-COLUMN($A$1), FALSE), VLOOKUP($A403,raw_ub[],COLUMN(AQ$1)-COLUMN($A$1),FALSE))</f>
        <v>2.271494094915243E-2</v>
      </c>
      <c r="AQ403" s="72">
        <f>IF(VLOOKUP($A403,raw_ub[],COLUMN(AR$1)-COLUMN($A$1),FALSE)=0, VLOOKUP($D403, regions_ub[], COLUMN(AR$1)-COLUMN($A$1), FALSE), VLOOKUP($A403,raw_ub[],COLUMN(AR$1)-COLUMN($A$1),FALSE))</f>
        <v>2.9272147759459424E-2</v>
      </c>
      <c r="AR403" s="72">
        <f>IF(VLOOKUP($A403,raw_ub[],COLUMN(AS$1)-COLUMN($A$1),FALSE)=0, VLOOKUP($D403, regions_ub[], COLUMN(AS$1)-COLUMN($A$1), FALSE), VLOOKUP($A403,raw_ub[],COLUMN(AS$1)-COLUMN($A$1),FALSE))</f>
        <v>5.2736459187753597E-2</v>
      </c>
      <c r="AS403" s="72">
        <f>IF(VLOOKUP($A403,raw_ub[],COLUMN(AT$1)-COLUMN($A$1),FALSE)=0, VLOOKUP($D403, regions_ub[], COLUMN(AT$1)-COLUMN($A$1), FALSE), VLOOKUP($A403,raw_ub[],COLUMN(AT$1)-COLUMN($A$1),FALSE))</f>
        <v>5.7491260481109363E-2</v>
      </c>
      <c r="AT403" s="82">
        <f>IF(VLOOKUP($A403,raw_ub[],COLUMN(AT$1),FALSE)=0, VLOOKUP($D403, regions_ub[], COLUMN(AT$1), FALSE), VLOOKUP($A403,raw_ub[],COLUMN(AT$1),FALSE))</f>
        <v>9.431393579212359E-2</v>
      </c>
      <c r="AU403" s="82">
        <f>IF(VLOOKUP($A403,raw_ub[],COLUMN(AU$1),FALSE)=0, VLOOKUP($D403, regions_ub[], COLUMN(AU$1), FALSE), VLOOKUP($A403,raw_ub[],COLUMN(AU$1),FALSE))</f>
        <v>0.12500522378621645</v>
      </c>
      <c r="AV403" s="82">
        <f>IF(VLOOKUP($A403,raw_ub[],COLUMN(AV$1),FALSE)=0, VLOOKUP($D403, regions_ub[], COLUMN(AV$1), FALSE), VLOOKUP($A403,raw_ub[],COLUMN(AV$1),FALSE))</f>
        <v>0.15457846162901764</v>
      </c>
      <c r="AW403" s="82">
        <f>IF(VLOOKUP($A403,raw_ub[],COLUMN(AW$1),FALSE)=0, VLOOKUP($D403, regions_ub[], COLUMN(AW$1), FALSE), VLOOKUP($A403,raw_ub[],COLUMN(AW$1),FALSE))</f>
        <v>0.17729220102637094</v>
      </c>
      <c r="AX403" s="82">
        <f>IF(VLOOKUP($A403,raw_ub[],COLUMN(AX$1),FALSE)=0, VLOOKUP($D403, regions_ub[], COLUMN(AX$1), FALSE), VLOOKUP($A403,raw_ub[],COLUMN(AX$1),FALSE))</f>
        <v>71.38215000000001</v>
      </c>
      <c r="AY403" t="str">
        <f t="shared" si="13"/>
        <v>No</v>
      </c>
    </row>
    <row r="404" spans="1:51" x14ac:dyDescent="0.25">
      <c r="A404" s="53" t="s">
        <v>476</v>
      </c>
      <c r="B404" s="54" t="s">
        <v>477</v>
      </c>
      <c r="C404" s="54">
        <v>798</v>
      </c>
      <c r="D404" s="54" t="s">
        <v>260</v>
      </c>
      <c r="E404" s="54" t="s">
        <v>309</v>
      </c>
      <c r="F404" s="54" t="s">
        <v>262</v>
      </c>
      <c r="G404" s="54" t="s">
        <v>204</v>
      </c>
      <c r="H404" s="73"/>
      <c r="I404" s="73"/>
      <c r="J404" s="67">
        <f>IF(VLOOKUP($A404,raw_ub[],COLUMN(J$1),FALSE)=0, VLOOKUP($D404, regions_ub[], COLUMN(J$1), FALSE), VLOOKUP($A404,raw_ub[],COLUMN(J$1),FALSE))</f>
        <v>0.97650000000000015</v>
      </c>
      <c r="K404" s="77">
        <f>VLOOKUP($A404, raw_ub[], 11, FALSE)</f>
        <v>0.999</v>
      </c>
      <c r="L404" s="77">
        <f>VLOOKUP($A404, raw_ub[], 12, FALSE)</f>
        <v>0.97650000000000015</v>
      </c>
      <c r="M404" s="77">
        <f>IF(VLOOKUP($A404,raw_ub[],COLUMN(M$1),FALSE)=0, VLOOKUP($D404, regions_ub[], COLUMN(M$1), FALSE), VLOOKUP($A404,raw_ub[],COLUMN(M$1),FALSE))</f>
        <v>6.7500000000000004E-2</v>
      </c>
      <c r="N404" s="68">
        <f>IF(VLOOKUP($A404,raw_ub[],COLUMN(N$1),FALSE)=0, VLOOKUP($D404, regions_ub[], COLUMN(N$1), FALSE), VLOOKUP($A404,raw_ub[],COLUMN(N$1),FALSE))</f>
        <v>0.48804013996551276</v>
      </c>
      <c r="O404" s="67">
        <f>IF(VLOOKUP($A404,raw_ub[],COLUMN(O$1),FALSE)=0, VLOOKUP($D404, regions_ub[], COLUMN(O$1), FALSE), VLOOKUP($A404,raw_ub[],COLUMN(O$1),FALSE))</f>
        <v>0.9</v>
      </c>
      <c r="P404" s="68">
        <f>IF(VLOOKUP($A404,raw_ub[],COLUMN(P$1),FALSE)=0, VLOOKUP($D404, regions_ub[], COLUMN(P$1), FALSE), VLOOKUP($A404,raw_ub[],COLUMN(P$1),FALSE))</f>
        <v>0.3</v>
      </c>
      <c r="Q404" s="70">
        <f>IF(VLOOKUP($A404,raw_ub[],COLUMN(Q$1),FALSE)=0, VLOOKUP($D404, regions_ub[], COLUMN(Q$1), FALSE), VLOOKUP($A404,raw_ub[],COLUMN(Q$1),FALSE))</f>
        <v>18.591206669282101</v>
      </c>
      <c r="R404" s="70">
        <f>IF(VLOOKUP($A404,raw_ub[],COLUMN(R$1),FALSE)=0, VLOOKUP($D404, regions_ub[], COLUMN(R$1), FALSE), VLOOKUP($A404,raw_ub[],COLUMN(R$1),FALSE))</f>
        <v>127.57700666928211</v>
      </c>
      <c r="S404" s="70">
        <f>IF(VLOOKUP($A404,raw_ub[],COLUMN(S$1),FALSE)=0, VLOOKUP($D404, regions_ub[], COLUMN(S$1), FALSE), VLOOKUP($A404,raw_ub[],COLUMN(S$1),FALSE))</f>
        <v>177.02484944770225</v>
      </c>
      <c r="T404" s="70">
        <f>IF(VLOOKUP($A404,raw_ub[],COLUMN(U$1)-COLUMN($A$1),FALSE)=0, VLOOKUP($D404, regions_ub[], COLUMN(U$1)-COLUMN($A$1), FALSE), VLOOKUP($A404,raw_ub[],COLUMN(U$1)-COLUMN($A$1),FALSE))</f>
        <v>187.552734627554</v>
      </c>
      <c r="U404" s="70">
        <f>IF(VLOOKUP($A404,raw_ub[],COLUMN(V$1)-COLUMN($A$1),FALSE)=0, VLOOKUP($D404, regions_ub[], COLUMN(V$1)-COLUMN($A$1), FALSE), VLOOKUP($A404,raw_ub[],COLUMN(V$1)-COLUMN($A$1),FALSE))</f>
        <v>182.71855228410939</v>
      </c>
      <c r="V404" s="70">
        <f>IF(VLOOKUP($A404,raw_ub[],COLUMN(W$1)-COLUMN($A$1),FALSE)=0, VLOOKUP($D404, regions_ub[], COLUMN(W$1)-COLUMN($A$1), FALSE), VLOOKUP($A404,raw_ub[],COLUMN(W$1)-COLUMN($A$1),FALSE))</f>
        <v>44.564645668179402</v>
      </c>
      <c r="W404" s="70">
        <f>IF(VLOOKUP($A404,raw_ub[],COLUMN(X$1)-COLUMN($A$1),FALSE)=0, VLOOKUP($D404, regions_ub[], COLUMN(X$1)-COLUMN($A$1), FALSE), VLOOKUP($A404,raw_ub[],COLUMN(X$1)-COLUMN($A$1),FALSE))</f>
        <v>45.226145668179399</v>
      </c>
      <c r="X404" s="70">
        <f>IF(VLOOKUP($A404,raw_ub[],COLUMN(Y$1)-COLUMN($A$1),FALSE)=0, VLOOKUP($D404, regions_ub[], COLUMN(Y$1)-COLUMN($A$1), FALSE), VLOOKUP($A404,raw_ub[],COLUMN(Y$1)-COLUMN($A$1),FALSE))</f>
        <v>44.540872851409326</v>
      </c>
      <c r="Y404" s="70">
        <f>IF(VLOOKUP($A404,raw_ub[],COLUMN(Z$1)-COLUMN($A$1),FALSE)=0, VLOOKUP($D404, regions_ub[], COLUMN(Z$1)-COLUMN($A$1), FALSE), VLOOKUP($A404,raw_ub[],COLUMN(Z$1)-COLUMN($A$1),FALSE))</f>
        <v>45.202372851409322</v>
      </c>
      <c r="Z404" s="70">
        <f>IF(VLOOKUP($A404,raw_ub[],COLUMN(AA$1)-COLUMN($A$1),FALSE)=0, VLOOKUP($D404, regions_ub[], COLUMN(AA$1)-COLUMN($A$1), FALSE), VLOOKUP($A404,raw_ub[],COLUMN(AA$1)-COLUMN($A$1),FALSE))</f>
        <v>45.18973758851363</v>
      </c>
      <c r="AA404" s="70">
        <f>IF(VLOOKUP($A404,raw_ub[],COLUMN(AB$1)-COLUMN($A$1),FALSE)=0, VLOOKUP($D404, regions_ub[], COLUMN(AB$1)-COLUMN($A$1), FALSE), VLOOKUP($A404,raw_ub[],COLUMN(AB$1)-COLUMN($A$1),FALSE))</f>
        <v>44.570131702818649</v>
      </c>
      <c r="AB404" s="70">
        <f>IF(VLOOKUP($A404,raw_ub[],COLUMN(AC$1)-COLUMN($A$1),FALSE)=0, VLOOKUP($D404, regions_ub[], COLUMN(AC$1)-COLUMN($A$1), FALSE), VLOOKUP($A404,raw_ub[],COLUMN(AC$1)-COLUMN($A$1),FALSE))</f>
        <v>45.231631702818646</v>
      </c>
      <c r="AC404" s="72">
        <f>IF(VLOOKUP($A404,raw_ub[],COLUMN(AD$1)-COLUMN($A$1),FALSE)=0, VLOOKUP($D404, regions_ub[], COLUMN(AD$1)-COLUMN($A$1), FALSE), VLOOKUP($A404,raw_ub[],COLUMN(AD$1)-COLUMN($A$1),FALSE))</f>
        <v>1.2736768276497189E-2</v>
      </c>
      <c r="AD404" s="72">
        <f>IF(VLOOKUP($A404,raw_ub[],COLUMN(AE$1)-COLUMN($A$1),FALSE)=0, VLOOKUP($D404, regions_ub[], COLUMN(AE$1)-COLUMN($A$1), FALSE), VLOOKUP($A404,raw_ub[],COLUMN(AE$1)-COLUMN($A$1),FALSE))</f>
        <v>7.1197544726729438E-4</v>
      </c>
      <c r="AE404" s="72">
        <f>IF(VLOOKUP($A404,raw_ub[],COLUMN(AF$1)-COLUMN($A$1),FALSE)=0, VLOOKUP($D404, regions_ub[], COLUMN(AF$1)-COLUMN($A$1), FALSE), VLOOKUP($A404,raw_ub[],COLUMN(AF$1)-COLUMN($A$1),FALSE))</f>
        <v>4.109902786833356E-4</v>
      </c>
      <c r="AF404" s="72">
        <f>IF(VLOOKUP($A404,raw_ub[],COLUMN(AG$1)-COLUMN($A$1),FALSE)=0, VLOOKUP($D404, regions_ub[], COLUMN(AG$1)-COLUMN($A$1), FALSE), VLOOKUP($A404,raw_ub[],COLUMN(AG$1)-COLUMN($A$1),FALSE))</f>
        <v>3.2379172218225576E-4</v>
      </c>
      <c r="AG404" s="72">
        <f>IF(VLOOKUP($A404,raw_ub[],COLUMN(AH$1)-COLUMN($A$1),FALSE)=0, VLOOKUP($D404, regions_ub[], COLUMN(AH$1)-COLUMN($A$1), FALSE), VLOOKUP($A404,raw_ub[],COLUMN(AH$1)-COLUMN($A$1),FALSE))</f>
        <v>5.1508320628082798E-4</v>
      </c>
      <c r="AH404" s="72">
        <f>IF(VLOOKUP($A404,raw_ub[],COLUMN(AI$1)-COLUMN($A$1),FALSE)=0, VLOOKUP($D404, regions_ub[], COLUMN(AI$1)-COLUMN($A$1), FALSE), VLOOKUP($A404,raw_ub[],COLUMN(AI$1)-COLUMN($A$1),FALSE))</f>
        <v>7.1658147477289221E-4</v>
      </c>
      <c r="AI404" s="72">
        <f>IF(VLOOKUP($A404,raw_ub[],COLUMN(AJ$1)-COLUMN($A$1),FALSE)=0, VLOOKUP($D404, regions_ub[], COLUMN(AJ$1)-COLUMN($A$1), FALSE), VLOOKUP($A404,raw_ub[],COLUMN(AJ$1)-COLUMN($A$1),FALSE))</f>
        <v>8.943655783002478E-4</v>
      </c>
      <c r="AJ404" s="72">
        <f>IF(VLOOKUP($A404,raw_ub[],COLUMN(AK$1)-COLUMN($A$1),FALSE)=0, VLOOKUP($D404, regions_ub[], COLUMN(AK$1)-COLUMN($A$1), FALSE), VLOOKUP($A404,raw_ub[],COLUMN(AK$1)-COLUMN($A$1),FALSE))</f>
        <v>1.1132663162265251E-3</v>
      </c>
      <c r="AK404" s="72">
        <f>IF(VLOOKUP($A404,raw_ub[],COLUMN(AL$1)-COLUMN($A$1),FALSE)=0, VLOOKUP($D404, regions_ub[], COLUMN(AL$1)-COLUMN($A$1), FALSE), VLOOKUP($A404,raw_ub[],COLUMN(AL$1)-COLUMN($A$1),FALSE))</f>
        <v>1.4301264730464231E-3</v>
      </c>
      <c r="AL404" s="72">
        <f>IF(VLOOKUP($A404,raw_ub[],COLUMN(AM$1)-COLUMN($A$1),FALSE)=0, VLOOKUP($D404, regions_ub[], COLUMN(AM$1)-COLUMN($A$1), FALSE), VLOOKUP($A404,raw_ub[],COLUMN(AM$1)-COLUMN($A$1),FALSE))</f>
        <v>2.012973851863077E-3</v>
      </c>
      <c r="AM404" s="72">
        <f>IF(VLOOKUP($A404,raw_ub[],COLUMN(AN$1)-COLUMN($A$1),FALSE)=0, VLOOKUP($D404, regions_ub[], COLUMN(AN$1)-COLUMN($A$1), FALSE), VLOOKUP($A404,raw_ub[],COLUMN(AN$1)-COLUMN($A$1),FALSE))</f>
        <v>2.9504315725906636E-3</v>
      </c>
      <c r="AN404" s="72">
        <f>IF(VLOOKUP($A404,raw_ub[],COLUMN(AO$1)-COLUMN($A$1),FALSE)=0, VLOOKUP($D404, regions_ub[], COLUMN(AO$1)-COLUMN($A$1), FALSE), VLOOKUP($A404,raw_ub[],COLUMN(AO$1)-COLUMN($A$1),FALSE))</f>
        <v>4.6978269081258068E-3</v>
      </c>
      <c r="AO404" s="72">
        <f>IF(VLOOKUP($A404,raw_ub[],COLUMN(AP$1)-COLUMN($A$1),FALSE)=0, VLOOKUP($D404, regions_ub[], COLUMN(AP$1)-COLUMN($A$1), FALSE), VLOOKUP($A404,raw_ub[],COLUMN(AP$1)-COLUMN($A$1),FALSE))</f>
        <v>7.5165836793858768E-3</v>
      </c>
      <c r="AP404" s="72">
        <f>IF(VLOOKUP($A404,raw_ub[],COLUMN(AQ$1)-COLUMN($A$1),FALSE)=0, VLOOKUP($D404, regions_ub[], COLUMN(AQ$1)-COLUMN($A$1), FALSE), VLOOKUP($A404,raw_ub[],COLUMN(AQ$1)-COLUMN($A$1),FALSE))</f>
        <v>1.2738920158375485E-2</v>
      </c>
      <c r="AQ404" s="72">
        <f>IF(VLOOKUP($A404,raw_ub[],COLUMN(AR$1)-COLUMN($A$1),FALSE)=0, VLOOKUP($D404, regions_ub[], COLUMN(AR$1)-COLUMN($A$1), FALSE), VLOOKUP($A404,raw_ub[],COLUMN(AR$1)-COLUMN($A$1),FALSE))</f>
        <v>2.1411810157936622E-2</v>
      </c>
      <c r="AR404" s="72">
        <f>IF(VLOOKUP($A404,raw_ub[],COLUMN(AS$1)-COLUMN($A$1),FALSE)=0, VLOOKUP($D404, regions_ub[], COLUMN(AS$1)-COLUMN($A$1), FALSE), VLOOKUP($A404,raw_ub[],COLUMN(AS$1)-COLUMN($A$1),FALSE))</f>
        <v>3.614564151011352E-2</v>
      </c>
      <c r="AS404" s="72">
        <f>IF(VLOOKUP($A404,raw_ub[],COLUMN(AT$1)-COLUMN($A$1),FALSE)=0, VLOOKUP($D404, regions_ub[], COLUMN(AT$1)-COLUMN($A$1), FALSE), VLOOKUP($A404,raw_ub[],COLUMN(AT$1)-COLUMN($A$1),FALSE))</f>
        <v>5.6560971250705964E-2</v>
      </c>
      <c r="AT404" s="82">
        <f>IF(VLOOKUP($A404,raw_ub[],COLUMN(AT$1),FALSE)=0, VLOOKUP($D404, regions_ub[], COLUMN(AT$1), FALSE), VLOOKUP($A404,raw_ub[],COLUMN(AT$1),FALSE))</f>
        <v>8.0667873593105774E-2</v>
      </c>
      <c r="AU404" s="82">
        <f>IF(VLOOKUP($A404,raw_ub[],COLUMN(AU$1),FALSE)=0, VLOOKUP($D404, regions_ub[], COLUMN(AU$1), FALSE), VLOOKUP($A404,raw_ub[],COLUMN(AU$1),FALSE))</f>
        <v>0.11120227445965716</v>
      </c>
      <c r="AV404" s="82">
        <f>IF(VLOOKUP($A404,raw_ub[],COLUMN(AV$1),FALSE)=0, VLOOKUP($D404, regions_ub[], COLUMN(AV$1), FALSE), VLOOKUP($A404,raw_ub[],COLUMN(AV$1),FALSE))</f>
        <v>0.13871877026634002</v>
      </c>
      <c r="AW404" s="82">
        <f>IF(VLOOKUP($A404,raw_ub[],COLUMN(AW$1),FALSE)=0, VLOOKUP($D404, regions_ub[], COLUMN(AW$1), FALSE), VLOOKUP($A404,raw_ub[],COLUMN(AW$1),FALSE))</f>
        <v>0.1618412077726073</v>
      </c>
      <c r="AX404" s="82">
        <f>IF(VLOOKUP($A404,raw_ub[],COLUMN(AX$1),FALSE)=0, VLOOKUP($D404, regions_ub[], COLUMN(AX$1), FALSE), VLOOKUP($A404,raw_ub[],COLUMN(AX$1),FALSE))</f>
        <v>79.358549215450296</v>
      </c>
      <c r="AY404" t="str">
        <f t="shared" si="13"/>
        <v>No</v>
      </c>
    </row>
    <row r="405" spans="1:51" x14ac:dyDescent="0.25">
      <c r="A405" s="55" t="s">
        <v>478</v>
      </c>
      <c r="B405" s="56" t="s">
        <v>479</v>
      </c>
      <c r="C405" s="56">
        <v>800</v>
      </c>
      <c r="D405" s="56" t="s">
        <v>207</v>
      </c>
      <c r="E405" s="56" t="s">
        <v>255</v>
      </c>
      <c r="F405" s="56" t="s">
        <v>211</v>
      </c>
      <c r="G405" s="56" t="s">
        <v>198</v>
      </c>
      <c r="H405" s="74"/>
      <c r="I405" s="74"/>
      <c r="J405" s="67">
        <f>IF(VLOOKUP($A405,raw_ub[],COLUMN(J$1),FALSE)=0, VLOOKUP($D405, regions_ub[], COLUMN(J$1), FALSE), VLOOKUP($A405,raw_ub[],COLUMN(J$1),FALSE))</f>
        <v>0.77070000000000016</v>
      </c>
      <c r="K405" s="77">
        <f>VLOOKUP($A405, raw_ub[], 11, FALSE)</f>
        <v>0</v>
      </c>
      <c r="L405" s="77">
        <f>VLOOKUP($A405, raw_ub[], 12, FALSE)</f>
        <v>0.93450000000000011</v>
      </c>
      <c r="M405" s="77">
        <f>IF(VLOOKUP($A405,raw_ub[],COLUMN(M$1),FALSE)=0, VLOOKUP($D405, regions_ub[], COLUMN(M$1), FALSE), VLOOKUP($A405,raw_ub[],COLUMN(M$1),FALSE))</f>
        <v>3.7900000000000003E-2</v>
      </c>
      <c r="N405" s="68">
        <f>IF(VLOOKUP($A405,raw_ub[],COLUMN(N$1),FALSE)=0, VLOOKUP($D405, regions_ub[], COLUMN(N$1), FALSE), VLOOKUP($A405,raw_ub[],COLUMN(N$1),FALSE))</f>
        <v>0.39960000000000001</v>
      </c>
      <c r="O405" s="67">
        <f>IF(VLOOKUP($A405,raw_ub[],COLUMN(O$1),FALSE)=0, VLOOKUP($D405, regions_ub[], COLUMN(O$1), FALSE), VLOOKUP($A405,raw_ub[],COLUMN(O$1),FALSE))</f>
        <v>0.74399999999999999</v>
      </c>
      <c r="P405" s="68">
        <f>IF(VLOOKUP($A405,raw_ub[],COLUMN(P$1),FALSE)=0, VLOOKUP($D405, regions_ub[], COLUMN(P$1), FALSE), VLOOKUP($A405,raw_ub[],COLUMN(P$1),FALSE))</f>
        <v>0.13300000000000001</v>
      </c>
      <c r="Q405" s="70">
        <f>IF(VLOOKUP($A405,raw_ub[],COLUMN(Q$1),FALSE)=0, VLOOKUP($D405, regions_ub[], COLUMN(Q$1), FALSE), VLOOKUP($A405,raw_ub[],COLUMN(Q$1),FALSE))</f>
        <v>6.7541121951219498</v>
      </c>
      <c r="R405" s="70">
        <f>IF(VLOOKUP($A405,raw_ub[],COLUMN(R$1),FALSE)=0, VLOOKUP($D405, regions_ub[], COLUMN(R$1), FALSE), VLOOKUP($A405,raw_ub[],COLUMN(R$1),FALSE))</f>
        <v>115.73991219512196</v>
      </c>
      <c r="S405" s="70">
        <f>IF(VLOOKUP($A405,raw_ub[],COLUMN(S$1),FALSE)=0, VLOOKUP($D405, regions_ub[], COLUMN(S$1), FALSE), VLOOKUP($A405,raw_ub[],COLUMN(S$1),FALSE))</f>
        <v>147.69055153162608</v>
      </c>
      <c r="T405" s="70">
        <f>IF(VLOOKUP($A405,raw_ub[],COLUMN(U$1)-COLUMN($A$1),FALSE)=0, VLOOKUP($D405, regions_ub[], COLUMN(U$1)-COLUMN($A$1), FALSE), VLOOKUP($A405,raw_ub[],COLUMN(U$1)-COLUMN($A$1),FALSE))</f>
        <v>149.11175386729835</v>
      </c>
      <c r="U405" s="70">
        <f>IF(VLOOKUP($A405,raw_ub[],COLUMN(V$1)-COLUMN($A$1),FALSE)=0, VLOOKUP($D405, regions_ub[], COLUMN(V$1)-COLUMN($A$1), FALSE), VLOOKUP($A405,raw_ub[],COLUMN(V$1)-COLUMN($A$1),FALSE))</f>
        <v>148.45916779514801</v>
      </c>
      <c r="V405" s="70">
        <f>IF(VLOOKUP($A405,raw_ub[],COLUMN(W$1)-COLUMN($A$1),FALSE)=0, VLOOKUP($D405, regions_ub[], COLUMN(W$1)-COLUMN($A$1), FALSE), VLOOKUP($A405,raw_ub[],COLUMN(W$1)-COLUMN($A$1),FALSE))</f>
        <v>4.3278018776744851</v>
      </c>
      <c r="W405" s="70">
        <f>IF(VLOOKUP($A405,raw_ub[],COLUMN(X$1)-COLUMN($A$1),FALSE)=0, VLOOKUP($D405, regions_ub[], COLUMN(X$1)-COLUMN($A$1), FALSE), VLOOKUP($A405,raw_ub[],COLUMN(X$1)-COLUMN($A$1),FALSE))</f>
        <v>9.3993018776744854</v>
      </c>
      <c r="X405" s="70">
        <f>IF(VLOOKUP($A405,raw_ub[],COLUMN(Y$1)-COLUMN($A$1),FALSE)=0, VLOOKUP($D405, regions_ub[], COLUMN(Y$1)-COLUMN($A$1), FALSE), VLOOKUP($A405,raw_ub[],COLUMN(Y$1)-COLUMN($A$1),FALSE))</f>
        <v>4.3142640014755775</v>
      </c>
      <c r="Y405" s="70">
        <f>IF(VLOOKUP($A405,raw_ub[],COLUMN(Z$1)-COLUMN($A$1),FALSE)=0, VLOOKUP($D405, regions_ub[], COLUMN(Z$1)-COLUMN($A$1), FALSE), VLOOKUP($A405,raw_ub[],COLUMN(Z$1)-COLUMN($A$1),FALSE))</f>
        <v>9.3857640014755788</v>
      </c>
      <c r="Z405" s="70">
        <f>IF(VLOOKUP($A405,raw_ub[],COLUMN(AA$1)-COLUMN($A$1),FALSE)=0, VLOOKUP($D405, regions_ub[], COLUMN(AA$1)-COLUMN($A$1), FALSE), VLOOKUP($A405,raw_ub[],COLUMN(AA$1)-COLUMN($A$1),FALSE))</f>
        <v>9.3784893531532934</v>
      </c>
      <c r="AA405" s="70">
        <f>IF(VLOOKUP($A405,raw_ub[],COLUMN(AB$1)-COLUMN($A$1),FALSE)=0, VLOOKUP($D405, regions_ub[], COLUMN(AB$1)-COLUMN($A$1), FALSE), VLOOKUP($A405,raw_ub[],COLUMN(AB$1)-COLUMN($A$1),FALSE))</f>
        <v>4.3309260029511556</v>
      </c>
      <c r="AB405" s="70">
        <f>IF(VLOOKUP($A405,raw_ub[],COLUMN(AC$1)-COLUMN($A$1),FALSE)=0, VLOOKUP($D405, regions_ub[], COLUMN(AC$1)-COLUMN($A$1), FALSE), VLOOKUP($A405,raw_ub[],COLUMN(AC$1)-COLUMN($A$1),FALSE))</f>
        <v>9.4024260029511559</v>
      </c>
      <c r="AC405" s="72">
        <f>IF(VLOOKUP($A405,raw_ub[],COLUMN(AD$1)-COLUMN($A$1),FALSE)=0, VLOOKUP($D405, regions_ub[], COLUMN(AD$1)-COLUMN($A$1), FALSE), VLOOKUP($A405,raw_ub[],COLUMN(AD$1)-COLUMN($A$1),FALSE))</f>
        <v>4.8457269000000032E-2</v>
      </c>
      <c r="AD405" s="72">
        <f>IF(VLOOKUP($A405,raw_ub[],COLUMN(AE$1)-COLUMN($A$1),FALSE)=0, VLOOKUP($D405, regions_ub[], COLUMN(AE$1)-COLUMN($A$1), FALSE), VLOOKUP($A405,raw_ub[],COLUMN(AE$1)-COLUMN($A$1),FALSE))</f>
        <v>4.5850016945008249E-3</v>
      </c>
      <c r="AE405" s="72">
        <f>IF(VLOOKUP($A405,raw_ub[],COLUMN(AF$1)-COLUMN($A$1),FALSE)=0, VLOOKUP($D405, regions_ub[], COLUMN(AF$1)-COLUMN($A$1), FALSE), VLOOKUP($A405,raw_ub[],COLUMN(AF$1)-COLUMN($A$1),FALSE))</f>
        <v>1.5569906594037133E-3</v>
      </c>
      <c r="AF405" s="72">
        <f>IF(VLOOKUP($A405,raw_ub[],COLUMN(AG$1)-COLUMN($A$1),FALSE)=0, VLOOKUP($D405, regions_ub[], COLUMN(AG$1)-COLUMN($A$1), FALSE), VLOOKUP($A405,raw_ub[],COLUMN(AG$1)-COLUMN($A$1),FALSE))</f>
        <v>1.1681936256781929E-3</v>
      </c>
      <c r="AG405" s="72">
        <f>IF(VLOOKUP($A405,raw_ub[],COLUMN(AH$1)-COLUMN($A$1),FALSE)=0, VLOOKUP($D405, regions_ub[], COLUMN(AH$1)-COLUMN($A$1), FALSE), VLOOKUP($A405,raw_ub[],COLUMN(AH$1)-COLUMN($A$1),FALSE))</f>
        <v>1.9127903382406973E-3</v>
      </c>
      <c r="AH405" s="72">
        <f>IF(VLOOKUP($A405,raw_ub[],COLUMN(AI$1)-COLUMN($A$1),FALSE)=0, VLOOKUP($D405, regions_ub[], COLUMN(AI$1)-COLUMN($A$1), FALSE), VLOOKUP($A405,raw_ub[],COLUMN(AI$1)-COLUMN($A$1),FALSE))</f>
        <v>2.9451147206791205E-3</v>
      </c>
      <c r="AI405" s="72">
        <f>IF(VLOOKUP($A405,raw_ub[],COLUMN(AJ$1)-COLUMN($A$1),FALSE)=0, VLOOKUP($D405, regions_ub[], COLUMN(AJ$1)-COLUMN($A$1), FALSE), VLOOKUP($A405,raw_ub[],COLUMN(AJ$1)-COLUMN($A$1),FALSE))</f>
        <v>3.8232157928085988E-3</v>
      </c>
      <c r="AJ405" s="72">
        <f>IF(VLOOKUP($A405,raw_ub[],COLUMN(AK$1)-COLUMN($A$1),FALSE)=0, VLOOKUP($D405, regions_ub[], COLUMN(AK$1)-COLUMN($A$1), FALSE), VLOOKUP($A405,raw_ub[],COLUMN(AK$1)-COLUMN($A$1),FALSE))</f>
        <v>4.7679959666907055E-3</v>
      </c>
      <c r="AK405" s="72">
        <f>IF(VLOOKUP($A405,raw_ub[],COLUMN(AL$1)-COLUMN($A$1),FALSE)=0, VLOOKUP($D405, regions_ub[], COLUMN(AL$1)-COLUMN($A$1), FALSE), VLOOKUP($A405,raw_ub[],COLUMN(AL$1)-COLUMN($A$1),FALSE))</f>
        <v>6.0948373499709269E-3</v>
      </c>
      <c r="AL405" s="72">
        <f>IF(VLOOKUP($A405,raw_ub[],COLUMN(AM$1)-COLUMN($A$1),FALSE)=0, VLOOKUP($D405, regions_ub[], COLUMN(AM$1)-COLUMN($A$1), FALSE), VLOOKUP($A405,raw_ub[],COLUMN(AM$1)-COLUMN($A$1),FALSE))</f>
        <v>7.5221396335273544E-3</v>
      </c>
      <c r="AM405" s="72">
        <f>IF(VLOOKUP($A405,raw_ub[],COLUMN(AN$1)-COLUMN($A$1),FALSE)=0, VLOOKUP($D405, regions_ub[], COLUMN(AN$1)-COLUMN($A$1), FALSE), VLOOKUP($A405,raw_ub[],COLUMN(AN$1)-COLUMN($A$1),FALSE))</f>
        <v>9.2901428727684681E-3</v>
      </c>
      <c r="AN405" s="72">
        <f>IF(VLOOKUP($A405,raw_ub[],COLUMN(AO$1)-COLUMN($A$1),FALSE)=0, VLOOKUP($D405, regions_ub[], COLUMN(AO$1)-COLUMN($A$1), FALSE), VLOOKUP($A405,raw_ub[],COLUMN(AO$1)-COLUMN($A$1),FALSE))</f>
        <v>1.2449807698979494E-2</v>
      </c>
      <c r="AO405" s="72">
        <f>IF(VLOOKUP($A405,raw_ub[],COLUMN(AP$1)-COLUMN($A$1),FALSE)=0, VLOOKUP($D405, regions_ub[], COLUMN(AP$1)-COLUMN($A$1), FALSE), VLOOKUP($A405,raw_ub[],COLUMN(AP$1)-COLUMN($A$1),FALSE))</f>
        <v>1.6049447412876512E-2</v>
      </c>
      <c r="AP405" s="72">
        <f>IF(VLOOKUP($A405,raw_ub[],COLUMN(AQ$1)-COLUMN($A$1),FALSE)=0, VLOOKUP($D405, regions_ub[], COLUMN(AQ$1)-COLUMN($A$1), FALSE), VLOOKUP($A405,raw_ub[],COLUMN(AQ$1)-COLUMN($A$1),FALSE))</f>
        <v>2.2907489107020011E-2</v>
      </c>
      <c r="AQ405" s="72">
        <f>IF(VLOOKUP($A405,raw_ub[],COLUMN(AR$1)-COLUMN($A$1),FALSE)=0, VLOOKUP($D405, regions_ub[], COLUMN(AR$1)-COLUMN($A$1), FALSE), VLOOKUP($A405,raw_ub[],COLUMN(AR$1)-COLUMN($A$1),FALSE))</f>
        <v>3.3982377514585715E-2</v>
      </c>
      <c r="AR405" s="72">
        <f>IF(VLOOKUP($A405,raw_ub[],COLUMN(AS$1)-COLUMN($A$1),FALSE)=0, VLOOKUP($D405, regions_ub[], COLUMN(AS$1)-COLUMN($A$1), FALSE), VLOOKUP($A405,raw_ub[],COLUMN(AS$1)-COLUMN($A$1),FALSE))</f>
        <v>5.1220891420250783E-2</v>
      </c>
      <c r="AS405" s="72">
        <f>IF(VLOOKUP($A405,raw_ub[],COLUMN(AT$1)-COLUMN($A$1),FALSE)=0, VLOOKUP($D405, regions_ub[], COLUMN(AT$1)-COLUMN($A$1), FALSE), VLOOKUP($A405,raw_ub[],COLUMN(AT$1)-COLUMN($A$1),FALSE))</f>
        <v>7.6507650567858715E-2</v>
      </c>
      <c r="AT405" s="82">
        <f>IF(VLOOKUP($A405,raw_ub[],COLUMN(AT$1),FALSE)=0, VLOOKUP($D405, regions_ub[], COLUMN(AT$1), FALSE), VLOOKUP($A405,raw_ub[],COLUMN(AT$1),FALSE))</f>
        <v>0.11268679073665458</v>
      </c>
      <c r="AU405" s="82">
        <f>IF(VLOOKUP($A405,raw_ub[],COLUMN(AU$1),FALSE)=0, VLOOKUP($D405, regions_ub[], COLUMN(AU$1), FALSE), VLOOKUP($A405,raw_ub[],COLUMN(AU$1),FALSE))</f>
        <v>0.15416918264908602</v>
      </c>
      <c r="AV405" s="82">
        <f>IF(VLOOKUP($A405,raw_ub[],COLUMN(AV$1),FALSE)=0, VLOOKUP($D405, regions_ub[], COLUMN(AV$1), FALSE), VLOOKUP($A405,raw_ub[],COLUMN(AV$1),FALSE))</f>
        <v>0.18755158761442361</v>
      </c>
      <c r="AW405" s="82">
        <f>IF(VLOOKUP($A405,raw_ub[],COLUMN(AW$1),FALSE)=0, VLOOKUP($D405, regions_ub[], COLUMN(AW$1), FALSE), VLOOKUP($A405,raw_ub[],COLUMN(AW$1),FALSE))</f>
        <v>0.19840740152498701</v>
      </c>
      <c r="AX405" s="82">
        <f>IF(VLOOKUP($A405,raw_ub[],COLUMN(AX$1),FALSE)=0, VLOOKUP($D405, regions_ub[], COLUMN(AX$1), FALSE), VLOOKUP($A405,raw_ub[],COLUMN(AX$1),FALSE))</f>
        <v>65.893799999999999</v>
      </c>
      <c r="AY405" t="str">
        <f t="shared" si="13"/>
        <v>Yes</v>
      </c>
    </row>
    <row r="406" spans="1:51" x14ac:dyDescent="0.25">
      <c r="A406" s="53" t="s">
        <v>480</v>
      </c>
      <c r="B406" s="54" t="s">
        <v>481</v>
      </c>
      <c r="C406" s="54">
        <v>804</v>
      </c>
      <c r="D406" s="54" t="s">
        <v>201</v>
      </c>
      <c r="E406" s="54" t="s">
        <v>229</v>
      </c>
      <c r="F406" s="54" t="s">
        <v>203</v>
      </c>
      <c r="G406" s="54" t="s">
        <v>212</v>
      </c>
      <c r="H406" s="73"/>
      <c r="I406" s="73"/>
      <c r="J406" s="67">
        <f>IF(VLOOKUP($A406,raw_ub[],COLUMN(J$1),FALSE)=0, VLOOKUP($D406, regions_ub[], COLUMN(J$1), FALSE), VLOOKUP($A406,raw_ub[],COLUMN(J$1),FALSE))</f>
        <v>0.999</v>
      </c>
      <c r="K406" s="77">
        <f>VLOOKUP($A406, raw_ub[], 11, FALSE)</f>
        <v>0.72449999999999992</v>
      </c>
      <c r="L406" s="77">
        <f>VLOOKUP($A406, raw_ub[], 12, FALSE)</f>
        <v>0.85050000000000014</v>
      </c>
      <c r="M406" s="77">
        <f>IF(VLOOKUP($A406,raw_ub[],COLUMN(M$1),FALSE)=0, VLOOKUP($D406, regions_ub[], COLUMN(M$1), FALSE), VLOOKUP($A406,raw_ub[],COLUMN(M$1),FALSE))</f>
        <v>1.5100000000000001E-2</v>
      </c>
      <c r="N406" s="68">
        <f>IF(VLOOKUP($A406,raw_ub[],COLUMN(N$1),FALSE)=0, VLOOKUP($D406, regions_ub[], COLUMN(N$1), FALSE), VLOOKUP($A406,raw_ub[],COLUMN(N$1),FALSE))</f>
        <v>0.42969999999999997</v>
      </c>
      <c r="O406" s="67">
        <f>IF(VLOOKUP($A406,raw_ub[],COLUMN(O$1),FALSE)=0, VLOOKUP($D406, regions_ub[], COLUMN(O$1), FALSE), VLOOKUP($A406,raw_ub[],COLUMN(O$1),FALSE))</f>
        <v>0.9</v>
      </c>
      <c r="P406" s="68">
        <f>IF(VLOOKUP($A406,raw_ub[],COLUMN(P$1),FALSE)=0, VLOOKUP($D406, regions_ub[], COLUMN(P$1), FALSE), VLOOKUP($A406,raw_ub[],COLUMN(P$1),FALSE))</f>
        <v>0.3</v>
      </c>
      <c r="Q406" s="70">
        <f>IF(VLOOKUP($A406,raw_ub[],COLUMN(Q$1),FALSE)=0, VLOOKUP($D406, regions_ub[], COLUMN(Q$1), FALSE), VLOOKUP($A406,raw_ub[],COLUMN(Q$1),FALSE))</f>
        <v>16.240263957361798</v>
      </c>
      <c r="R406" s="70">
        <f>IF(VLOOKUP($A406,raw_ub[],COLUMN(R$1),FALSE)=0, VLOOKUP($D406, regions_ub[], COLUMN(R$1), FALSE), VLOOKUP($A406,raw_ub[],COLUMN(R$1),FALSE))</f>
        <v>125.22606395736182</v>
      </c>
      <c r="S406" s="70">
        <f>IF(VLOOKUP($A406,raw_ub[],COLUMN(S$1),FALSE)=0, VLOOKUP($D406, regions_ub[], COLUMN(S$1), FALSE), VLOOKUP($A406,raw_ub[],COLUMN(S$1),FALSE))</f>
        <v>177.43038992834298</v>
      </c>
      <c r="T406" s="70">
        <f>IF(VLOOKUP($A406,raw_ub[],COLUMN(U$1)-COLUMN($A$1),FALSE)=0, VLOOKUP($D406, regions_ub[], COLUMN(U$1)-COLUMN($A$1), FALSE), VLOOKUP($A406,raw_ub[],COLUMN(U$1)-COLUMN($A$1),FALSE))</f>
        <v>189.39292826767218</v>
      </c>
      <c r="U406" s="70">
        <f>IF(VLOOKUP($A406,raw_ub[],COLUMN(V$1)-COLUMN($A$1),FALSE)=0, VLOOKUP($D406, regions_ub[], COLUMN(V$1)-COLUMN($A$1), FALSE), VLOOKUP($A406,raw_ub[],COLUMN(V$1)-COLUMN($A$1),FALSE))</f>
        <v>183.89998351810007</v>
      </c>
      <c r="V406" s="70">
        <f>IF(VLOOKUP($A406,raw_ub[],COLUMN(W$1)-COLUMN($A$1),FALSE)=0, VLOOKUP($D406, regions_ub[], COLUMN(W$1)-COLUMN($A$1), FALSE), VLOOKUP($A406,raw_ub[],COLUMN(W$1)-COLUMN($A$1),FALSE))</f>
        <v>2.8553895511709837</v>
      </c>
      <c r="W406" s="70">
        <f>IF(VLOOKUP($A406,raw_ub[],COLUMN(X$1)-COLUMN($A$1),FALSE)=0, VLOOKUP($D406, regions_ub[], COLUMN(X$1)-COLUMN($A$1), FALSE), VLOOKUP($A406,raw_ub[],COLUMN(X$1)-COLUMN($A$1),FALSE))</f>
        <v>7.1288895511709836</v>
      </c>
      <c r="X406" s="70">
        <f>IF(VLOOKUP($A406,raw_ub[],COLUMN(Y$1)-COLUMN($A$1),FALSE)=0, VLOOKUP($D406, regions_ub[], COLUMN(Y$1)-COLUMN($A$1), FALSE), VLOOKUP($A406,raw_ub[],COLUMN(Y$1)-COLUMN($A$1),FALSE))</f>
        <v>2.8135288558184741</v>
      </c>
      <c r="Y406" s="70">
        <f>IF(VLOOKUP($A406,raw_ub[],COLUMN(Z$1)-COLUMN($A$1),FALSE)=0, VLOOKUP($D406, regions_ub[], COLUMN(Z$1)-COLUMN($A$1), FALSE), VLOOKUP($A406,raw_ub[],COLUMN(Z$1)-COLUMN($A$1),FALSE))</f>
        <v>7.087028855818474</v>
      </c>
      <c r="Z406" s="70">
        <f>IF(VLOOKUP($A406,raw_ub[],COLUMN(AA$1)-COLUMN($A$1),FALSE)=0, VLOOKUP($D406, regions_ub[], COLUMN(AA$1)-COLUMN($A$1), FALSE), VLOOKUP($A406,raw_ub[],COLUMN(AA$1)-COLUMN($A$1),FALSE))</f>
        <v>7.0631148677731161</v>
      </c>
      <c r="AA406" s="70">
        <f>IF(VLOOKUP($A406,raw_ub[],COLUMN(AB$1)-COLUMN($A$1),FALSE)=0, VLOOKUP($D406, regions_ub[], COLUMN(AB$1)-COLUMN($A$1), FALSE), VLOOKUP($A406,raw_ub[],COLUMN(AB$1)-COLUMN($A$1),FALSE))</f>
        <v>2.8650497116369475</v>
      </c>
      <c r="AB406" s="70">
        <f>IF(VLOOKUP($A406,raw_ub[],COLUMN(AC$1)-COLUMN($A$1),FALSE)=0, VLOOKUP($D406, regions_ub[], COLUMN(AC$1)-COLUMN($A$1), FALSE), VLOOKUP($A406,raw_ub[],COLUMN(AC$1)-COLUMN($A$1),FALSE))</f>
        <v>7.1385497116369478</v>
      </c>
      <c r="AC406" s="72">
        <f>IF(VLOOKUP($A406,raw_ub[],COLUMN(AD$1)-COLUMN($A$1),FALSE)=0, VLOOKUP($D406, regions_ub[], COLUMN(AD$1)-COLUMN($A$1), FALSE), VLOOKUP($A406,raw_ub[],COLUMN(AD$1)-COLUMN($A$1),FALSE))</f>
        <v>7.5587609999999772E-3</v>
      </c>
      <c r="AD406" s="72">
        <f>IF(VLOOKUP($A406,raw_ub[],COLUMN(AE$1)-COLUMN($A$1),FALSE)=0, VLOOKUP($D406, regions_ub[], COLUMN(AE$1)-COLUMN($A$1), FALSE), VLOOKUP($A406,raw_ub[],COLUMN(AE$1)-COLUMN($A$1),FALSE))</f>
        <v>3.6335900608016778E-4</v>
      </c>
      <c r="AE406" s="72">
        <f>IF(VLOOKUP($A406,raw_ub[],COLUMN(AF$1)-COLUMN($A$1),FALSE)=0, VLOOKUP($D406, regions_ub[], COLUMN(AF$1)-COLUMN($A$1), FALSE), VLOOKUP($A406,raw_ub[],COLUMN(AF$1)-COLUMN($A$1),FALSE))</f>
        <v>2.1406751795683416E-4</v>
      </c>
      <c r="AF406" s="72">
        <f>IF(VLOOKUP($A406,raw_ub[],COLUMN(AG$1)-COLUMN($A$1),FALSE)=0, VLOOKUP($D406, regions_ub[], COLUMN(AG$1)-COLUMN($A$1), FALSE), VLOOKUP($A406,raw_ub[],COLUMN(AG$1)-COLUMN($A$1),FALSE))</f>
        <v>2.6244691512495612E-4</v>
      </c>
      <c r="AG406" s="72">
        <f>IF(VLOOKUP($A406,raw_ub[],COLUMN(AH$1)-COLUMN($A$1),FALSE)=0, VLOOKUP($D406, regions_ub[], COLUMN(AH$1)-COLUMN($A$1), FALSE), VLOOKUP($A406,raw_ub[],COLUMN(AH$1)-COLUMN($A$1),FALSE))</f>
        <v>5.1894394148387947E-4</v>
      </c>
      <c r="AH406" s="72">
        <f>IF(VLOOKUP($A406,raw_ub[],COLUMN(AI$1)-COLUMN($A$1),FALSE)=0, VLOOKUP($D406, regions_ub[], COLUMN(AI$1)-COLUMN($A$1), FALSE), VLOOKUP($A406,raw_ub[],COLUMN(AI$1)-COLUMN($A$1),FALSE))</f>
        <v>9.5950317314462158E-4</v>
      </c>
      <c r="AI406" s="72">
        <f>IF(VLOOKUP($A406,raw_ub[],COLUMN(AJ$1)-COLUMN($A$1),FALSE)=0, VLOOKUP($D406, regions_ub[], COLUMN(AJ$1)-COLUMN($A$1), FALSE), VLOOKUP($A406,raw_ub[],COLUMN(AJ$1)-COLUMN($A$1),FALSE))</f>
        <v>1.5578740995004551E-3</v>
      </c>
      <c r="AJ406" s="72">
        <f>IF(VLOOKUP($A406,raw_ub[],COLUMN(AK$1)-COLUMN($A$1),FALSE)=0, VLOOKUP($D406, regions_ub[], COLUMN(AK$1)-COLUMN($A$1), FALSE), VLOOKUP($A406,raw_ub[],COLUMN(AK$1)-COLUMN($A$1),FALSE))</f>
        <v>2.6644268412017525E-3</v>
      </c>
      <c r="AK406" s="72">
        <f>IF(VLOOKUP($A406,raw_ub[],COLUMN(AL$1)-COLUMN($A$1),FALSE)=0, VLOOKUP($D406, regions_ub[], COLUMN(AL$1)-COLUMN($A$1), FALSE), VLOOKUP($A406,raw_ub[],COLUMN(AL$1)-COLUMN($A$1),FALSE))</f>
        <v>3.6989977490243593E-3</v>
      </c>
      <c r="AL406" s="72">
        <f>IF(VLOOKUP($A406,raw_ub[],COLUMN(AM$1)-COLUMN($A$1),FALSE)=0, VLOOKUP($D406, regions_ub[], COLUMN(AM$1)-COLUMN($A$1), FALSE), VLOOKUP($A406,raw_ub[],COLUMN(AM$1)-COLUMN($A$1),FALSE))</f>
        <v>4.765431005740276E-3</v>
      </c>
      <c r="AM406" s="72">
        <f>IF(VLOOKUP($A406,raw_ub[],COLUMN(AN$1)-COLUMN($A$1),FALSE)=0, VLOOKUP($D406, regions_ub[], COLUMN(AN$1)-COLUMN($A$1), FALSE), VLOOKUP($A406,raw_ub[],COLUMN(AN$1)-COLUMN($A$1),FALSE))</f>
        <v>6.4904069111972572E-3</v>
      </c>
      <c r="AN406" s="72">
        <f>IF(VLOOKUP($A406,raw_ub[],COLUMN(AO$1)-COLUMN($A$1),FALSE)=0, VLOOKUP($D406, regions_ub[], COLUMN(AO$1)-COLUMN($A$1), FALSE), VLOOKUP($A406,raw_ub[],COLUMN(AO$1)-COLUMN($A$1),FALSE))</f>
        <v>9.172542854913859E-3</v>
      </c>
      <c r="AO406" s="72">
        <f>IF(VLOOKUP($A406,raw_ub[],COLUMN(AP$1)-COLUMN($A$1),FALSE)=0, VLOOKUP($D406, regions_ub[], COLUMN(AP$1)-COLUMN($A$1), FALSE), VLOOKUP($A406,raw_ub[],COLUMN(AP$1)-COLUMN($A$1),FALSE))</f>
        <v>1.325507340314265E-2</v>
      </c>
      <c r="AP406" s="72">
        <f>IF(VLOOKUP($A406,raw_ub[],COLUMN(AQ$1)-COLUMN($A$1),FALSE)=0, VLOOKUP($D406, regions_ub[], COLUMN(AQ$1)-COLUMN($A$1), FALSE), VLOOKUP($A406,raw_ub[],COLUMN(AQ$1)-COLUMN($A$1),FALSE))</f>
        <v>1.9293725577545148E-2</v>
      </c>
      <c r="AQ406" s="72">
        <f>IF(VLOOKUP($A406,raw_ub[],COLUMN(AR$1)-COLUMN($A$1),FALSE)=0, VLOOKUP($D406, regions_ub[], COLUMN(AR$1)-COLUMN($A$1), FALSE), VLOOKUP($A406,raw_ub[],COLUMN(AR$1)-COLUMN($A$1),FALSE))</f>
        <v>2.6331248262213926E-2</v>
      </c>
      <c r="AR406" s="72">
        <f>IF(VLOOKUP($A406,raw_ub[],COLUMN(AS$1)-COLUMN($A$1),FALSE)=0, VLOOKUP($D406, regions_ub[], COLUMN(AS$1)-COLUMN($A$1), FALSE), VLOOKUP($A406,raw_ub[],COLUMN(AS$1)-COLUMN($A$1),FALSE))</f>
        <v>4.0520347863023984E-2</v>
      </c>
      <c r="AS406" s="72">
        <f>IF(VLOOKUP($A406,raw_ub[],COLUMN(AT$1)-COLUMN($A$1),FALSE)=0, VLOOKUP($D406, regions_ub[], COLUMN(AT$1)-COLUMN($A$1), FALSE), VLOOKUP($A406,raw_ub[],COLUMN(AT$1)-COLUMN($A$1),FALSE))</f>
        <v>6.1354030649551729E-2</v>
      </c>
      <c r="AT406" s="82">
        <f>IF(VLOOKUP($A406,raw_ub[],COLUMN(AT$1),FALSE)=0, VLOOKUP($D406, regions_ub[], COLUMN(AT$1), FALSE), VLOOKUP($A406,raw_ub[],COLUMN(AT$1),FALSE))</f>
        <v>8.9315477966005627E-2</v>
      </c>
      <c r="AU406" s="82">
        <f>IF(VLOOKUP($A406,raw_ub[],COLUMN(AU$1),FALSE)=0, VLOOKUP($D406, regions_ub[], COLUMN(AU$1), FALSE), VLOOKUP($A406,raw_ub[],COLUMN(AU$1),FALSE))</f>
        <v>0.12288145145009466</v>
      </c>
      <c r="AV406" s="82">
        <f>IF(VLOOKUP($A406,raw_ub[],COLUMN(AV$1),FALSE)=0, VLOOKUP($D406, regions_ub[], COLUMN(AV$1), FALSE), VLOOKUP($A406,raw_ub[],COLUMN(AV$1),FALSE))</f>
        <v>0.15710091034937113</v>
      </c>
      <c r="AW406" s="82">
        <f>IF(VLOOKUP($A406,raw_ub[],COLUMN(AW$1),FALSE)=0, VLOOKUP($D406, regions_ub[], COLUMN(AW$1), FALSE), VLOOKUP($A406,raw_ub[],COLUMN(AW$1),FALSE))</f>
        <v>0.18230986599273061</v>
      </c>
      <c r="AX406" s="82">
        <f>IF(VLOOKUP($A406,raw_ub[],COLUMN(AX$1),FALSE)=0, VLOOKUP($D406, regions_ub[], COLUMN(AX$1), FALSE), VLOOKUP($A406,raw_ub[],COLUMN(AX$1),FALSE))</f>
        <v>75.409950000000009</v>
      </c>
      <c r="AY406" t="str">
        <f t="shared" ref="AY406:AY413" si="14">IF($K406=0,"Yes", "No")</f>
        <v>No</v>
      </c>
    </row>
    <row r="407" spans="1:51" x14ac:dyDescent="0.25">
      <c r="A407" s="55" t="s">
        <v>482</v>
      </c>
      <c r="B407" s="56" t="s">
        <v>483</v>
      </c>
      <c r="C407" s="56">
        <v>860</v>
      </c>
      <c r="D407" s="56" t="s">
        <v>201</v>
      </c>
      <c r="E407" s="56" t="s">
        <v>220</v>
      </c>
      <c r="F407" s="56" t="s">
        <v>203</v>
      </c>
      <c r="G407" s="56" t="s">
        <v>212</v>
      </c>
      <c r="H407" s="74"/>
      <c r="I407" s="74"/>
      <c r="J407" s="67">
        <f>IF(VLOOKUP($A407,raw_ub[],COLUMN(J$1),FALSE)=0, VLOOKUP($D407, regions_ub[], COLUMN(J$1), FALSE), VLOOKUP($A407,raw_ub[],COLUMN(J$1),FALSE))</f>
        <v>0.999</v>
      </c>
      <c r="K407" s="77">
        <f>VLOOKUP($A407, raw_ub[], 11, FALSE)</f>
        <v>0.999</v>
      </c>
      <c r="L407" s="77">
        <f>VLOOKUP($A407, raw_ub[], 12, FALSE)</f>
        <v>0.99749999999999994</v>
      </c>
      <c r="M407" s="77">
        <f>IF(VLOOKUP($A407,raw_ub[],COLUMN(M$1),FALSE)=0, VLOOKUP($D407, regions_ub[], COLUMN(M$1), FALSE), VLOOKUP($A407,raw_ub[],COLUMN(M$1),FALSE))</f>
        <v>5.45E-2</v>
      </c>
      <c r="N407" s="68">
        <f>IF(VLOOKUP($A407,raw_ub[],COLUMN(N$1),FALSE)=0, VLOOKUP($D407, regions_ub[], COLUMN(N$1), FALSE), VLOOKUP($A407,raw_ub[],COLUMN(N$1),FALSE))</f>
        <v>0.43079999999999996</v>
      </c>
      <c r="O407" s="67">
        <f>IF(VLOOKUP($A407,raw_ub[],COLUMN(O$1),FALSE)=0, VLOOKUP($D407, regions_ub[], COLUMN(O$1), FALSE), VLOOKUP($A407,raw_ub[],COLUMN(O$1),FALSE))</f>
        <v>0.9</v>
      </c>
      <c r="P407" s="68">
        <f>IF(VLOOKUP($A407,raw_ub[],COLUMN(P$1),FALSE)=0, VLOOKUP($D407, regions_ub[], COLUMN(P$1), FALSE), VLOOKUP($A407,raw_ub[],COLUMN(P$1),FALSE))</f>
        <v>0.3</v>
      </c>
      <c r="Q407" s="70">
        <f>IF(VLOOKUP($A407,raw_ub[],COLUMN(Q$1),FALSE)=0, VLOOKUP($D407, regions_ub[], COLUMN(Q$1), FALSE), VLOOKUP($A407,raw_ub[],COLUMN(Q$1),FALSE))</f>
        <v>9.4113018276762404</v>
      </c>
      <c r="R407" s="70">
        <f>IF(VLOOKUP($A407,raw_ub[],COLUMN(R$1),FALSE)=0, VLOOKUP($D407, regions_ub[], COLUMN(R$1), FALSE), VLOOKUP($A407,raw_ub[],COLUMN(R$1),FALSE))</f>
        <v>118.39710182767625</v>
      </c>
      <c r="S407" s="70">
        <f>IF(VLOOKUP($A407,raw_ub[],COLUMN(S$1),FALSE)=0, VLOOKUP($D407, regions_ub[], COLUMN(S$1), FALSE), VLOOKUP($A407,raw_ub[],COLUMN(S$1),FALSE))</f>
        <v>155.39905212328978</v>
      </c>
      <c r="T407" s="70">
        <f>IF(VLOOKUP($A407,raw_ub[],COLUMN(U$1)-COLUMN($A$1),FALSE)=0, VLOOKUP($D407, regions_ub[], COLUMN(U$1)-COLUMN($A$1), FALSE), VLOOKUP($A407,raw_ub[],COLUMN(U$1)-COLUMN($A$1),FALSE))</f>
        <v>159.44928526406426</v>
      </c>
      <c r="U407" s="70">
        <f>IF(VLOOKUP($A407,raw_ub[],COLUMN(V$1)-COLUMN($A$1),FALSE)=0, VLOOKUP($D407, regions_ub[], COLUMN(V$1)-COLUMN($A$1), FALSE), VLOOKUP($A407,raw_ub[],COLUMN(V$1)-COLUMN($A$1),FALSE))</f>
        <v>157.58950381684278</v>
      </c>
      <c r="V407" s="70">
        <f>IF(VLOOKUP($A407,raw_ub[],COLUMN(W$1)-COLUMN($A$1),FALSE)=0, VLOOKUP($D407, regions_ub[], COLUMN(W$1)-COLUMN($A$1), FALSE), VLOOKUP($A407,raw_ub[],COLUMN(W$1)-COLUMN($A$1),FALSE))</f>
        <v>6.1644298012990495</v>
      </c>
      <c r="W407" s="70">
        <f>IF(VLOOKUP($A407,raw_ub[],COLUMN(X$1)-COLUMN($A$1),FALSE)=0, VLOOKUP($D407, regions_ub[], COLUMN(X$1)-COLUMN($A$1), FALSE), VLOOKUP($A407,raw_ub[],COLUMN(X$1)-COLUMN($A$1),FALSE))</f>
        <v>10.437929801299049</v>
      </c>
      <c r="X407" s="70">
        <f>IF(VLOOKUP($A407,raw_ub[],COLUMN(Y$1)-COLUMN($A$1),FALSE)=0, VLOOKUP($D407, regions_ub[], COLUMN(Y$1)-COLUMN($A$1), FALSE), VLOOKUP($A407,raw_ub[],COLUMN(Y$1)-COLUMN($A$1),FALSE))</f>
        <v>6.1453037524408547</v>
      </c>
      <c r="Y407" s="70">
        <f>IF(VLOOKUP($A407,raw_ub[],COLUMN(Z$1)-COLUMN($A$1),FALSE)=0, VLOOKUP($D407, regions_ub[], COLUMN(Z$1)-COLUMN($A$1), FALSE), VLOOKUP($A407,raw_ub[],COLUMN(Z$1)-COLUMN($A$1),FALSE))</f>
        <v>10.418803752440855</v>
      </c>
      <c r="Z407" s="70">
        <f>IF(VLOOKUP($A407,raw_ub[],COLUMN(AA$1)-COLUMN($A$1),FALSE)=0, VLOOKUP($D407, regions_ub[], COLUMN(AA$1)-COLUMN($A$1), FALSE), VLOOKUP($A407,raw_ub[],COLUMN(AA$1)-COLUMN($A$1),FALSE))</f>
        <v>10.40823212676454</v>
      </c>
      <c r="AA407" s="70">
        <f>IF(VLOOKUP($A407,raw_ub[],COLUMN(AB$1)-COLUMN($A$1),FALSE)=0, VLOOKUP($D407, regions_ub[], COLUMN(AB$1)-COLUMN($A$1), FALSE), VLOOKUP($A407,raw_ub[],COLUMN(AB$1)-COLUMN($A$1),FALSE))</f>
        <v>6.1688435048817096</v>
      </c>
      <c r="AB407" s="70">
        <f>IF(VLOOKUP($A407,raw_ub[],COLUMN(AC$1)-COLUMN($A$1),FALSE)=0, VLOOKUP($D407, regions_ub[], COLUMN(AC$1)-COLUMN($A$1), FALSE), VLOOKUP($A407,raw_ub[],COLUMN(AC$1)-COLUMN($A$1),FALSE))</f>
        <v>10.442343504881709</v>
      </c>
      <c r="AC407" s="72">
        <f>IF(VLOOKUP($A407,raw_ub[],COLUMN(AD$1)-COLUMN($A$1),FALSE)=0, VLOOKUP($D407, regions_ub[], COLUMN(AD$1)-COLUMN($A$1), FALSE), VLOOKUP($A407,raw_ub[],COLUMN(AD$1)-COLUMN($A$1),FALSE))</f>
        <v>2.1877243500000063E-2</v>
      </c>
      <c r="AD407" s="72">
        <f>IF(VLOOKUP($A407,raw_ub[],COLUMN(AE$1)-COLUMN($A$1),FALSE)=0, VLOOKUP($D407, regions_ub[], COLUMN(AE$1)-COLUMN($A$1), FALSE), VLOOKUP($A407,raw_ub[],COLUMN(AE$1)-COLUMN($A$1),FALSE))</f>
        <v>1.28330207692468E-3</v>
      </c>
      <c r="AE407" s="72">
        <f>IF(VLOOKUP($A407,raw_ub[],COLUMN(AF$1)-COLUMN($A$1),FALSE)=0, VLOOKUP($D407, regions_ub[], COLUMN(AF$1)-COLUMN($A$1), FALSE), VLOOKUP($A407,raw_ub[],COLUMN(AF$1)-COLUMN($A$1),FALSE))</f>
        <v>3.0197891860448415E-4</v>
      </c>
      <c r="AF407" s="72">
        <f>IF(VLOOKUP($A407,raw_ub[],COLUMN(AG$1)-COLUMN($A$1),FALSE)=0, VLOOKUP($D407, regions_ub[], COLUMN(AG$1)-COLUMN($A$1), FALSE), VLOOKUP($A407,raw_ub[],COLUMN(AG$1)-COLUMN($A$1),FALSE))</f>
        <v>3.2178260179301625E-4</v>
      </c>
      <c r="AG407" s="72">
        <f>IF(VLOOKUP($A407,raw_ub[],COLUMN(AH$1)-COLUMN($A$1),FALSE)=0, VLOOKUP($D407, regions_ub[], COLUMN(AH$1)-COLUMN($A$1), FALSE), VLOOKUP($A407,raw_ub[],COLUMN(AH$1)-COLUMN($A$1),FALSE))</f>
        <v>5.2969854683792249E-4</v>
      </c>
      <c r="AH407" s="72">
        <f>IF(VLOOKUP($A407,raw_ub[],COLUMN(AI$1)-COLUMN($A$1),FALSE)=0, VLOOKUP($D407, regions_ub[], COLUMN(AI$1)-COLUMN($A$1), FALSE), VLOOKUP($A407,raw_ub[],COLUMN(AI$1)-COLUMN($A$1),FALSE))</f>
        <v>7.6069254579039138E-4</v>
      </c>
      <c r="AI407" s="72">
        <f>IF(VLOOKUP($A407,raw_ub[],COLUMN(AJ$1)-COLUMN($A$1),FALSE)=0, VLOOKUP($D407, regions_ub[], COLUMN(AJ$1)-COLUMN($A$1), FALSE), VLOOKUP($A407,raw_ub[],COLUMN(AJ$1)-COLUMN($A$1),FALSE))</f>
        <v>1.0221635391192995E-3</v>
      </c>
      <c r="AJ407" s="72">
        <f>IF(VLOOKUP($A407,raw_ub[],COLUMN(AK$1)-COLUMN($A$1),FALSE)=0, VLOOKUP($D407, regions_ub[], COLUMN(AK$1)-COLUMN($A$1), FALSE), VLOOKUP($A407,raw_ub[],COLUMN(AK$1)-COLUMN($A$1),FALSE))</f>
        <v>1.3858585802657547E-3</v>
      </c>
      <c r="AK407" s="72">
        <f>IF(VLOOKUP($A407,raw_ub[],COLUMN(AL$1)-COLUMN($A$1),FALSE)=0, VLOOKUP($D407, regions_ub[], COLUMN(AL$1)-COLUMN($A$1), FALSE), VLOOKUP($A407,raw_ub[],COLUMN(AL$1)-COLUMN($A$1),FALSE))</f>
        <v>1.9324163783443747E-3</v>
      </c>
      <c r="AL407" s="72">
        <f>IF(VLOOKUP($A407,raw_ub[],COLUMN(AM$1)-COLUMN($A$1),FALSE)=0, VLOOKUP($D407, regions_ub[], COLUMN(AM$1)-COLUMN($A$1), FALSE), VLOOKUP($A407,raw_ub[],COLUMN(AM$1)-COLUMN($A$1),FALSE))</f>
        <v>2.6980597765028191E-3</v>
      </c>
      <c r="AM407" s="72">
        <f>IF(VLOOKUP($A407,raw_ub[],COLUMN(AN$1)-COLUMN($A$1),FALSE)=0, VLOOKUP($D407, regions_ub[], COLUMN(AN$1)-COLUMN($A$1), FALSE), VLOOKUP($A407,raw_ub[],COLUMN(AN$1)-COLUMN($A$1),FALSE))</f>
        <v>4.0914534639068662E-3</v>
      </c>
      <c r="AN407" s="72">
        <f>IF(VLOOKUP($A407,raw_ub[],COLUMN(AO$1)-COLUMN($A$1),FALSE)=0, VLOOKUP($D407, regions_ub[], COLUMN(AO$1)-COLUMN($A$1), FALSE), VLOOKUP($A407,raw_ub[],COLUMN(AO$1)-COLUMN($A$1),FALSE))</f>
        <v>6.5741174044034586E-3</v>
      </c>
      <c r="AO407" s="72">
        <f>IF(VLOOKUP($A407,raw_ub[],COLUMN(AP$1)-COLUMN($A$1),FALSE)=0, VLOOKUP($D407, regions_ub[], COLUMN(AP$1)-COLUMN($A$1), FALSE), VLOOKUP($A407,raw_ub[],COLUMN(AP$1)-COLUMN($A$1),FALSE))</f>
        <v>1.1123220787460213E-2</v>
      </c>
      <c r="AP407" s="72">
        <f>IF(VLOOKUP($A407,raw_ub[],COLUMN(AQ$1)-COLUMN($A$1),FALSE)=0, VLOOKUP($D407, regions_ub[], COLUMN(AQ$1)-COLUMN($A$1), FALSE), VLOOKUP($A407,raw_ub[],COLUMN(AQ$1)-COLUMN($A$1),FALSE))</f>
        <v>1.9069401525738834E-2</v>
      </c>
      <c r="AQ407" s="72">
        <f>IF(VLOOKUP($A407,raw_ub[],COLUMN(AR$1)-COLUMN($A$1),FALSE)=0, VLOOKUP($D407, regions_ub[], COLUMN(AR$1)-COLUMN($A$1), FALSE), VLOOKUP($A407,raw_ub[],COLUMN(AR$1)-COLUMN($A$1),FALSE))</f>
        <v>3.0046045635621597E-2</v>
      </c>
      <c r="AR407" s="72">
        <f>IF(VLOOKUP($A407,raw_ub[],COLUMN(AS$1)-COLUMN($A$1),FALSE)=0, VLOOKUP($D407, regions_ub[], COLUMN(AS$1)-COLUMN($A$1), FALSE), VLOOKUP($A407,raw_ub[],COLUMN(AS$1)-COLUMN($A$1),FALSE))</f>
        <v>4.6505185180203502E-2</v>
      </c>
      <c r="AS407" s="72">
        <f>IF(VLOOKUP($A407,raw_ub[],COLUMN(AT$1)-COLUMN($A$1),FALSE)=0, VLOOKUP($D407, regions_ub[], COLUMN(AT$1)-COLUMN($A$1), FALSE), VLOOKUP($A407,raw_ub[],COLUMN(AT$1)-COLUMN($A$1),FALSE))</f>
        <v>7.0284678775031403E-2</v>
      </c>
      <c r="AT407" s="82">
        <f>IF(VLOOKUP($A407,raw_ub[],COLUMN(AT$1),FALSE)=0, VLOOKUP($D407, regions_ub[], COLUMN(AT$1), FALSE), VLOOKUP($A407,raw_ub[],COLUMN(AT$1),FALSE))</f>
        <v>0.10010965571174806</v>
      </c>
      <c r="AU407" s="82">
        <f>IF(VLOOKUP($A407,raw_ub[],COLUMN(AU$1),FALSE)=0, VLOOKUP($D407, regions_ub[], COLUMN(AU$1), FALSE), VLOOKUP($A407,raw_ub[],COLUMN(AU$1),FALSE))</f>
        <v>0.13197893335385955</v>
      </c>
      <c r="AV407" s="82">
        <f>IF(VLOOKUP($A407,raw_ub[],COLUMN(AV$1),FALSE)=0, VLOOKUP($D407, regions_ub[], COLUMN(AV$1), FALSE), VLOOKUP($A407,raw_ub[],COLUMN(AV$1),FALSE))</f>
        <v>0.16132483842943279</v>
      </c>
      <c r="AW407" s="82">
        <f>IF(VLOOKUP($A407,raw_ub[],COLUMN(AW$1),FALSE)=0, VLOOKUP($D407, regions_ub[], COLUMN(AW$1), FALSE), VLOOKUP($A407,raw_ub[],COLUMN(AW$1),FALSE))</f>
        <v>0.18231767526799114</v>
      </c>
      <c r="AX407" s="82">
        <f>IF(VLOOKUP($A407,raw_ub[],COLUMN(AX$1),FALSE)=0, VLOOKUP($D407, regions_ub[], COLUMN(AX$1), FALSE), VLOOKUP($A407,raw_ub[],COLUMN(AX$1),FALSE))</f>
        <v>75.108599999999996</v>
      </c>
      <c r="AY407" t="str">
        <f t="shared" si="14"/>
        <v>No</v>
      </c>
    </row>
    <row r="408" spans="1:51" x14ac:dyDescent="0.25">
      <c r="A408" s="53" t="s">
        <v>484</v>
      </c>
      <c r="B408" s="54" t="s">
        <v>485</v>
      </c>
      <c r="C408" s="54">
        <v>548</v>
      </c>
      <c r="D408" s="54" t="s">
        <v>260</v>
      </c>
      <c r="E408" s="54" t="s">
        <v>309</v>
      </c>
      <c r="F408" s="54" t="s">
        <v>262</v>
      </c>
      <c r="G408" s="54" t="s">
        <v>212</v>
      </c>
      <c r="H408" s="73"/>
      <c r="I408" s="73"/>
      <c r="J408" s="67">
        <f>IF(VLOOKUP($A408,raw_ub[],COLUMN(J$1),FALSE)=0, VLOOKUP($D408, regions_ub[], COLUMN(J$1), FALSE), VLOOKUP($A408,raw_ub[],COLUMN(J$1),FALSE))</f>
        <v>0.92925000000000002</v>
      </c>
      <c r="K408" s="77">
        <f>VLOOKUP($A408, raw_ub[], 11, FALSE)</f>
        <v>0.61949999999999994</v>
      </c>
      <c r="L408" s="77">
        <f>VLOOKUP($A408, raw_ub[], 12, FALSE)</f>
        <v>0.81900000000000006</v>
      </c>
      <c r="M408" s="77">
        <f>IF(VLOOKUP($A408,raw_ub[],COLUMN(M$1),FALSE)=0, VLOOKUP($D408, regions_ub[], COLUMN(M$1), FALSE), VLOOKUP($A408,raw_ub[],COLUMN(M$1),FALSE))</f>
        <v>0.12619999999999998</v>
      </c>
      <c r="N408" s="68">
        <f>IF(VLOOKUP($A408,raw_ub[],COLUMN(N$1),FALSE)=0, VLOOKUP($D408, regions_ub[], COLUMN(N$1), FALSE), VLOOKUP($A408,raw_ub[],COLUMN(N$1),FALSE))</f>
        <v>0.47889999999999999</v>
      </c>
      <c r="O408" s="67">
        <f>IF(VLOOKUP($A408,raw_ub[],COLUMN(O$1),FALSE)=0, VLOOKUP($D408, regions_ub[], COLUMN(O$1), FALSE), VLOOKUP($A408,raw_ub[],COLUMN(O$1),FALSE))</f>
        <v>0.9</v>
      </c>
      <c r="P408" s="68">
        <f>IF(VLOOKUP($A408,raw_ub[],COLUMN(P$1),FALSE)=0, VLOOKUP($D408, regions_ub[], COLUMN(P$1), FALSE), VLOOKUP($A408,raw_ub[],COLUMN(P$1),FALSE))</f>
        <v>0.3</v>
      </c>
      <c r="Q408" s="70">
        <f>IF(VLOOKUP($A408,raw_ub[],COLUMN(Q$1),FALSE)=0, VLOOKUP($D408, regions_ub[], COLUMN(Q$1), FALSE), VLOOKUP($A408,raw_ub[],COLUMN(Q$1),FALSE))</f>
        <v>26.5366406047516</v>
      </c>
      <c r="R408" s="70">
        <f>IF(VLOOKUP($A408,raw_ub[],COLUMN(R$1),FALSE)=0, VLOOKUP($D408, regions_ub[], COLUMN(R$1), FALSE), VLOOKUP($A408,raw_ub[],COLUMN(R$1),FALSE))</f>
        <v>135.52244060475164</v>
      </c>
      <c r="S408" s="70">
        <f>IF(VLOOKUP($A408,raw_ub[],COLUMN(S$1),FALSE)=0, VLOOKUP($D408, regions_ub[], COLUMN(S$1), FALSE), VLOOKUP($A408,raw_ub[],COLUMN(S$1),FALSE))</f>
        <v>202.23562618681825</v>
      </c>
      <c r="T408" s="70">
        <f>IF(VLOOKUP($A408,raw_ub[],COLUMN(U$1)-COLUMN($A$1),FALSE)=0, VLOOKUP($D408, regions_ub[], COLUMN(U$1)-COLUMN($A$1), FALSE), VLOOKUP($A408,raw_ub[],COLUMN(U$1)-COLUMN($A$1),FALSE))</f>
        <v>221.74951885242555</v>
      </c>
      <c r="U408" s="70">
        <f>IF(VLOOKUP($A408,raw_ub[],COLUMN(V$1)-COLUMN($A$1),FALSE)=0, VLOOKUP($D408, regions_ub[], COLUMN(V$1)-COLUMN($A$1), FALSE), VLOOKUP($A408,raw_ub[],COLUMN(V$1)-COLUMN($A$1),FALSE))</f>
        <v>212.78915181152277</v>
      </c>
      <c r="V408" s="70">
        <f>IF(VLOOKUP($A408,raw_ub[],COLUMN(W$1)-COLUMN($A$1),FALSE)=0, VLOOKUP($D408, regions_ub[], COLUMN(W$1)-COLUMN($A$1), FALSE), VLOOKUP($A408,raw_ub[],COLUMN(W$1)-COLUMN($A$1),FALSE))</f>
        <v>13.72438335003255</v>
      </c>
      <c r="W408" s="70">
        <f>IF(VLOOKUP($A408,raw_ub[],COLUMN(X$1)-COLUMN($A$1),FALSE)=0, VLOOKUP($D408, regions_ub[], COLUMN(X$1)-COLUMN($A$1), FALSE), VLOOKUP($A408,raw_ub[],COLUMN(X$1)-COLUMN($A$1),FALSE))</f>
        <v>14.38588335003255</v>
      </c>
      <c r="X408" s="70">
        <f>IF(VLOOKUP($A408,raw_ub[],COLUMN(Y$1)-COLUMN($A$1),FALSE)=0, VLOOKUP($D408, regions_ub[], COLUMN(Y$1)-COLUMN($A$1), FALSE), VLOOKUP($A408,raw_ub[],COLUMN(Y$1)-COLUMN($A$1),FALSE))</f>
        <v>13.693482193121406</v>
      </c>
      <c r="Y408" s="70">
        <f>IF(VLOOKUP($A408,raw_ub[],COLUMN(Z$1)-COLUMN($A$1),FALSE)=0, VLOOKUP($D408, regions_ub[], COLUMN(Z$1)-COLUMN($A$1), FALSE), VLOOKUP($A408,raw_ub[],COLUMN(Z$1)-COLUMN($A$1),FALSE))</f>
        <v>14.354982193121407</v>
      </c>
      <c r="Z408" s="70">
        <f>IF(VLOOKUP($A408,raw_ub[],COLUMN(AA$1)-COLUMN($A$1),FALSE)=0, VLOOKUP($D408, regions_ub[], COLUMN(AA$1)-COLUMN($A$1), FALSE), VLOOKUP($A408,raw_ub[],COLUMN(AA$1)-COLUMN($A$1),FALSE))</f>
        <v>14.338209920742882</v>
      </c>
      <c r="AA408" s="70">
        <f>IF(VLOOKUP($A408,raw_ub[],COLUMN(AB$1)-COLUMN($A$1),FALSE)=0, VLOOKUP($D408, regions_ub[], COLUMN(AB$1)-COLUMN($A$1), FALSE), VLOOKUP($A408,raw_ub[],COLUMN(AB$1)-COLUMN($A$1),FALSE))</f>
        <v>13.731514386242813</v>
      </c>
      <c r="AB408" s="70">
        <f>IF(VLOOKUP($A408,raw_ub[],COLUMN(AC$1)-COLUMN($A$1),FALSE)=0, VLOOKUP($D408, regions_ub[], COLUMN(AC$1)-COLUMN($A$1), FALSE), VLOOKUP($A408,raw_ub[],COLUMN(AC$1)-COLUMN($A$1),FALSE))</f>
        <v>14.393014386242813</v>
      </c>
      <c r="AC408" s="72">
        <f>IF(VLOOKUP($A408,raw_ub[],COLUMN(AD$1)-COLUMN($A$1),FALSE)=0, VLOOKUP($D408, regions_ub[], COLUMN(AD$1)-COLUMN($A$1), FALSE), VLOOKUP($A408,raw_ub[],COLUMN(AD$1)-COLUMN($A$1),FALSE))</f>
        <v>2.3483879999999974E-2</v>
      </c>
      <c r="AD408" s="72">
        <f>IF(VLOOKUP($A408,raw_ub[],COLUMN(AE$1)-COLUMN($A$1),FALSE)=0, VLOOKUP($D408, regions_ub[], COLUMN(AE$1)-COLUMN($A$1), FALSE), VLOOKUP($A408,raw_ub[],COLUMN(AE$1)-COLUMN($A$1),FALSE))</f>
        <v>1.1475888890571087E-3</v>
      </c>
      <c r="AE408" s="72">
        <f>IF(VLOOKUP($A408,raw_ub[],COLUMN(AF$1)-COLUMN($A$1),FALSE)=0, VLOOKUP($D408, regions_ub[], COLUMN(AF$1)-COLUMN($A$1), FALSE), VLOOKUP($A408,raw_ub[],COLUMN(AF$1)-COLUMN($A$1),FALSE))</f>
        <v>4.4849142775387147E-4</v>
      </c>
      <c r="AF408" s="72">
        <f>IF(VLOOKUP($A408,raw_ub[],COLUMN(AG$1)-COLUMN($A$1),FALSE)=0, VLOOKUP($D408, regions_ub[], COLUMN(AG$1)-COLUMN($A$1), FALSE), VLOOKUP($A408,raw_ub[],COLUMN(AG$1)-COLUMN($A$1),FALSE))</f>
        <v>3.8132596001019055E-4</v>
      </c>
      <c r="AG408" s="72">
        <f>IF(VLOOKUP($A408,raw_ub[],COLUMN(AH$1)-COLUMN($A$1),FALSE)=0, VLOOKUP($D408, regions_ub[], COLUMN(AH$1)-COLUMN($A$1), FALSE), VLOOKUP($A408,raw_ub[],COLUMN(AH$1)-COLUMN($A$1),FALSE))</f>
        <v>7.6671433227939664E-4</v>
      </c>
      <c r="AH408" s="72">
        <f>IF(VLOOKUP($A408,raw_ub[],COLUMN(AI$1)-COLUMN($A$1),FALSE)=0, VLOOKUP($D408, regions_ub[], COLUMN(AI$1)-COLUMN($A$1), FALSE), VLOOKUP($A408,raw_ub[],COLUMN(AI$1)-COLUMN($A$1),FALSE))</f>
        <v>9.4943228584833551E-4</v>
      </c>
      <c r="AI408" s="72">
        <f>IF(VLOOKUP($A408,raw_ub[],COLUMN(AJ$1)-COLUMN($A$1),FALSE)=0, VLOOKUP($D408, regions_ub[], COLUMN(AJ$1)-COLUMN($A$1), FALSE), VLOOKUP($A408,raw_ub[],COLUMN(AJ$1)-COLUMN($A$1),FALSE))</f>
        <v>9.7632293942751663E-4</v>
      </c>
      <c r="AJ408" s="72">
        <f>IF(VLOOKUP($A408,raw_ub[],COLUMN(AK$1)-COLUMN($A$1),FALSE)=0, VLOOKUP($D408, regions_ub[], COLUMN(AK$1)-COLUMN($A$1), FALSE), VLOOKUP($A408,raw_ub[],COLUMN(AK$1)-COLUMN($A$1),FALSE))</f>
        <v>1.1836406543726545E-3</v>
      </c>
      <c r="AK408" s="72">
        <f>IF(VLOOKUP($A408,raw_ub[],COLUMN(AL$1)-COLUMN($A$1),FALSE)=0, VLOOKUP($D408, regions_ub[], COLUMN(AL$1)-COLUMN($A$1), FALSE), VLOOKUP($A408,raw_ub[],COLUMN(AL$1)-COLUMN($A$1),FALSE))</f>
        <v>1.6503023292688793E-3</v>
      </c>
      <c r="AL408" s="72">
        <f>IF(VLOOKUP($A408,raw_ub[],COLUMN(AM$1)-COLUMN($A$1),FALSE)=0, VLOOKUP($D408, regions_ub[], COLUMN(AM$1)-COLUMN($A$1), FALSE), VLOOKUP($A408,raw_ub[],COLUMN(AM$1)-COLUMN($A$1),FALSE))</f>
        <v>2.4687040006499948E-3</v>
      </c>
      <c r="AM408" s="72">
        <f>IF(VLOOKUP($A408,raw_ub[],COLUMN(AN$1)-COLUMN($A$1),FALSE)=0, VLOOKUP($D408, regions_ub[], COLUMN(AN$1)-COLUMN($A$1), FALSE), VLOOKUP($A408,raw_ub[],COLUMN(AN$1)-COLUMN($A$1),FALSE))</f>
        <v>3.9574648021714317E-3</v>
      </c>
      <c r="AN408" s="72">
        <f>IF(VLOOKUP($A408,raw_ub[],COLUMN(AO$1)-COLUMN($A$1),FALSE)=0, VLOOKUP($D408, regions_ub[], COLUMN(AO$1)-COLUMN($A$1), FALSE), VLOOKUP($A408,raw_ub[],COLUMN(AO$1)-COLUMN($A$1),FALSE))</f>
        <v>6.3713459430822838E-3</v>
      </c>
      <c r="AO408" s="72">
        <f>IF(VLOOKUP($A408,raw_ub[],COLUMN(AP$1)-COLUMN($A$1),FALSE)=0, VLOOKUP($D408, regions_ub[], COLUMN(AP$1)-COLUMN($A$1), FALSE), VLOOKUP($A408,raw_ub[],COLUMN(AP$1)-COLUMN($A$1),FALSE))</f>
        <v>1.0276826410823012E-2</v>
      </c>
      <c r="AP408" s="72">
        <f>IF(VLOOKUP($A408,raw_ub[],COLUMN(AQ$1)-COLUMN($A$1),FALSE)=0, VLOOKUP($D408, regions_ub[], COLUMN(AQ$1)-COLUMN($A$1), FALSE), VLOOKUP($A408,raw_ub[],COLUMN(AQ$1)-COLUMN($A$1),FALSE))</f>
        <v>1.9164326645533449E-2</v>
      </c>
      <c r="AQ408" s="72">
        <f>IF(VLOOKUP($A408,raw_ub[],COLUMN(AR$1)-COLUMN($A$1),FALSE)=0, VLOOKUP($D408, regions_ub[], COLUMN(AR$1)-COLUMN($A$1), FALSE), VLOOKUP($A408,raw_ub[],COLUMN(AR$1)-COLUMN($A$1),FALSE))</f>
        <v>3.4979579308843642E-2</v>
      </c>
      <c r="AR408" s="72">
        <f>IF(VLOOKUP($A408,raw_ub[],COLUMN(AS$1)-COLUMN($A$1),FALSE)=0, VLOOKUP($D408, regions_ub[], COLUMN(AS$1)-COLUMN($A$1), FALSE), VLOOKUP($A408,raw_ub[],COLUMN(AS$1)-COLUMN($A$1),FALSE))</f>
        <v>5.773178336416486E-2</v>
      </c>
      <c r="AS408" s="72">
        <f>IF(VLOOKUP($A408,raw_ub[],COLUMN(AT$1)-COLUMN($A$1),FALSE)=0, VLOOKUP($D408, regions_ub[], COLUMN(AT$1)-COLUMN($A$1), FALSE), VLOOKUP($A408,raw_ub[],COLUMN(AT$1)-COLUMN($A$1),FALSE))</f>
        <v>8.7350338836502478E-2</v>
      </c>
      <c r="AT408" s="82">
        <f>IF(VLOOKUP($A408,raw_ub[],COLUMN(AT$1),FALSE)=0, VLOOKUP($D408, regions_ub[], COLUMN(AT$1), FALSE), VLOOKUP($A408,raw_ub[],COLUMN(AT$1),FALSE))</f>
        <v>0.12286219455095447</v>
      </c>
      <c r="AU408" s="82">
        <f>IF(VLOOKUP($A408,raw_ub[],COLUMN(AU$1),FALSE)=0, VLOOKUP($D408, regions_ub[], COLUMN(AU$1), FALSE), VLOOKUP($A408,raw_ub[],COLUMN(AU$1),FALSE))</f>
        <v>0.1590518823819938</v>
      </c>
      <c r="AV408" s="82">
        <f>IF(VLOOKUP($A408,raw_ub[],COLUMN(AV$1),FALSE)=0, VLOOKUP($D408, regions_ub[], COLUMN(AV$1), FALSE), VLOOKUP($A408,raw_ub[],COLUMN(AV$1),FALSE))</f>
        <v>0.18473558970313991</v>
      </c>
      <c r="AW408" s="82">
        <f>IF(VLOOKUP($A408,raw_ub[],COLUMN(AW$1),FALSE)=0, VLOOKUP($D408, regions_ub[], COLUMN(AW$1), FALSE), VLOOKUP($A408,raw_ub[],COLUMN(AW$1),FALSE))</f>
        <v>0.19741181600978669</v>
      </c>
      <c r="AX408" s="82">
        <f>IF(VLOOKUP($A408,raw_ub[],COLUMN(AX$1),FALSE)=0, VLOOKUP($D408, regions_ub[], COLUMN(AX$1), FALSE), VLOOKUP($A408,raw_ub[],COLUMN(AX$1),FALSE))</f>
        <v>73.759349999999998</v>
      </c>
      <c r="AY408" t="str">
        <f t="shared" si="14"/>
        <v>No</v>
      </c>
    </row>
    <row r="409" spans="1:51" x14ac:dyDescent="0.25">
      <c r="A409" s="55" t="s">
        <v>486</v>
      </c>
      <c r="B409" s="56" t="s">
        <v>487</v>
      </c>
      <c r="C409" s="56">
        <v>862</v>
      </c>
      <c r="D409" s="56" t="s">
        <v>215</v>
      </c>
      <c r="E409" s="56" t="s">
        <v>274</v>
      </c>
      <c r="F409" s="56" t="s">
        <v>217</v>
      </c>
      <c r="G409" s="56" t="s">
        <v>204</v>
      </c>
      <c r="H409" s="74"/>
      <c r="I409" s="74"/>
      <c r="J409" s="67">
        <f>IF(VLOOKUP($A409,raw_ub[],COLUMN(J$1),FALSE)=0, VLOOKUP($D409, regions_ub[], COLUMN(J$1), FALSE), VLOOKUP($A409,raw_ub[],COLUMN(J$1),FALSE))</f>
        <v>0.999</v>
      </c>
      <c r="K409" s="77">
        <f>VLOOKUP($A409, raw_ub[], 11, FALSE)</f>
        <v>0.52500000000000002</v>
      </c>
      <c r="L409" s="77">
        <f>VLOOKUP($A409, raw_ub[], 12, FALSE)</f>
        <v>0.56700000000000006</v>
      </c>
      <c r="M409" s="77">
        <f>IF(VLOOKUP($A409,raw_ub[],COLUMN(M$1),FALSE)=0, VLOOKUP($D409, regions_ub[], COLUMN(M$1), FALSE), VLOOKUP($A409,raw_ub[],COLUMN(M$1),FALSE))</f>
        <v>2.1000000000000001E-2</v>
      </c>
      <c r="N409" s="68">
        <f>IF(VLOOKUP($A409,raw_ub[],COLUMN(N$1),FALSE)=0, VLOOKUP($D409, regions_ub[], COLUMN(N$1), FALSE), VLOOKUP($A409,raw_ub[],COLUMN(N$1),FALSE))</f>
        <v>0.42950000000000005</v>
      </c>
      <c r="O409" s="67">
        <f>IF(VLOOKUP($A409,raw_ub[],COLUMN(O$1),FALSE)=0, VLOOKUP($D409, regions_ub[], COLUMN(O$1), FALSE), VLOOKUP($A409,raw_ub[],COLUMN(O$1),FALSE))</f>
        <v>0.9</v>
      </c>
      <c r="P409" s="68">
        <f>IF(VLOOKUP($A409,raw_ub[],COLUMN(P$1),FALSE)=0, VLOOKUP($D409, regions_ub[], COLUMN(P$1), FALSE), VLOOKUP($A409,raw_ub[],COLUMN(P$1),FALSE))</f>
        <v>0.3</v>
      </c>
      <c r="Q409" s="70">
        <f>IF(VLOOKUP($A409,raw_ub[],COLUMN(Q$1),FALSE)=0, VLOOKUP($D409, regions_ub[], COLUMN(Q$1), FALSE), VLOOKUP($A409,raw_ub[],COLUMN(Q$1),FALSE))</f>
        <v>47.304986421128497</v>
      </c>
      <c r="R409" s="70">
        <f>IF(VLOOKUP($A409,raw_ub[],COLUMN(R$1),FALSE)=0, VLOOKUP($D409, regions_ub[], COLUMN(R$1), FALSE), VLOOKUP($A409,raw_ub[],COLUMN(R$1),FALSE))</f>
        <v>156.29078642112853</v>
      </c>
      <c r="S409" s="70">
        <f>IF(VLOOKUP($A409,raw_ub[],COLUMN(S$1),FALSE)=0, VLOOKUP($D409, regions_ub[], COLUMN(S$1), FALSE), VLOOKUP($A409,raw_ub[],COLUMN(S$1),FALSE))</f>
        <v>286.20280332709092</v>
      </c>
      <c r="T409" s="70">
        <f>IF(VLOOKUP($A409,raw_ub[],COLUMN(U$1)-COLUMN($A$1),FALSE)=0, VLOOKUP($D409, regions_ub[], COLUMN(U$1)-COLUMN($A$1), FALSE), VLOOKUP($A409,raw_ub[],COLUMN(U$1)-COLUMN($A$1),FALSE))</f>
        <v>338.60947882511243</v>
      </c>
      <c r="U409" s="70">
        <f>IF(VLOOKUP($A409,raw_ub[],COLUMN(V$1)-COLUMN($A$1),FALSE)=0, VLOOKUP($D409, regions_ub[], COLUMN(V$1)-COLUMN($A$1), FALSE), VLOOKUP($A409,raw_ub[],COLUMN(V$1)-COLUMN($A$1),FALSE))</f>
        <v>314.54544117242062</v>
      </c>
      <c r="V409" s="70">
        <f>IF(VLOOKUP($A409,raw_ub[],COLUMN(W$1)-COLUMN($A$1),FALSE)=0, VLOOKUP($D409, regions_ub[], COLUMN(W$1)-COLUMN($A$1), FALSE), VLOOKUP($A409,raw_ub[],COLUMN(W$1)-COLUMN($A$1),FALSE))</f>
        <v>7.2771730722948718</v>
      </c>
      <c r="W409" s="70">
        <f>IF(VLOOKUP($A409,raw_ub[],COLUMN(X$1)-COLUMN($A$1),FALSE)=0, VLOOKUP($D409, regions_ub[], COLUMN(X$1)-COLUMN($A$1), FALSE), VLOOKUP($A409,raw_ub[],COLUMN(X$1)-COLUMN($A$1),FALSE))</f>
        <v>7.2981730722948717</v>
      </c>
      <c r="X409" s="70">
        <f>IF(VLOOKUP($A409,raw_ub[],COLUMN(Y$1)-COLUMN($A$1),FALSE)=0, VLOOKUP($D409, regions_ub[], COLUMN(Y$1)-COLUMN($A$1), FALSE), VLOOKUP($A409,raw_ub[],COLUMN(Y$1)-COLUMN($A$1),FALSE))</f>
        <v>7.1750248674730326</v>
      </c>
      <c r="Y409" s="70">
        <f>IF(VLOOKUP($A409,raw_ub[],COLUMN(Z$1)-COLUMN($A$1),FALSE)=0, VLOOKUP($D409, regions_ub[], COLUMN(Z$1)-COLUMN($A$1), FALSE), VLOOKUP($A409,raw_ub[],COLUMN(Z$1)-COLUMN($A$1),FALSE))</f>
        <v>7.1960248674730325</v>
      </c>
      <c r="Z409" s="70">
        <f>IF(VLOOKUP($A409,raw_ub[],COLUMN(AA$1)-COLUMN($A$1),FALSE)=0, VLOOKUP($D409, regions_ub[], COLUMN(AA$1)-COLUMN($A$1), FALSE), VLOOKUP($A409,raw_ub[],COLUMN(AA$1)-COLUMN($A$1),FALSE))</f>
        <v>7.1347247991129539</v>
      </c>
      <c r="AA409" s="70">
        <f>IF(VLOOKUP($A409,raw_ub[],COLUMN(AB$1)-COLUMN($A$1),FALSE)=0, VLOOKUP($D409, regions_ub[], COLUMN(AB$1)-COLUMN($A$1), FALSE), VLOOKUP($A409,raw_ub[],COLUMN(AB$1)-COLUMN($A$1),FALSE))</f>
        <v>7.3007457349460658</v>
      </c>
      <c r="AB409" s="70">
        <f>IF(VLOOKUP($A409,raw_ub[],COLUMN(AC$1)-COLUMN($A$1),FALSE)=0, VLOOKUP($D409, regions_ub[], COLUMN(AC$1)-COLUMN($A$1), FALSE), VLOOKUP($A409,raw_ub[],COLUMN(AC$1)-COLUMN($A$1),FALSE))</f>
        <v>7.3217457349460657</v>
      </c>
      <c r="AC409" s="72">
        <f>IF(VLOOKUP($A409,raw_ub[],COLUMN(AD$1)-COLUMN($A$1),FALSE)=0, VLOOKUP($D409, regions_ub[], COLUMN(AD$1)-COLUMN($A$1), FALSE), VLOOKUP($A409,raw_ub[],COLUMN(AD$1)-COLUMN($A$1),FALSE))</f>
        <v>2.6984989499999959E-2</v>
      </c>
      <c r="AD409" s="72">
        <f>IF(VLOOKUP($A409,raw_ub[],COLUMN(AE$1)-COLUMN($A$1),FALSE)=0, VLOOKUP($D409, regions_ub[], COLUMN(AE$1)-COLUMN($A$1), FALSE), VLOOKUP($A409,raw_ub[],COLUMN(AE$1)-COLUMN($A$1),FALSE))</f>
        <v>1.3883213446749358E-3</v>
      </c>
      <c r="AE409" s="72">
        <f>IF(VLOOKUP($A409,raw_ub[],COLUMN(AF$1)-COLUMN($A$1),FALSE)=0, VLOOKUP($D409, regions_ub[], COLUMN(AF$1)-COLUMN($A$1), FALSE), VLOOKUP($A409,raw_ub[],COLUMN(AF$1)-COLUMN($A$1),FALSE))</f>
        <v>2.5277215659804547E-4</v>
      </c>
      <c r="AF409" s="72">
        <f>IF(VLOOKUP($A409,raw_ub[],COLUMN(AG$1)-COLUMN($A$1),FALSE)=0, VLOOKUP($D409, regions_ub[], COLUMN(AG$1)-COLUMN($A$1), FALSE), VLOOKUP($A409,raw_ub[],COLUMN(AG$1)-COLUMN($A$1),FALSE))</f>
        <v>3.6449616678762257E-4</v>
      </c>
      <c r="AG409" s="72">
        <f>IF(VLOOKUP($A409,raw_ub[],COLUMN(AH$1)-COLUMN($A$1),FALSE)=0, VLOOKUP($D409, regions_ub[], COLUMN(AH$1)-COLUMN($A$1), FALSE), VLOOKUP($A409,raw_ub[],COLUMN(AH$1)-COLUMN($A$1),FALSE))</f>
        <v>1.4893889677768432E-3</v>
      </c>
      <c r="AH409" s="72">
        <f>IF(VLOOKUP($A409,raw_ub[],COLUMN(AI$1)-COLUMN($A$1),FALSE)=0, VLOOKUP($D409, regions_ub[], COLUMN(AI$1)-COLUMN($A$1), FALSE), VLOOKUP($A409,raw_ub[],COLUMN(AI$1)-COLUMN($A$1),FALSE))</f>
        <v>2.3134936536522532E-3</v>
      </c>
      <c r="AI409" s="72">
        <f>IF(VLOOKUP($A409,raw_ub[],COLUMN(AJ$1)-COLUMN($A$1),FALSE)=0, VLOOKUP($D409, regions_ub[], COLUMN(AJ$1)-COLUMN($A$1), FALSE), VLOOKUP($A409,raw_ub[],COLUMN(AJ$1)-COLUMN($A$1),FALSE))</f>
        <v>2.2736846578139511E-3</v>
      </c>
      <c r="AJ409" s="72">
        <f>IF(VLOOKUP($A409,raw_ub[],COLUMN(AK$1)-COLUMN($A$1),FALSE)=0, VLOOKUP($D409, regions_ub[], COLUMN(AK$1)-COLUMN($A$1), FALSE), VLOOKUP($A409,raw_ub[],COLUMN(AK$1)-COLUMN($A$1),FALSE))</f>
        <v>2.2349944572452023E-3</v>
      </c>
      <c r="AK409" s="72">
        <f>IF(VLOOKUP($A409,raw_ub[],COLUMN(AL$1)-COLUMN($A$1),FALSE)=0, VLOOKUP($D409, regions_ub[], COLUMN(AL$1)-COLUMN($A$1), FALSE), VLOOKUP($A409,raw_ub[],COLUMN(AL$1)-COLUMN($A$1),FALSE))</f>
        <v>2.2015242130621181E-3</v>
      </c>
      <c r="AL409" s="72">
        <f>IF(VLOOKUP($A409,raw_ub[],COLUMN(AM$1)-COLUMN($A$1),FALSE)=0, VLOOKUP($D409, regions_ub[], COLUMN(AM$1)-COLUMN($A$1), FALSE), VLOOKUP($A409,raw_ub[],COLUMN(AM$1)-COLUMN($A$1),FALSE))</f>
        <v>2.7814923091249743E-3</v>
      </c>
      <c r="AM409" s="72">
        <f>IF(VLOOKUP($A409,raw_ub[],COLUMN(AN$1)-COLUMN($A$1),FALSE)=0, VLOOKUP($D409, regions_ub[], COLUMN(AN$1)-COLUMN($A$1), FALSE), VLOOKUP($A409,raw_ub[],COLUMN(AN$1)-COLUMN($A$1),FALSE))</f>
        <v>4.139106126120254E-3</v>
      </c>
      <c r="AN409" s="72">
        <f>IF(VLOOKUP($A409,raw_ub[],COLUMN(AO$1)-COLUMN($A$1),FALSE)=0, VLOOKUP($D409, regions_ub[], COLUMN(AO$1)-COLUMN($A$1), FALSE), VLOOKUP($A409,raw_ub[],COLUMN(AO$1)-COLUMN($A$1),FALSE))</f>
        <v>6.6394174321236926E-3</v>
      </c>
      <c r="AO409" s="72">
        <f>IF(VLOOKUP($A409,raw_ub[],COLUMN(AP$1)-COLUMN($A$1),FALSE)=0, VLOOKUP($D409, regions_ub[], COLUMN(AP$1)-COLUMN($A$1), FALSE), VLOOKUP($A409,raw_ub[],COLUMN(AP$1)-COLUMN($A$1),FALSE))</f>
        <v>1.0052942165228285E-2</v>
      </c>
      <c r="AP409" s="72">
        <f>IF(VLOOKUP($A409,raw_ub[],COLUMN(AQ$1)-COLUMN($A$1),FALSE)=0, VLOOKUP($D409, regions_ub[], COLUMN(AQ$1)-COLUMN($A$1), FALSE), VLOOKUP($A409,raw_ub[],COLUMN(AQ$1)-COLUMN($A$1),FALSE))</f>
        <v>1.5652901168800082E-2</v>
      </c>
      <c r="AQ409" s="72">
        <f>IF(VLOOKUP($A409,raw_ub[],COLUMN(AR$1)-COLUMN($A$1),FALSE)=0, VLOOKUP($D409, regions_ub[], COLUMN(AR$1)-COLUMN($A$1), FALSE), VLOOKUP($A409,raw_ub[],COLUMN(AR$1)-COLUMN($A$1),FALSE))</f>
        <v>2.5841211753761834E-2</v>
      </c>
      <c r="AR409" s="72">
        <f>IF(VLOOKUP($A409,raw_ub[],COLUMN(AS$1)-COLUMN($A$1),FALSE)=0, VLOOKUP($D409, regions_ub[], COLUMN(AS$1)-COLUMN($A$1), FALSE), VLOOKUP($A409,raw_ub[],COLUMN(AS$1)-COLUMN($A$1),FALSE))</f>
        <v>3.8230438413946848E-2</v>
      </c>
      <c r="AS409" s="72">
        <f>IF(VLOOKUP($A409,raw_ub[],COLUMN(AT$1)-COLUMN($A$1),FALSE)=0, VLOOKUP($D409, regions_ub[], COLUMN(AT$1)-COLUMN($A$1), FALSE), VLOOKUP($A409,raw_ub[],COLUMN(AT$1)-COLUMN($A$1),FALSE))</f>
        <v>5.482934204375603E-2</v>
      </c>
      <c r="AT409" s="82">
        <f>IF(VLOOKUP($A409,raw_ub[],COLUMN(AT$1),FALSE)=0, VLOOKUP($D409, regions_ub[], COLUMN(AT$1), FALSE), VLOOKUP($A409,raw_ub[],COLUMN(AT$1),FALSE))</f>
        <v>6.9253792457248289E-2</v>
      </c>
      <c r="AU409" s="82">
        <f>IF(VLOOKUP($A409,raw_ub[],COLUMN(AU$1),FALSE)=0, VLOOKUP($D409, regions_ub[], COLUMN(AU$1), FALSE), VLOOKUP($A409,raw_ub[],COLUMN(AU$1),FALSE))</f>
        <v>9.7030815266185511E-2</v>
      </c>
      <c r="AV409" s="82">
        <f>IF(VLOOKUP($A409,raw_ub[],COLUMN(AV$1),FALSE)=0, VLOOKUP($D409, regions_ub[], COLUMN(AV$1), FALSE), VLOOKUP($A409,raw_ub[],COLUMN(AV$1),FALSE))</f>
        <v>0.11907144081338644</v>
      </c>
      <c r="AW409" s="82">
        <f>IF(VLOOKUP($A409,raw_ub[],COLUMN(AW$1),FALSE)=0, VLOOKUP($D409, regions_ub[], COLUMN(AW$1), FALSE), VLOOKUP($A409,raw_ub[],COLUMN(AW$1),FALSE))</f>
        <v>0.15244534008934382</v>
      </c>
      <c r="AX409" s="82">
        <f>IF(VLOOKUP($A409,raw_ub[],COLUMN(AX$1),FALSE)=0, VLOOKUP($D409, regions_ub[], COLUMN(AX$1), FALSE), VLOOKUP($A409,raw_ub[],COLUMN(AX$1),FALSE))</f>
        <v>75.732300000000009</v>
      </c>
      <c r="AY409" t="str">
        <f t="shared" si="14"/>
        <v>No</v>
      </c>
    </row>
    <row r="410" spans="1:51" x14ac:dyDescent="0.25">
      <c r="A410" s="53" t="s">
        <v>488</v>
      </c>
      <c r="B410" s="54" t="s">
        <v>489</v>
      </c>
      <c r="C410" s="54">
        <v>704</v>
      </c>
      <c r="D410" s="54" t="s">
        <v>260</v>
      </c>
      <c r="E410" s="54" t="s">
        <v>261</v>
      </c>
      <c r="F410" s="54" t="s">
        <v>262</v>
      </c>
      <c r="G410" s="54" t="s">
        <v>212</v>
      </c>
      <c r="H410" s="73"/>
      <c r="I410" s="73"/>
      <c r="J410" s="67">
        <f>IF(VLOOKUP($A410,raw_ub[],COLUMN(J$1),FALSE)=0, VLOOKUP($D410, regions_ub[], COLUMN(J$1), FALSE), VLOOKUP($A410,raw_ub[],COLUMN(J$1),FALSE))</f>
        <v>0.98280000000000001</v>
      </c>
      <c r="K410" s="77">
        <f>VLOOKUP($A410, raw_ub[], 11, FALSE)</f>
        <v>0.86099999999999999</v>
      </c>
      <c r="L410" s="77">
        <f>VLOOKUP($A410, raw_ub[], 12, FALSE)</f>
        <v>0.98699999999999999</v>
      </c>
      <c r="M410" s="77">
        <f>IF(VLOOKUP($A410,raw_ub[],COLUMN(M$1),FALSE)=0, VLOOKUP($D410, regions_ub[], COLUMN(M$1), FALSE), VLOOKUP($A410,raw_ub[],COLUMN(M$1),FALSE))</f>
        <v>0.10880000000000001</v>
      </c>
      <c r="N410" s="68">
        <f>IF(VLOOKUP($A410,raw_ub[],COLUMN(N$1),FALSE)=0, VLOOKUP($D410, regions_ub[], COLUMN(N$1), FALSE), VLOOKUP($A410,raw_ub[],COLUMN(N$1),FALSE))</f>
        <v>0.47729999999999995</v>
      </c>
      <c r="O410" s="67">
        <f>IF(VLOOKUP($A410,raw_ub[],COLUMN(O$1),FALSE)=0, VLOOKUP($D410, regions_ub[], COLUMN(O$1), FALSE), VLOOKUP($A410,raw_ub[],COLUMN(O$1),FALSE))</f>
        <v>0.9</v>
      </c>
      <c r="P410" s="68">
        <f>IF(VLOOKUP($A410,raw_ub[],COLUMN(P$1),FALSE)=0, VLOOKUP($D410, regions_ub[], COLUMN(P$1), FALSE), VLOOKUP($A410,raw_ub[],COLUMN(P$1),FALSE))</f>
        <v>0.3</v>
      </c>
      <c r="Q410" s="70">
        <f>IF(VLOOKUP($A410,raw_ub[],COLUMN(Q$1),FALSE)=0, VLOOKUP($D410, regions_ub[], COLUMN(Q$1), FALSE), VLOOKUP($A410,raw_ub[],COLUMN(Q$1),FALSE))</f>
        <v>8.8856120752226992</v>
      </c>
      <c r="R410" s="70">
        <f>IF(VLOOKUP($A410,raw_ub[],COLUMN(R$1),FALSE)=0, VLOOKUP($D410, regions_ub[], COLUMN(R$1), FALSE), VLOOKUP($A410,raw_ub[],COLUMN(R$1),FALSE))</f>
        <v>117.87141207522271</v>
      </c>
      <c r="S410" s="70">
        <f>IF(VLOOKUP($A410,raw_ub[],COLUMN(S$1),FALSE)=0, VLOOKUP($D410, regions_ub[], COLUMN(S$1), FALSE), VLOOKUP($A410,raw_ub[],COLUMN(S$1),FALSE))</f>
        <v>153.8155299874922</v>
      </c>
      <c r="T410" s="70">
        <f>IF(VLOOKUP($A410,raw_ub[],COLUMN(U$1)-COLUMN($A$1),FALSE)=0, VLOOKUP($D410, regions_ub[], COLUMN(U$1)-COLUMN($A$1), FALSE), VLOOKUP($A410,raw_ub[],COLUMN(U$1)-COLUMN($A$1),FALSE))</f>
        <v>157.3151983451917</v>
      </c>
      <c r="U410" s="70">
        <f>IF(VLOOKUP($A410,raw_ub[],COLUMN(V$1)-COLUMN($A$1),FALSE)=0, VLOOKUP($D410, regions_ub[], COLUMN(V$1)-COLUMN($A$1), FALSE), VLOOKUP($A410,raw_ub[],COLUMN(V$1)-COLUMN($A$1),FALSE))</f>
        <v>155.70822460890128</v>
      </c>
      <c r="V410" s="70">
        <f>IF(VLOOKUP($A410,raw_ub[],COLUMN(W$1)-COLUMN($A$1),FALSE)=0, VLOOKUP($D410, regions_ub[], COLUMN(W$1)-COLUMN($A$1), FALSE), VLOOKUP($A410,raw_ub[],COLUMN(W$1)-COLUMN($A$1),FALSE))</f>
        <v>3.2860304756129244</v>
      </c>
      <c r="W410" s="70">
        <f>IF(VLOOKUP($A410,raw_ub[],COLUMN(X$1)-COLUMN($A$1),FALSE)=0, VLOOKUP($D410, regions_ub[], COLUMN(X$1)-COLUMN($A$1), FALSE), VLOOKUP($A410,raw_ub[],COLUMN(X$1)-COLUMN($A$1),FALSE))</f>
        <v>3.9475304756129246</v>
      </c>
      <c r="X410" s="70">
        <f>IF(VLOOKUP($A410,raw_ub[],COLUMN(Y$1)-COLUMN($A$1),FALSE)=0, VLOOKUP($D410, regions_ub[], COLUMN(Y$1)-COLUMN($A$1), FALSE), VLOOKUP($A410,raw_ub[],COLUMN(Y$1)-COLUMN($A$1),FALSE))</f>
        <v>3.2544008141312686</v>
      </c>
      <c r="Y410" s="70">
        <f>IF(VLOOKUP($A410,raw_ub[],COLUMN(Z$1)-COLUMN($A$1),FALSE)=0, VLOOKUP($D410, regions_ub[], COLUMN(Z$1)-COLUMN($A$1), FALSE), VLOOKUP($A410,raw_ub[],COLUMN(Z$1)-COLUMN($A$1),FALSE))</f>
        <v>3.9159008141312688</v>
      </c>
      <c r="Z410" s="70">
        <f>IF(VLOOKUP($A410,raw_ub[],COLUMN(AA$1)-COLUMN($A$1),FALSE)=0, VLOOKUP($D410, regions_ub[], COLUMN(AA$1)-COLUMN($A$1), FALSE), VLOOKUP($A410,raw_ub[],COLUMN(AA$1)-COLUMN($A$1),FALSE))</f>
        <v>3.897606993784267</v>
      </c>
      <c r="AA410" s="70">
        <f>IF(VLOOKUP($A410,raw_ub[],COLUMN(AB$1)-COLUMN($A$1),FALSE)=0, VLOOKUP($D410, regions_ub[], COLUMN(AB$1)-COLUMN($A$1), FALSE), VLOOKUP($A410,raw_ub[],COLUMN(AB$1)-COLUMN($A$1),FALSE))</f>
        <v>3.2933296282625375</v>
      </c>
      <c r="AB410" s="70">
        <f>IF(VLOOKUP($A410,raw_ub[],COLUMN(AC$1)-COLUMN($A$1),FALSE)=0, VLOOKUP($D410, regions_ub[], COLUMN(AC$1)-COLUMN($A$1), FALSE), VLOOKUP($A410,raw_ub[],COLUMN(AC$1)-COLUMN($A$1),FALSE))</f>
        <v>3.9548296282625377</v>
      </c>
      <c r="AC410" s="72">
        <f>IF(VLOOKUP($A410,raw_ub[],COLUMN(AD$1)-COLUMN($A$1),FALSE)=0, VLOOKUP($D410, regions_ub[], COLUMN(AD$1)-COLUMN($A$1), FALSE), VLOOKUP($A410,raw_ub[],COLUMN(AD$1)-COLUMN($A$1),FALSE))</f>
        <v>1.7555989499999963E-2</v>
      </c>
      <c r="AD410" s="72">
        <f>IF(VLOOKUP($A410,raw_ub[],COLUMN(AE$1)-COLUMN($A$1),FALSE)=0, VLOOKUP($D410, regions_ub[], COLUMN(AE$1)-COLUMN($A$1), FALSE), VLOOKUP($A410,raw_ub[],COLUMN(AE$1)-COLUMN($A$1),FALSE))</f>
        <v>1.1277077625121204E-3</v>
      </c>
      <c r="AE410" s="72">
        <f>IF(VLOOKUP($A410,raw_ub[],COLUMN(AF$1)-COLUMN($A$1),FALSE)=0, VLOOKUP($D410, regions_ub[], COLUMN(AF$1)-COLUMN($A$1), FALSE), VLOOKUP($A410,raw_ub[],COLUMN(AF$1)-COLUMN($A$1),FALSE))</f>
        <v>5.4585304999110241E-4</v>
      </c>
      <c r="AF410" s="72">
        <f>IF(VLOOKUP($A410,raw_ub[],COLUMN(AG$1)-COLUMN($A$1),FALSE)=0, VLOOKUP($D410, regions_ub[], COLUMN(AG$1)-COLUMN($A$1), FALSE), VLOOKUP($A410,raw_ub[],COLUMN(AG$1)-COLUMN($A$1),FALSE))</f>
        <v>4.874698025659766E-4</v>
      </c>
      <c r="AG410" s="72">
        <f>IF(VLOOKUP($A410,raw_ub[],COLUMN(AH$1)-COLUMN($A$1),FALSE)=0, VLOOKUP($D410, regions_ub[], COLUMN(AH$1)-COLUMN($A$1), FALSE), VLOOKUP($A410,raw_ub[],COLUMN(AH$1)-COLUMN($A$1),FALSE))</f>
        <v>7.8444655646340124E-4</v>
      </c>
      <c r="AH410" s="72">
        <f>IF(VLOOKUP($A410,raw_ub[],COLUMN(AI$1)-COLUMN($A$1),FALSE)=0, VLOOKUP($D410, regions_ub[], COLUMN(AI$1)-COLUMN($A$1), FALSE), VLOOKUP($A410,raw_ub[],COLUMN(AI$1)-COLUMN($A$1),FALSE))</f>
        <v>1.1497257576290603E-3</v>
      </c>
      <c r="AI410" s="72">
        <f>IF(VLOOKUP($A410,raw_ub[],COLUMN(AJ$1)-COLUMN($A$1),FALSE)=0, VLOOKUP($D410, regions_ub[], COLUMN(AJ$1)-COLUMN($A$1), FALSE), VLOOKUP($A410,raw_ub[],COLUMN(AJ$1)-COLUMN($A$1),FALSE))</f>
        <v>1.4152865966354953E-3</v>
      </c>
      <c r="AJ410" s="72">
        <f>IF(VLOOKUP($A410,raw_ub[],COLUMN(AK$1)-COLUMN($A$1),FALSE)=0, VLOOKUP($D410, regions_ub[], COLUMN(AK$1)-COLUMN($A$1), FALSE), VLOOKUP($A410,raw_ub[],COLUMN(AK$1)-COLUMN($A$1),FALSE))</f>
        <v>1.6527697619942089E-3</v>
      </c>
      <c r="AK410" s="72">
        <f>IF(VLOOKUP($A410,raw_ub[],COLUMN(AL$1)-COLUMN($A$1),FALSE)=0, VLOOKUP($D410, regions_ub[], COLUMN(AL$1)-COLUMN($A$1), FALSE), VLOOKUP($A410,raw_ub[],COLUMN(AL$1)-COLUMN($A$1),FALSE))</f>
        <v>2.0442492352793079E-3</v>
      </c>
      <c r="AL410" s="72">
        <f>IF(VLOOKUP($A410,raw_ub[],COLUMN(AM$1)-COLUMN($A$1),FALSE)=0, VLOOKUP($D410, regions_ub[], COLUMN(AM$1)-COLUMN($A$1), FALSE), VLOOKUP($A410,raw_ub[],COLUMN(AM$1)-COLUMN($A$1),FALSE))</f>
        <v>2.8838862470943459E-3</v>
      </c>
      <c r="AM410" s="72">
        <f>IF(VLOOKUP($A410,raw_ub[],COLUMN(AN$1)-COLUMN($A$1),FALSE)=0, VLOOKUP($D410, regions_ub[], COLUMN(AN$1)-COLUMN($A$1), FALSE), VLOOKUP($A410,raw_ub[],COLUMN(AN$1)-COLUMN($A$1),FALSE))</f>
        <v>4.039019072107704E-3</v>
      </c>
      <c r="AN410" s="72">
        <f>IF(VLOOKUP($A410,raw_ub[],COLUMN(AO$1)-COLUMN($A$1),FALSE)=0, VLOOKUP($D410, regions_ub[], COLUMN(AO$1)-COLUMN($A$1), FALSE), VLOOKUP($A410,raw_ub[],COLUMN(AO$1)-COLUMN($A$1),FALSE))</f>
        <v>6.401463328232701E-3</v>
      </c>
      <c r="AO410" s="72">
        <f>IF(VLOOKUP($A410,raw_ub[],COLUMN(AP$1)-COLUMN($A$1),FALSE)=0, VLOOKUP($D410, regions_ub[], COLUMN(AP$1)-COLUMN($A$1), FALSE), VLOOKUP($A410,raw_ub[],COLUMN(AP$1)-COLUMN($A$1),FALSE))</f>
        <v>9.5479030414599396E-3</v>
      </c>
      <c r="AP410" s="72">
        <f>IF(VLOOKUP($A410,raw_ub[],COLUMN(AQ$1)-COLUMN($A$1),FALSE)=0, VLOOKUP($D410, regions_ub[], COLUMN(AQ$1)-COLUMN($A$1), FALSE), VLOOKUP($A410,raw_ub[],COLUMN(AQ$1)-COLUMN($A$1),FALSE))</f>
        <v>1.2988579382568506E-2</v>
      </c>
      <c r="AQ410" s="72">
        <f>IF(VLOOKUP($A410,raw_ub[],COLUMN(AR$1)-COLUMN($A$1),FALSE)=0, VLOOKUP($D410, regions_ub[], COLUMN(AR$1)-COLUMN($A$1), FALSE), VLOOKUP($A410,raw_ub[],COLUMN(AR$1)-COLUMN($A$1),FALSE))</f>
        <v>2.0649897284755848E-2</v>
      </c>
      <c r="AR410" s="72">
        <f>IF(VLOOKUP($A410,raw_ub[],COLUMN(AS$1)-COLUMN($A$1),FALSE)=0, VLOOKUP($D410, regions_ub[], COLUMN(AS$1)-COLUMN($A$1), FALSE), VLOOKUP($A410,raw_ub[],COLUMN(AS$1)-COLUMN($A$1),FALSE))</f>
        <v>3.0001753421643147E-2</v>
      </c>
      <c r="AS410" s="72">
        <f>IF(VLOOKUP($A410,raw_ub[],COLUMN(AT$1)-COLUMN($A$1),FALSE)=0, VLOOKUP($D410, regions_ub[], COLUMN(AT$1)-COLUMN($A$1), FALSE), VLOOKUP($A410,raw_ub[],COLUMN(AT$1)-COLUMN($A$1),FALSE))</f>
        <v>4.3426064325704075E-2</v>
      </c>
      <c r="AT410" s="82">
        <f>IF(VLOOKUP($A410,raw_ub[],COLUMN(AT$1),FALSE)=0, VLOOKUP($D410, regions_ub[], COLUMN(AT$1), FALSE), VLOOKUP($A410,raw_ub[],COLUMN(AT$1),FALSE))</f>
        <v>6.1747027140450224E-2</v>
      </c>
      <c r="AU410" s="82">
        <f>IF(VLOOKUP($A410,raw_ub[],COLUMN(AU$1),FALSE)=0, VLOOKUP($D410, regions_ub[], COLUMN(AU$1), FALSE), VLOOKUP($A410,raw_ub[],COLUMN(AU$1),FALSE))</f>
        <v>8.5324750023104093E-2</v>
      </c>
      <c r="AV410" s="82">
        <f>IF(VLOOKUP($A410,raw_ub[],COLUMN(AV$1),FALSE)=0, VLOOKUP($D410, regions_ub[], COLUMN(AV$1), FALSE), VLOOKUP($A410,raw_ub[],COLUMN(AV$1),FALSE))</f>
        <v>0.11290104873381888</v>
      </c>
      <c r="AW410" s="82">
        <f>IF(VLOOKUP($A410,raw_ub[],COLUMN(AW$1),FALSE)=0, VLOOKUP($D410, regions_ub[], COLUMN(AW$1), FALSE), VLOOKUP($A410,raw_ub[],COLUMN(AW$1),FALSE))</f>
        <v>0.14169286492612571</v>
      </c>
      <c r="AX410" s="82">
        <f>IF(VLOOKUP($A410,raw_ub[],COLUMN(AX$1),FALSE)=0, VLOOKUP($D410, regions_ub[], COLUMN(AX$1), FALSE), VLOOKUP($A410,raw_ub[],COLUMN(AX$1),FALSE))</f>
        <v>79.037700000000001</v>
      </c>
      <c r="AY410" t="str">
        <f t="shared" si="14"/>
        <v>No</v>
      </c>
    </row>
    <row r="411" spans="1:51" x14ac:dyDescent="0.25">
      <c r="A411" s="55" t="s">
        <v>490</v>
      </c>
      <c r="B411" s="56" t="s">
        <v>491</v>
      </c>
      <c r="C411" s="56">
        <v>887</v>
      </c>
      <c r="D411" s="56" t="s">
        <v>196</v>
      </c>
      <c r="E411" s="56" t="s">
        <v>197</v>
      </c>
      <c r="F411" s="56" t="s">
        <v>197</v>
      </c>
      <c r="G411" s="56" t="s">
        <v>198</v>
      </c>
      <c r="H411" s="74"/>
      <c r="I411" s="74"/>
      <c r="J411" s="67">
        <f>IF(VLOOKUP($A411,raw_ub[],COLUMN(J$1),FALSE)=0, VLOOKUP($D411, regions_ub[], COLUMN(J$1), FALSE), VLOOKUP($A411,raw_ub[],COLUMN(J$1),FALSE))</f>
        <v>0.31290000000000001</v>
      </c>
      <c r="K411" s="77">
        <f>VLOOKUP($A411, raw_ub[], 11, FALSE)</f>
        <v>0</v>
      </c>
      <c r="L411" s="77">
        <f>VLOOKUP($A411, raw_ub[], 12, FALSE)</f>
        <v>0.75600000000000001</v>
      </c>
      <c r="M411" s="77">
        <f>IF(VLOOKUP($A411,raw_ub[],COLUMN(M$1),FALSE)=0, VLOOKUP($D411, regions_ub[], COLUMN(M$1), FALSE), VLOOKUP($A411,raw_ub[],COLUMN(M$1),FALSE))</f>
        <v>5.96E-2</v>
      </c>
      <c r="N411" s="68">
        <f>IF(VLOOKUP($A411,raw_ub[],COLUMN(N$1),FALSE)=0, VLOOKUP($D411, regions_ub[], COLUMN(N$1), FALSE), VLOOKUP($A411,raw_ub[],COLUMN(N$1),FALSE))</f>
        <v>0.37619999999999998</v>
      </c>
      <c r="O411" s="67">
        <f>IF(VLOOKUP($A411,raw_ub[],COLUMN(O$1),FALSE)=0, VLOOKUP($D411, regions_ub[], COLUMN(O$1), FALSE), VLOOKUP($A411,raw_ub[],COLUMN(O$1),FALSE))</f>
        <v>0.9</v>
      </c>
      <c r="P411" s="68">
        <f>IF(VLOOKUP($A411,raw_ub[],COLUMN(P$1),FALSE)=0, VLOOKUP($D411, regions_ub[], COLUMN(P$1), FALSE), VLOOKUP($A411,raw_ub[],COLUMN(P$1),FALSE))</f>
        <v>0.3</v>
      </c>
      <c r="Q411" s="70">
        <f>IF(VLOOKUP($A411,raw_ub[],COLUMN(Q$1),FALSE)=0, VLOOKUP($D411, regions_ub[], COLUMN(Q$1), FALSE), VLOOKUP($A411,raw_ub[],COLUMN(Q$1),FALSE))</f>
        <v>10.647373652694611</v>
      </c>
      <c r="R411" s="70">
        <f>IF(VLOOKUP($A411,raw_ub[],COLUMN(R$1),FALSE)=0, VLOOKUP($D411, regions_ub[], COLUMN(R$1), FALSE), VLOOKUP($A411,raw_ub[],COLUMN(R$1),FALSE))</f>
        <v>119.63317365269462</v>
      </c>
      <c r="S411" s="70">
        <f>IF(VLOOKUP($A411,raw_ub[],COLUMN(S$1),FALSE)=0, VLOOKUP($D411, regions_ub[], COLUMN(S$1), FALSE), VLOOKUP($A411,raw_ub[],COLUMN(S$1),FALSE))</f>
        <v>157.53419828213109</v>
      </c>
      <c r="T411" s="70">
        <f>IF(VLOOKUP($A411,raw_ub[],COLUMN(U$1)-COLUMN($A$1),FALSE)=0, VLOOKUP($D411, regions_ub[], COLUMN(U$1)-COLUMN($A$1), FALSE), VLOOKUP($A411,raw_ub[],COLUMN(U$1)-COLUMN($A$1),FALSE))</f>
        <v>162.05236818998077</v>
      </c>
      <c r="U411" s="70">
        <f>IF(VLOOKUP($A411,raw_ub[],COLUMN(V$1)-COLUMN($A$1),FALSE)=0, VLOOKUP($D411, regions_ub[], COLUMN(V$1)-COLUMN($A$1), FALSE), VLOOKUP($A411,raw_ub[],COLUMN(V$1)-COLUMN($A$1),FALSE))</f>
        <v>159.97772007024156</v>
      </c>
      <c r="V411" s="70">
        <f>IF(VLOOKUP($A411,raw_ub[],COLUMN(W$1)-COLUMN($A$1),FALSE)=0, VLOOKUP($D411, regions_ub[], COLUMN(W$1)-COLUMN($A$1), FALSE), VLOOKUP($A411,raw_ub[],COLUMN(W$1)-COLUMN($A$1),FALSE))</f>
        <v>2.502963057923127</v>
      </c>
      <c r="W411" s="70">
        <f>IF(VLOOKUP($A411,raw_ub[],COLUMN(X$1)-COLUMN($A$1),FALSE)=0, VLOOKUP($D411, regions_ub[], COLUMN(X$1)-COLUMN($A$1), FALSE), VLOOKUP($A411,raw_ub[],COLUMN(X$1)-COLUMN($A$1),FALSE))</f>
        <v>3.006963057923127</v>
      </c>
      <c r="X411" s="70">
        <f>IF(VLOOKUP($A411,raw_ub[],COLUMN(Y$1)-COLUMN($A$1),FALSE)=0, VLOOKUP($D411, regions_ub[], COLUMN(Y$1)-COLUMN($A$1), FALSE), VLOOKUP($A411,raw_ub[],COLUMN(Y$1)-COLUMN($A$1),FALSE))</f>
        <v>2.4897285836817251</v>
      </c>
      <c r="Y411" s="70">
        <f>IF(VLOOKUP($A411,raw_ub[],COLUMN(Z$1)-COLUMN($A$1),FALSE)=0, VLOOKUP($D411, regions_ub[], COLUMN(Z$1)-COLUMN($A$1), FALSE), VLOOKUP($A411,raw_ub[],COLUMN(Z$1)-COLUMN($A$1),FALSE))</f>
        <v>2.9937285836817251</v>
      </c>
      <c r="Z411" s="70">
        <f>IF(VLOOKUP($A411,raw_ub[],COLUMN(AA$1)-COLUMN($A$1),FALSE)=0, VLOOKUP($D411, regions_ub[], COLUMN(AA$1)-COLUMN($A$1), FALSE), VLOOKUP($A411,raw_ub[],COLUMN(AA$1)-COLUMN($A$1),FALSE))</f>
        <v>2.9860978314623665</v>
      </c>
      <c r="AA411" s="70">
        <f>IF(VLOOKUP($A411,raw_ub[],COLUMN(AB$1)-COLUMN($A$1),FALSE)=0, VLOOKUP($D411, regions_ub[], COLUMN(AB$1)-COLUMN($A$1), FALSE), VLOOKUP($A411,raw_ub[],COLUMN(AB$1)-COLUMN($A$1),FALSE))</f>
        <v>2.5060171673634506</v>
      </c>
      <c r="AB411" s="70">
        <f>IF(VLOOKUP($A411,raw_ub[],COLUMN(AC$1)-COLUMN($A$1),FALSE)=0, VLOOKUP($D411, regions_ub[], COLUMN(AC$1)-COLUMN($A$1), FALSE), VLOOKUP($A411,raw_ub[],COLUMN(AC$1)-COLUMN($A$1),FALSE))</f>
        <v>3.0100171673634506</v>
      </c>
      <c r="AC411" s="72">
        <f>IF(VLOOKUP($A411,raw_ub[],COLUMN(AD$1)-COLUMN($A$1),FALSE)=0, VLOOKUP($D411, regions_ub[], COLUMN(AD$1)-COLUMN($A$1), FALSE), VLOOKUP($A411,raw_ub[],COLUMN(AD$1)-COLUMN($A$1),FALSE))</f>
        <v>4.5406010999999975E-2</v>
      </c>
      <c r="AD411" s="72">
        <f>IF(VLOOKUP($A411,raw_ub[],COLUMN(AE$1)-COLUMN($A$1),FALSE)=0, VLOOKUP($D411, regions_ub[], COLUMN(AE$1)-COLUMN($A$1), FALSE), VLOOKUP($A411,raw_ub[],COLUMN(AE$1)-COLUMN($A$1),FALSE))</f>
        <v>3.347256011453192E-3</v>
      </c>
      <c r="AE411" s="72">
        <f>IF(VLOOKUP($A411,raw_ub[],COLUMN(AF$1)-COLUMN($A$1),FALSE)=0, VLOOKUP($D411, regions_ub[], COLUMN(AF$1)-COLUMN($A$1), FALSE), VLOOKUP($A411,raw_ub[],COLUMN(AF$1)-COLUMN($A$1),FALSE))</f>
        <v>1.1292859614539642E-3</v>
      </c>
      <c r="AF411" s="72">
        <f>IF(VLOOKUP($A411,raw_ub[],COLUMN(AG$1)-COLUMN($A$1),FALSE)=0, VLOOKUP($D411, regions_ub[], COLUMN(AG$1)-COLUMN($A$1), FALSE), VLOOKUP($A411,raw_ub[],COLUMN(AG$1)-COLUMN($A$1),FALSE))</f>
        <v>8.7131256840576208E-4</v>
      </c>
      <c r="AG411" s="72">
        <f>IF(VLOOKUP($A411,raw_ub[],COLUMN(AH$1)-COLUMN($A$1),FALSE)=0, VLOOKUP($D411, regions_ub[], COLUMN(AH$1)-COLUMN($A$1), FALSE), VLOOKUP($A411,raw_ub[],COLUMN(AH$1)-COLUMN($A$1),FALSE))</f>
        <v>1.5187187447479047E-3</v>
      </c>
      <c r="AH411" s="72">
        <f>IF(VLOOKUP($A411,raw_ub[],COLUMN(AI$1)-COLUMN($A$1),FALSE)=0, VLOOKUP($D411, regions_ub[], COLUMN(AI$1)-COLUMN($A$1), FALSE), VLOOKUP($A411,raw_ub[],COLUMN(AI$1)-COLUMN($A$1),FALSE))</f>
        <v>1.9811154382844E-3</v>
      </c>
      <c r="AI411" s="72">
        <f>IF(VLOOKUP($A411,raw_ub[],COLUMN(AJ$1)-COLUMN($A$1),FALSE)=0, VLOOKUP($D411, regions_ub[], COLUMN(AJ$1)-COLUMN($A$1), FALSE), VLOOKUP($A411,raw_ub[],COLUMN(AJ$1)-COLUMN($A$1),FALSE))</f>
        <v>2.119861374978028E-3</v>
      </c>
      <c r="AJ411" s="72">
        <f>IF(VLOOKUP($A411,raw_ub[],COLUMN(AK$1)-COLUMN($A$1),FALSE)=0, VLOOKUP($D411, regions_ub[], COLUMN(AK$1)-COLUMN($A$1), FALSE), VLOOKUP($A411,raw_ub[],COLUMN(AK$1)-COLUMN($A$1),FALSE))</f>
        <v>2.4765908595544956E-3</v>
      </c>
      <c r="AK411" s="72">
        <f>IF(VLOOKUP($A411,raw_ub[],COLUMN(AL$1)-COLUMN($A$1),FALSE)=0, VLOOKUP($D411, regions_ub[], COLUMN(AL$1)-COLUMN($A$1), FALSE), VLOOKUP($A411,raw_ub[],COLUMN(AL$1)-COLUMN($A$1),FALSE))</f>
        <v>3.2068201581841658E-3</v>
      </c>
      <c r="AL411" s="72">
        <f>IF(VLOOKUP($A411,raw_ub[],COLUMN(AM$1)-COLUMN($A$1),FALSE)=0, VLOOKUP($D411, regions_ub[], COLUMN(AM$1)-COLUMN($A$1), FALSE), VLOOKUP($A411,raw_ub[],COLUMN(AM$1)-COLUMN($A$1),FALSE))</f>
        <v>4.3638524337208853E-3</v>
      </c>
      <c r="AM411" s="72">
        <f>IF(VLOOKUP($A411,raw_ub[],COLUMN(AN$1)-COLUMN($A$1),FALSE)=0, VLOOKUP($D411, regions_ub[], COLUMN(AN$1)-COLUMN($A$1), FALSE), VLOOKUP($A411,raw_ub[],COLUMN(AN$1)-COLUMN($A$1),FALSE))</f>
        <v>6.2920317160002235E-3</v>
      </c>
      <c r="AN411" s="72">
        <f>IF(VLOOKUP($A411,raw_ub[],COLUMN(AO$1)-COLUMN($A$1),FALSE)=0, VLOOKUP($D411, regions_ub[], COLUMN(AO$1)-COLUMN($A$1), FALSE), VLOOKUP($A411,raw_ub[],COLUMN(AO$1)-COLUMN($A$1),FALSE))</f>
        <v>9.3096492234302861E-3</v>
      </c>
      <c r="AO411" s="72">
        <f>IF(VLOOKUP($A411,raw_ub[],COLUMN(AP$1)-COLUMN($A$1),FALSE)=0, VLOOKUP($D411, regions_ub[], COLUMN(AP$1)-COLUMN($A$1), FALSE), VLOOKUP($A411,raw_ub[],COLUMN(AP$1)-COLUMN($A$1),FALSE))</f>
        <v>1.4017605949179675E-2</v>
      </c>
      <c r="AP411" s="72">
        <f>IF(VLOOKUP($A411,raw_ub[],COLUMN(AQ$1)-COLUMN($A$1),FALSE)=0, VLOOKUP($D411, regions_ub[], COLUMN(AQ$1)-COLUMN($A$1), FALSE), VLOOKUP($A411,raw_ub[],COLUMN(AQ$1)-COLUMN($A$1),FALSE))</f>
        <v>2.1755200098322686E-2</v>
      </c>
      <c r="AQ411" s="72">
        <f>IF(VLOOKUP($A411,raw_ub[],COLUMN(AR$1)-COLUMN($A$1),FALSE)=0, VLOOKUP($D411, regions_ub[], COLUMN(AR$1)-COLUMN($A$1), FALSE), VLOOKUP($A411,raw_ub[],COLUMN(AR$1)-COLUMN($A$1),FALSE))</f>
        <v>3.3528400661258104E-2</v>
      </c>
      <c r="AR411" s="72">
        <f>IF(VLOOKUP($A411,raw_ub[],COLUMN(AS$1)-COLUMN($A$1),FALSE)=0, VLOOKUP($D411, regions_ub[], COLUMN(AS$1)-COLUMN($A$1), FALSE), VLOOKUP($A411,raw_ub[],COLUMN(AS$1)-COLUMN($A$1),FALSE))</f>
        <v>5.1744389067047425E-2</v>
      </c>
      <c r="AS411" s="72">
        <f>IF(VLOOKUP($A411,raw_ub[],COLUMN(AT$1)-COLUMN($A$1),FALSE)=0, VLOOKUP($D411, regions_ub[], COLUMN(AT$1)-COLUMN($A$1), FALSE), VLOOKUP($A411,raw_ub[],COLUMN(AT$1)-COLUMN($A$1),FALSE))</f>
        <v>7.7597925490319297E-2</v>
      </c>
      <c r="AT411" s="82">
        <f>IF(VLOOKUP($A411,raw_ub[],COLUMN(AT$1),FALSE)=0, VLOOKUP($D411, regions_ub[], COLUMN(AT$1), FALSE), VLOOKUP($A411,raw_ub[],COLUMN(AT$1),FALSE))</f>
        <v>0.10891047860095539</v>
      </c>
      <c r="AU411" s="82">
        <f>IF(VLOOKUP($A411,raw_ub[],COLUMN(AU$1),FALSE)=0, VLOOKUP($D411, regions_ub[], COLUMN(AU$1), FALSE), VLOOKUP($A411,raw_ub[],COLUMN(AU$1),FALSE))</f>
        <v>0.13941799403161187</v>
      </c>
      <c r="AV411" s="82">
        <f>IF(VLOOKUP($A411,raw_ub[],COLUMN(AV$1),FALSE)=0, VLOOKUP($D411, regions_ub[], COLUMN(AV$1), FALSE), VLOOKUP($A411,raw_ub[],COLUMN(AV$1),FALSE))</f>
        <v>0.16625819893907501</v>
      </c>
      <c r="AW411" s="82">
        <f>IF(VLOOKUP($A411,raw_ub[],COLUMN(AW$1),FALSE)=0, VLOOKUP($D411, regions_ub[], COLUMN(AW$1), FALSE), VLOOKUP($A411,raw_ub[],COLUMN(AW$1),FALSE))</f>
        <v>0.18606622088570426</v>
      </c>
      <c r="AX411" s="82">
        <f>IF(VLOOKUP($A411,raw_ub[],COLUMN(AX$1),FALSE)=0, VLOOKUP($D411, regions_ub[], COLUMN(AX$1), FALSE), VLOOKUP($A411,raw_ub[],COLUMN(AX$1),FALSE))</f>
        <v>69.334650000000011</v>
      </c>
      <c r="AY411" t="str">
        <f t="shared" si="14"/>
        <v>Yes</v>
      </c>
    </row>
    <row r="412" spans="1:51" x14ac:dyDescent="0.25">
      <c r="A412" s="53" t="s">
        <v>492</v>
      </c>
      <c r="B412" s="54" t="s">
        <v>493</v>
      </c>
      <c r="C412" s="54">
        <v>894</v>
      </c>
      <c r="D412" s="54" t="s">
        <v>207</v>
      </c>
      <c r="E412" s="54" t="s">
        <v>255</v>
      </c>
      <c r="F412" s="54" t="s">
        <v>211</v>
      </c>
      <c r="G412" s="54" t="s">
        <v>212</v>
      </c>
      <c r="H412" s="73"/>
      <c r="I412" s="73"/>
      <c r="J412" s="67">
        <f>IF(VLOOKUP($A412,raw_ub[],COLUMN(J$1),FALSE)=0, VLOOKUP($D412, regions_ub[], COLUMN(J$1), FALSE), VLOOKUP($A412,raw_ub[],COLUMN(J$1),FALSE))</f>
        <v>0.87990000000000002</v>
      </c>
      <c r="K412" s="77">
        <f>VLOOKUP($A412, raw_ub[], 11, FALSE)</f>
        <v>0.98699999999999999</v>
      </c>
      <c r="L412" s="77">
        <f>VLOOKUP($A412, raw_ub[], 12, FALSE)</f>
        <v>0.88200000000000001</v>
      </c>
      <c r="M412" s="77">
        <f>IF(VLOOKUP($A412,raw_ub[],COLUMN(M$1),FALSE)=0, VLOOKUP($D412, regions_ub[], COLUMN(M$1), FALSE), VLOOKUP($A412,raw_ub[],COLUMN(M$1),FALSE))</f>
        <v>5.9800000000000006E-2</v>
      </c>
      <c r="N412" s="68">
        <f>IF(VLOOKUP($A412,raw_ub[],COLUMN(N$1),FALSE)=0, VLOOKUP($D412, regions_ub[], COLUMN(N$1), FALSE), VLOOKUP($A412,raw_ub[],COLUMN(N$1),FALSE))</f>
        <v>0.39960000000000001</v>
      </c>
      <c r="O412" s="67">
        <f>IF(VLOOKUP($A412,raw_ub[],COLUMN(O$1),FALSE)=0, VLOOKUP($D412, regions_ub[], COLUMN(O$1), FALSE), VLOOKUP($A412,raw_ub[],COLUMN(O$1),FALSE))</f>
        <v>0.74399999999999999</v>
      </c>
      <c r="P412" s="68">
        <f>IF(VLOOKUP($A412,raw_ub[],COLUMN(P$1),FALSE)=0, VLOOKUP($D412, regions_ub[], COLUMN(P$1), FALSE), VLOOKUP($A412,raw_ub[],COLUMN(P$1),FALSE))</f>
        <v>0.13300000000000001</v>
      </c>
      <c r="Q412" s="70">
        <f>IF(VLOOKUP($A412,raw_ub[],COLUMN(Q$1),FALSE)=0, VLOOKUP($D412, regions_ub[], COLUMN(Q$1), FALSE), VLOOKUP($A412,raw_ub[],COLUMN(Q$1),FALSE))</f>
        <v>8.1787736434108496</v>
      </c>
      <c r="R412" s="70">
        <f>IF(VLOOKUP($A412,raw_ub[],COLUMN(R$1),FALSE)=0, VLOOKUP($D412, regions_ub[], COLUMN(R$1), FALSE), VLOOKUP($A412,raw_ub[],COLUMN(R$1),FALSE))</f>
        <v>117.16457364341086</v>
      </c>
      <c r="S412" s="70">
        <f>IF(VLOOKUP($A412,raw_ub[],COLUMN(S$1),FALSE)=0, VLOOKUP($D412, regions_ub[], COLUMN(S$1), FALSE), VLOOKUP($A412,raw_ub[],COLUMN(S$1),FALSE))</f>
        <v>150.43880886980941</v>
      </c>
      <c r="T412" s="70">
        <f>IF(VLOOKUP($A412,raw_ub[],COLUMN(U$1)-COLUMN($A$1),FALSE)=0, VLOOKUP($D412, regions_ub[], COLUMN(U$1)-COLUMN($A$1), FALSE), VLOOKUP($A412,raw_ub[],COLUMN(U$1)-COLUMN($A$1),FALSE))</f>
        <v>152.54889660497656</v>
      </c>
      <c r="U412" s="70">
        <f>IF(VLOOKUP($A412,raw_ub[],COLUMN(V$1)-COLUMN($A$1),FALSE)=0, VLOOKUP($D412, regions_ub[], COLUMN(V$1)-COLUMN($A$1), FALSE), VLOOKUP($A412,raw_ub[],COLUMN(V$1)-COLUMN($A$1),FALSE))</f>
        <v>151.5799889185605</v>
      </c>
      <c r="V412" s="70">
        <f>IF(VLOOKUP($A412,raw_ub[],COLUMN(W$1)-COLUMN($A$1),FALSE)=0, VLOOKUP($D412, regions_ub[], COLUMN(W$1)-COLUMN($A$1), FALSE), VLOOKUP($A412,raw_ub[],COLUMN(W$1)-COLUMN($A$1),FALSE))</f>
        <v>5.1784776805634056</v>
      </c>
      <c r="W412" s="70">
        <f>IF(VLOOKUP($A412,raw_ub[],COLUMN(X$1)-COLUMN($A$1),FALSE)=0, VLOOKUP($D412, regions_ub[], COLUMN(X$1)-COLUMN($A$1), FALSE), VLOOKUP($A412,raw_ub[],COLUMN(X$1)-COLUMN($A$1),FALSE))</f>
        <v>10.249977680563406</v>
      </c>
      <c r="X412" s="70">
        <f>IF(VLOOKUP($A412,raw_ub[],COLUMN(Y$1)-COLUMN($A$1),FALSE)=0, VLOOKUP($D412, regions_ub[], COLUMN(Y$1)-COLUMN($A$1), FALSE), VLOOKUP($A412,raw_ub[],COLUMN(Y$1)-COLUMN($A$1),FALSE))</f>
        <v>5.1670566513453275</v>
      </c>
      <c r="Y412" s="70">
        <f>IF(VLOOKUP($A412,raw_ub[],COLUMN(Z$1)-COLUMN($A$1),FALSE)=0, VLOOKUP($D412, regions_ub[], COLUMN(Z$1)-COLUMN($A$1), FALSE), VLOOKUP($A412,raw_ub[],COLUMN(Z$1)-COLUMN($A$1),FALSE))</f>
        <v>10.238556651345327</v>
      </c>
      <c r="Z412" s="70">
        <f>IF(VLOOKUP($A412,raw_ub[],COLUMN(AA$1)-COLUMN($A$1),FALSE)=0, VLOOKUP($D412, regions_ub[], COLUMN(AA$1)-COLUMN($A$1), FALSE), VLOOKUP($A412,raw_ub[],COLUMN(AA$1)-COLUMN($A$1),FALSE))</f>
        <v>10.231797277303992</v>
      </c>
      <c r="AA412" s="70">
        <f>IF(VLOOKUP($A412,raw_ub[],COLUMN(AB$1)-COLUMN($A$1),FALSE)=0, VLOOKUP($D412, regions_ub[], COLUMN(AB$1)-COLUMN($A$1), FALSE), VLOOKUP($A412,raw_ub[],COLUMN(AB$1)-COLUMN($A$1),FALSE))</f>
        <v>5.1811133026906546</v>
      </c>
      <c r="AB412" s="70">
        <f>IF(VLOOKUP($A412,raw_ub[],COLUMN(AC$1)-COLUMN($A$1),FALSE)=0, VLOOKUP($D412, regions_ub[], COLUMN(AC$1)-COLUMN($A$1), FALSE), VLOOKUP($A412,raw_ub[],COLUMN(AC$1)-COLUMN($A$1),FALSE))</f>
        <v>10.252613302690655</v>
      </c>
      <c r="AC412" s="72">
        <f>IF(VLOOKUP($A412,raw_ub[],COLUMN(AD$1)-COLUMN($A$1),FALSE)=0, VLOOKUP($D412, regions_ub[], COLUMN(AD$1)-COLUMN($A$1), FALSE), VLOOKUP($A412,raw_ub[],COLUMN(AD$1)-COLUMN($A$1),FALSE))</f>
        <v>4.7902963500000055E-2</v>
      </c>
      <c r="AD412" s="72">
        <f>IF(VLOOKUP($A412,raw_ub[],COLUMN(AE$1)-COLUMN($A$1),FALSE)=0, VLOOKUP($D412, regions_ub[], COLUMN(AE$1)-COLUMN($A$1), FALSE), VLOOKUP($A412,raw_ub[],COLUMN(AE$1)-COLUMN($A$1),FALSE))</f>
        <v>4.1563883332070639E-3</v>
      </c>
      <c r="AE412" s="72">
        <f>IF(VLOOKUP($A412,raw_ub[],COLUMN(AF$1)-COLUMN($A$1),FALSE)=0, VLOOKUP($D412, regions_ub[], COLUMN(AF$1)-COLUMN($A$1), FALSE), VLOOKUP($A412,raw_ub[],COLUMN(AF$1)-COLUMN($A$1),FALSE))</f>
        <v>1.2162725166093582E-3</v>
      </c>
      <c r="AF412" s="72">
        <f>IF(VLOOKUP($A412,raw_ub[],COLUMN(AG$1)-COLUMN($A$1),FALSE)=0, VLOOKUP($D412, regions_ub[], COLUMN(AG$1)-COLUMN($A$1), FALSE), VLOOKUP($A412,raw_ub[],COLUMN(AG$1)-COLUMN($A$1),FALSE))</f>
        <v>9.6044038667478465E-4</v>
      </c>
      <c r="AG412" s="72">
        <f>IF(VLOOKUP($A412,raw_ub[],COLUMN(AH$1)-COLUMN($A$1),FALSE)=0, VLOOKUP($D412, regions_ub[], COLUMN(AH$1)-COLUMN($A$1), FALSE), VLOOKUP($A412,raw_ub[],COLUMN(AH$1)-COLUMN($A$1),FALSE))</f>
        <v>1.6080246032367858E-3</v>
      </c>
      <c r="AH412" s="72">
        <f>IF(VLOOKUP($A412,raw_ub[],COLUMN(AI$1)-COLUMN($A$1),FALSE)=0, VLOOKUP($D412, regions_ub[], COLUMN(AI$1)-COLUMN($A$1), FALSE), VLOOKUP($A412,raw_ub[],COLUMN(AI$1)-COLUMN($A$1),FALSE))</f>
        <v>2.5978783243606912E-3</v>
      </c>
      <c r="AI412" s="72">
        <f>IF(VLOOKUP($A412,raw_ub[],COLUMN(AJ$1)-COLUMN($A$1),FALSE)=0, VLOOKUP($D412, regions_ub[], COLUMN(AJ$1)-COLUMN($A$1), FALSE), VLOOKUP($A412,raw_ub[],COLUMN(AJ$1)-COLUMN($A$1),FALSE))</f>
        <v>3.665656396073204E-3</v>
      </c>
      <c r="AJ412" s="72">
        <f>IF(VLOOKUP($A412,raw_ub[],COLUMN(AK$1)-COLUMN($A$1),FALSE)=0, VLOOKUP($D412, regions_ub[], COLUMN(AK$1)-COLUMN($A$1), FALSE), VLOOKUP($A412,raw_ub[],COLUMN(AK$1)-COLUMN($A$1),FALSE))</f>
        <v>4.831000643798984E-3</v>
      </c>
      <c r="AK412" s="72">
        <f>IF(VLOOKUP($A412,raw_ub[],COLUMN(AL$1)-COLUMN($A$1),FALSE)=0, VLOOKUP($D412, regions_ub[], COLUMN(AL$1)-COLUMN($A$1), FALSE), VLOOKUP($A412,raw_ub[],COLUMN(AL$1)-COLUMN($A$1),FALSE))</f>
        <v>6.4803604670840877E-3</v>
      </c>
      <c r="AL412" s="72">
        <f>IF(VLOOKUP($A412,raw_ub[],COLUMN(AM$1)-COLUMN($A$1),FALSE)=0, VLOOKUP($D412, regions_ub[], COLUMN(AM$1)-COLUMN($A$1), FALSE), VLOOKUP($A412,raw_ub[],COLUMN(AM$1)-COLUMN($A$1),FALSE))</f>
        <v>7.9812097043491272E-3</v>
      </c>
      <c r="AM412" s="72">
        <f>IF(VLOOKUP($A412,raw_ub[],COLUMN(AN$1)-COLUMN($A$1),FALSE)=0, VLOOKUP($D412, regions_ub[], COLUMN(AN$1)-COLUMN($A$1), FALSE), VLOOKUP($A412,raw_ub[],COLUMN(AN$1)-COLUMN($A$1),FALSE))</f>
        <v>9.8134732253991816E-3</v>
      </c>
      <c r="AN412" s="72">
        <f>IF(VLOOKUP($A412,raw_ub[],COLUMN(AO$1)-COLUMN($A$1),FALSE)=0, VLOOKUP($D412, regions_ub[], COLUMN(AO$1)-COLUMN($A$1), FALSE), VLOOKUP($A412,raw_ub[],COLUMN(AO$1)-COLUMN($A$1),FALSE))</f>
        <v>1.2767336760323159E-2</v>
      </c>
      <c r="AO412" s="72">
        <f>IF(VLOOKUP($A412,raw_ub[],COLUMN(AP$1)-COLUMN($A$1),FALSE)=0, VLOOKUP($D412, regions_ub[], COLUMN(AP$1)-COLUMN($A$1), FALSE), VLOOKUP($A412,raw_ub[],COLUMN(AP$1)-COLUMN($A$1),FALSE))</f>
        <v>1.6161431599754885E-2</v>
      </c>
      <c r="AP412" s="72">
        <f>IF(VLOOKUP($A412,raw_ub[],COLUMN(AQ$1)-COLUMN($A$1),FALSE)=0, VLOOKUP($D412, regions_ub[], COLUMN(AQ$1)-COLUMN($A$1), FALSE), VLOOKUP($A412,raw_ub[],COLUMN(AQ$1)-COLUMN($A$1),FALSE))</f>
        <v>2.2462416534988174E-2</v>
      </c>
      <c r="AQ412" s="72">
        <f>IF(VLOOKUP($A412,raw_ub[],COLUMN(AR$1)-COLUMN($A$1),FALSE)=0, VLOOKUP($D412, regions_ub[], COLUMN(AR$1)-COLUMN($A$1), FALSE), VLOOKUP($A412,raw_ub[],COLUMN(AR$1)-COLUMN($A$1),FALSE))</f>
        <v>3.2701010090938114E-2</v>
      </c>
      <c r="AR412" s="72">
        <f>IF(VLOOKUP($A412,raw_ub[],COLUMN(AS$1)-COLUMN($A$1),FALSE)=0, VLOOKUP($D412, regions_ub[], COLUMN(AS$1)-COLUMN($A$1), FALSE), VLOOKUP($A412,raw_ub[],COLUMN(AS$1)-COLUMN($A$1),FALSE))</f>
        <v>4.8633387651919449E-2</v>
      </c>
      <c r="AS412" s="72">
        <f>IF(VLOOKUP($A412,raw_ub[],COLUMN(AT$1)-COLUMN($A$1),FALSE)=0, VLOOKUP($D412, regions_ub[], COLUMN(AT$1)-COLUMN($A$1), FALSE), VLOOKUP($A412,raw_ub[],COLUMN(AT$1)-COLUMN($A$1),FALSE))</f>
        <v>7.212319643116144E-2</v>
      </c>
      <c r="AT412" s="82">
        <f>IF(VLOOKUP($A412,raw_ub[],COLUMN(AT$1),FALSE)=0, VLOOKUP($D412, regions_ub[], COLUMN(AT$1), FALSE), VLOOKUP($A412,raw_ub[],COLUMN(AT$1),FALSE))</f>
        <v>0.10697583772761352</v>
      </c>
      <c r="AU412" s="82">
        <f>IF(VLOOKUP($A412,raw_ub[],COLUMN(AU$1),FALSE)=0, VLOOKUP($D412, regions_ub[], COLUMN(AU$1), FALSE), VLOOKUP($A412,raw_ub[],COLUMN(AU$1),FALSE))</f>
        <v>0.14857624820114851</v>
      </c>
      <c r="AV412" s="82">
        <f>IF(VLOOKUP($A412,raw_ub[],COLUMN(AV$1),FALSE)=0, VLOOKUP($D412, regions_ub[], COLUMN(AV$1), FALSE), VLOOKUP($A412,raw_ub[],COLUMN(AV$1),FALSE))</f>
        <v>0.18356804813222444</v>
      </c>
      <c r="AW412" s="82">
        <f>IF(VLOOKUP($A412,raw_ub[],COLUMN(AW$1),FALSE)=0, VLOOKUP($D412, regions_ub[], COLUMN(AW$1), FALSE), VLOOKUP($A412,raw_ub[],COLUMN(AW$1),FALSE))</f>
        <v>0.19681796912795563</v>
      </c>
      <c r="AX412" s="82">
        <f>IF(VLOOKUP($A412,raw_ub[],COLUMN(AX$1),FALSE)=0, VLOOKUP($D412, regions_ub[], COLUMN(AX$1), FALSE), VLOOKUP($A412,raw_ub[],COLUMN(AX$1),FALSE))</f>
        <v>66.420900000000003</v>
      </c>
      <c r="AY412" t="str">
        <f t="shared" si="14"/>
        <v>No</v>
      </c>
    </row>
    <row r="413" spans="1:51" x14ac:dyDescent="0.25">
      <c r="A413" s="55" t="s">
        <v>494</v>
      </c>
      <c r="B413" s="56" t="s">
        <v>495</v>
      </c>
      <c r="C413" s="56">
        <v>716</v>
      </c>
      <c r="D413" s="56" t="s">
        <v>207</v>
      </c>
      <c r="E413" s="56" t="s">
        <v>245</v>
      </c>
      <c r="F413" s="56" t="s">
        <v>211</v>
      </c>
      <c r="G413" s="56" t="s">
        <v>212</v>
      </c>
      <c r="H413" s="74"/>
      <c r="I413" s="74"/>
      <c r="J413" s="67">
        <f>IF(VLOOKUP($A413,raw_ub[],COLUMN(J$1),FALSE)=0, VLOOKUP($D413, regions_ub[], COLUMN(J$1), FALSE), VLOOKUP($A413,raw_ub[],COLUMN(J$1),FALSE))</f>
        <v>0.89775000000000005</v>
      </c>
      <c r="K413" s="77">
        <f>VLOOKUP($A413, raw_ub[], 11, FALSE)</f>
        <v>0</v>
      </c>
      <c r="L413" s="77">
        <f>VLOOKUP($A413, raw_ub[], 12, FALSE)</f>
        <v>0.90300000000000002</v>
      </c>
      <c r="M413" s="77">
        <f>IF(VLOOKUP($A413,raw_ub[],COLUMN(M$1),FALSE)=0, VLOOKUP($D413, regions_ub[], COLUMN(M$1), FALSE), VLOOKUP($A413,raw_ub[],COLUMN(M$1),FALSE))</f>
        <v>0.10890000000000001</v>
      </c>
      <c r="N413" s="68">
        <f>IF(VLOOKUP($A413,raw_ub[],COLUMN(N$1),FALSE)=0, VLOOKUP($D413, regions_ub[], COLUMN(N$1), FALSE), VLOOKUP($A413,raw_ub[],COLUMN(N$1),FALSE))</f>
        <v>0.3679</v>
      </c>
      <c r="O413" s="67">
        <f>IF(VLOOKUP($A413,raw_ub[],COLUMN(O$1),FALSE)=0, VLOOKUP($D413, regions_ub[], COLUMN(O$1), FALSE), VLOOKUP($A413,raw_ub[],COLUMN(O$1),FALSE))</f>
        <v>0.74399999999999999</v>
      </c>
      <c r="P413" s="68">
        <f>IF(VLOOKUP($A413,raw_ub[],COLUMN(P$1),FALSE)=0, VLOOKUP($D413, regions_ub[], COLUMN(P$1), FALSE), VLOOKUP($A413,raw_ub[],COLUMN(P$1),FALSE))</f>
        <v>0.13300000000000001</v>
      </c>
      <c r="Q413" s="70">
        <f>IF(VLOOKUP($A413,raw_ub[],COLUMN(Q$1),FALSE)=0, VLOOKUP($D413, regions_ub[], COLUMN(Q$1), FALSE), VLOOKUP($A413,raw_ub[],COLUMN(Q$1),FALSE))</f>
        <v>10.848787539350035</v>
      </c>
      <c r="R413" s="70">
        <f>IF(VLOOKUP($A413,raw_ub[],COLUMN(R$1),FALSE)=0, VLOOKUP($D413, regions_ub[], COLUMN(R$1), FALSE), VLOOKUP($A413,raw_ub[],COLUMN(R$1),FALSE))</f>
        <v>119.83458753935003</v>
      </c>
      <c r="S413" s="70">
        <f>IF(VLOOKUP($A413,raw_ub[],COLUMN(S$1),FALSE)=0, VLOOKUP($D413, regions_ub[], COLUMN(S$1), FALSE), VLOOKUP($A413,raw_ub[],COLUMN(S$1),FALSE))</f>
        <v>161.42169624364792</v>
      </c>
      <c r="T413" s="70">
        <f>IF(VLOOKUP($A413,raw_ub[],COLUMN(U$1)-COLUMN($A$1),FALSE)=0, VLOOKUP($D413, regions_ub[], COLUMN(U$1)-COLUMN($A$1), FALSE), VLOOKUP($A413,raw_ub[],COLUMN(U$1)-COLUMN($A$1),FALSE))</f>
        <v>167.85834407959484</v>
      </c>
      <c r="U413" s="70">
        <f>IF(VLOOKUP($A413,raw_ub[],COLUMN(V$1)-COLUMN($A$1),FALSE)=0, VLOOKUP($D413, regions_ub[], COLUMN(V$1)-COLUMN($A$1), FALSE), VLOOKUP($A413,raw_ub[],COLUMN(V$1)-COLUMN($A$1),FALSE))</f>
        <v>164.90277144673067</v>
      </c>
      <c r="V413" s="70">
        <f>IF(VLOOKUP($A413,raw_ub[],COLUMN(W$1)-COLUMN($A$1),FALSE)=0, VLOOKUP($D413, regions_ub[], COLUMN(W$1)-COLUMN($A$1), FALSE), VLOOKUP($A413,raw_ub[],COLUMN(W$1)-COLUMN($A$1),FALSE))</f>
        <v>5.7798820019199484</v>
      </c>
      <c r="W413" s="70">
        <f>IF(VLOOKUP($A413,raw_ub[],COLUMN(X$1)-COLUMN($A$1),FALSE)=0, VLOOKUP($D413, regions_ub[], COLUMN(X$1)-COLUMN($A$1), FALSE), VLOOKUP($A413,raw_ub[],COLUMN(X$1)-COLUMN($A$1),FALSE))</f>
        <v>10.851382001919948</v>
      </c>
      <c r="X413" s="70">
        <f>IF(VLOOKUP($A413,raw_ub[],COLUMN(Y$1)-COLUMN($A$1),FALSE)=0, VLOOKUP($D413, regions_ub[], COLUMN(Y$1)-COLUMN($A$1), FALSE), VLOOKUP($A413,raw_ub[],COLUMN(Y$1)-COLUMN($A$1),FALSE))</f>
        <v>5.7668219320937641</v>
      </c>
      <c r="Y413" s="70">
        <f>IF(VLOOKUP($A413,raw_ub[],COLUMN(Z$1)-COLUMN($A$1),FALSE)=0, VLOOKUP($D413, regions_ub[], COLUMN(Z$1)-COLUMN($A$1), FALSE), VLOOKUP($A413,raw_ub[],COLUMN(Z$1)-COLUMN($A$1),FALSE))</f>
        <v>10.838321932093764</v>
      </c>
      <c r="Z413" s="70">
        <f>IF(VLOOKUP($A413,raw_ub[],COLUMN(AA$1)-COLUMN($A$1),FALSE)=0, VLOOKUP($D413, regions_ub[], COLUMN(AA$1)-COLUMN($A$1), FALSE), VLOOKUP($A413,raw_ub[],COLUMN(AA$1)-COLUMN($A$1),FALSE))</f>
        <v>10.831244369038782</v>
      </c>
      <c r="AA413" s="70">
        <f>IF(VLOOKUP($A413,raw_ub[],COLUMN(AB$1)-COLUMN($A$1),FALSE)=0, VLOOKUP($D413, regions_ub[], COLUMN(AB$1)-COLUMN($A$1), FALSE), VLOOKUP($A413,raw_ub[],COLUMN(AB$1)-COLUMN($A$1),FALSE))</f>
        <v>5.7828958641875294</v>
      </c>
      <c r="AB413" s="70">
        <f>IF(VLOOKUP($A413,raw_ub[],COLUMN(AC$1)-COLUMN($A$1),FALSE)=0, VLOOKUP($D413, regions_ub[], COLUMN(AC$1)-COLUMN($A$1), FALSE), VLOOKUP($A413,raw_ub[],COLUMN(AC$1)-COLUMN($A$1),FALSE))</f>
        <v>10.854395864187531</v>
      </c>
      <c r="AC413" s="72">
        <f>IF(VLOOKUP($A413,raw_ub[],COLUMN(AD$1)-COLUMN($A$1),FALSE)=0, VLOOKUP($D413, regions_ub[], COLUMN(AD$1)-COLUMN($A$1), FALSE), VLOOKUP($A413,raw_ub[],COLUMN(AD$1)-COLUMN($A$1),FALSE))</f>
        <v>4.0694335499999984E-2</v>
      </c>
      <c r="AD413" s="72">
        <f>IF(VLOOKUP($A413,raw_ub[],COLUMN(AE$1)-COLUMN($A$1),FALSE)=0, VLOOKUP($D413, regions_ub[], COLUMN(AE$1)-COLUMN($A$1), FALSE), VLOOKUP($A413,raw_ub[],COLUMN(AE$1)-COLUMN($A$1),FALSE))</f>
        <v>3.4153140272502576E-3</v>
      </c>
      <c r="AE413" s="72">
        <f>IF(VLOOKUP($A413,raw_ub[],COLUMN(AF$1)-COLUMN($A$1),FALSE)=0, VLOOKUP($D413, regions_ub[], COLUMN(AF$1)-COLUMN($A$1), FALSE), VLOOKUP($A413,raw_ub[],COLUMN(AF$1)-COLUMN($A$1),FALSE))</f>
        <v>1.117044847686055E-3</v>
      </c>
      <c r="AF413" s="72">
        <f>IF(VLOOKUP($A413,raw_ub[],COLUMN(AG$1)-COLUMN($A$1),FALSE)=0, VLOOKUP($D413, regions_ub[], COLUMN(AG$1)-COLUMN($A$1), FALSE), VLOOKUP($A413,raw_ub[],COLUMN(AG$1)-COLUMN($A$1),FALSE))</f>
        <v>9.5613165266355887E-4</v>
      </c>
      <c r="AG413" s="72">
        <f>IF(VLOOKUP($A413,raw_ub[],COLUMN(AH$1)-COLUMN($A$1),FALSE)=0, VLOOKUP($D413, regions_ub[], COLUMN(AH$1)-COLUMN($A$1), FALSE), VLOOKUP($A413,raw_ub[],COLUMN(AH$1)-COLUMN($A$1),FALSE))</f>
        <v>1.6491993916800314E-3</v>
      </c>
      <c r="AH413" s="72">
        <f>IF(VLOOKUP($A413,raw_ub[],COLUMN(AI$1)-COLUMN($A$1),FALSE)=0, VLOOKUP($D413, regions_ub[], COLUMN(AI$1)-COLUMN($A$1), FALSE), VLOOKUP($A413,raw_ub[],COLUMN(AI$1)-COLUMN($A$1),FALSE))</f>
        <v>2.9770805330429557E-3</v>
      </c>
      <c r="AI413" s="72">
        <f>IF(VLOOKUP($A413,raw_ub[],COLUMN(AJ$1)-COLUMN($A$1),FALSE)=0, VLOOKUP($D413, regions_ub[], COLUMN(AJ$1)-COLUMN($A$1), FALSE), VLOOKUP($A413,raw_ub[],COLUMN(AJ$1)-COLUMN($A$1),FALSE))</f>
        <v>5.0626004267897923E-3</v>
      </c>
      <c r="AJ413" s="72">
        <f>IF(VLOOKUP($A413,raw_ub[],COLUMN(AK$1)-COLUMN($A$1),FALSE)=0, VLOOKUP($D413, regions_ub[], COLUMN(AK$1)-COLUMN($A$1), FALSE), VLOOKUP($A413,raw_ub[],COLUMN(AK$1)-COLUMN($A$1),FALSE))</f>
        <v>7.2376284898557318E-3</v>
      </c>
      <c r="AK413" s="72">
        <f>IF(VLOOKUP($A413,raw_ub[],COLUMN(AL$1)-COLUMN($A$1),FALSE)=0, VLOOKUP($D413, regions_ub[], COLUMN(AL$1)-COLUMN($A$1), FALSE), VLOOKUP($A413,raw_ub[],COLUMN(AL$1)-COLUMN($A$1),FALSE))</f>
        <v>1.0170639135713937E-2</v>
      </c>
      <c r="AL413" s="72">
        <f>IF(VLOOKUP($A413,raw_ub[],COLUMN(AM$1)-COLUMN($A$1),FALSE)=0, VLOOKUP($D413, regions_ub[], COLUMN(AM$1)-COLUMN($A$1), FALSE), VLOOKUP($A413,raw_ub[],COLUMN(AM$1)-COLUMN($A$1),FALSE))</f>
        <v>1.1889598769615768E-2</v>
      </c>
      <c r="AM413" s="72">
        <f>IF(VLOOKUP($A413,raw_ub[],COLUMN(AN$1)-COLUMN($A$1),FALSE)=0, VLOOKUP($D413, regions_ub[], COLUMN(AN$1)-COLUMN($A$1), FALSE), VLOOKUP($A413,raw_ub[],COLUMN(AN$1)-COLUMN($A$1),FALSE))</f>
        <v>1.4071127098060921E-2</v>
      </c>
      <c r="AN413" s="72">
        <f>IF(VLOOKUP($A413,raw_ub[],COLUMN(AO$1)-COLUMN($A$1),FALSE)=0, VLOOKUP($D413, regions_ub[], COLUMN(AO$1)-COLUMN($A$1), FALSE), VLOOKUP($A413,raw_ub[],COLUMN(AO$1)-COLUMN($A$1),FALSE))</f>
        <v>1.6832883461750433E-2</v>
      </c>
      <c r="AO413" s="72">
        <f>IF(VLOOKUP($A413,raw_ub[],COLUMN(AP$1)-COLUMN($A$1),FALSE)=0, VLOOKUP($D413, regions_ub[], COLUMN(AP$1)-COLUMN($A$1), FALSE), VLOOKUP($A413,raw_ub[],COLUMN(AP$1)-COLUMN($A$1),FALSE))</f>
        <v>2.0115487474898493E-2</v>
      </c>
      <c r="AP413" s="72">
        <f>IF(VLOOKUP($A413,raw_ub[],COLUMN(AQ$1)-COLUMN($A$1),FALSE)=0, VLOOKUP($D413, regions_ub[], COLUMN(AQ$1)-COLUMN($A$1), FALSE), VLOOKUP($A413,raw_ub[],COLUMN(AQ$1)-COLUMN($A$1),FALSE))</f>
        <v>2.6085660181725343E-2</v>
      </c>
      <c r="AQ413" s="72">
        <f>IF(VLOOKUP($A413,raw_ub[],COLUMN(AR$1)-COLUMN($A$1),FALSE)=0, VLOOKUP($D413, regions_ub[], COLUMN(AR$1)-COLUMN($A$1), FALSE), VLOOKUP($A413,raw_ub[],COLUMN(AR$1)-COLUMN($A$1),FALSE))</f>
        <v>3.6099539516954861E-2</v>
      </c>
      <c r="AR413" s="72">
        <f>IF(VLOOKUP($A413,raw_ub[],COLUMN(AS$1)-COLUMN($A$1),FALSE)=0, VLOOKUP($D413, regions_ub[], COLUMN(AS$1)-COLUMN($A$1), FALSE), VLOOKUP($A413,raw_ub[],COLUMN(AS$1)-COLUMN($A$1),FALSE))</f>
        <v>5.1740890280052597E-2</v>
      </c>
      <c r="AS413" s="72">
        <f>IF(VLOOKUP($A413,raw_ub[],COLUMN(AT$1)-COLUMN($A$1),FALSE)=0, VLOOKUP($D413, regions_ub[], COLUMN(AT$1)-COLUMN($A$1), FALSE), VLOOKUP($A413,raw_ub[],COLUMN(AT$1)-COLUMN($A$1),FALSE))</f>
        <v>7.4551802772280434E-2</v>
      </c>
      <c r="AT413" s="82">
        <f>IF(VLOOKUP($A413,raw_ub[],COLUMN(AT$1),FALSE)=0, VLOOKUP($D413, regions_ub[], COLUMN(AT$1), FALSE), VLOOKUP($A413,raw_ub[],COLUMN(AT$1),FALSE))</f>
        <v>0.10912206247114017</v>
      </c>
      <c r="AU413" s="82">
        <f>IF(VLOOKUP($A413,raw_ub[],COLUMN(AU$1),FALSE)=0, VLOOKUP($D413, regions_ub[], COLUMN(AU$1), FALSE), VLOOKUP($A413,raw_ub[],COLUMN(AU$1),FALSE))</f>
        <v>0.15018365279891288</v>
      </c>
      <c r="AV413" s="82">
        <f>IF(VLOOKUP($A413,raw_ub[],COLUMN(AV$1),FALSE)=0, VLOOKUP($D413, regions_ub[], COLUMN(AV$1), FALSE), VLOOKUP($A413,raw_ub[],COLUMN(AV$1),FALSE))</f>
        <v>0.18241863022463142</v>
      </c>
      <c r="AW413" s="82">
        <f>IF(VLOOKUP($A413,raw_ub[],COLUMN(AW$1),FALSE)=0, VLOOKUP($D413, regions_ub[], COLUMN(AW$1), FALSE), VLOOKUP($A413,raw_ub[],COLUMN(AW$1),FALSE))</f>
        <v>0.19487425423675447</v>
      </c>
      <c r="AX413" s="82">
        <f>IF(VLOOKUP($A413,raw_ub[],COLUMN(AX$1),FALSE)=0, VLOOKUP($D413, regions_ub[], COLUMN(AX$1), FALSE), VLOOKUP($A413,raw_ub[],COLUMN(AX$1),FALSE))</f>
        <v>63.874650000000003</v>
      </c>
      <c r="AY413" t="str">
        <f t="shared" si="14"/>
        <v>Yes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6E65-A318-426E-89C1-E5E580497B76}">
  <dimension ref="A1:AY26"/>
  <sheetViews>
    <sheetView topLeftCell="P1" workbookViewId="0">
      <selection activeCell="A2" sqref="A2:A8"/>
    </sheetView>
  </sheetViews>
  <sheetFormatPr defaultRowHeight="15" x14ac:dyDescent="0.25"/>
  <cols>
    <col min="1" max="1" width="15.85546875" customWidth="1"/>
    <col min="4" max="4" width="13.7109375" customWidth="1"/>
    <col min="5" max="5" width="13.140625" customWidth="1"/>
    <col min="6" max="6" width="12.42578125" customWidth="1"/>
    <col min="7" max="7" width="11" customWidth="1"/>
    <col min="8" max="8" width="18" customWidth="1"/>
    <col min="9" max="9" width="14.28515625" bestFit="1" customWidth="1"/>
    <col min="10" max="10" width="11" customWidth="1"/>
    <col min="11" max="11" width="9.42578125" customWidth="1"/>
    <col min="12" max="13" width="11.42578125" customWidth="1"/>
    <col min="14" max="14" width="11.5703125" customWidth="1"/>
    <col min="15" max="16" width="10.5703125" bestFit="1" customWidth="1"/>
    <col min="25" max="25" width="10" customWidth="1"/>
    <col min="26" max="26" width="9.42578125" customWidth="1"/>
    <col min="29" max="31" width="12.5703125" bestFit="1" customWidth="1"/>
    <col min="32" max="48" width="9.85546875" customWidth="1"/>
    <col min="49" max="49" width="12.5703125" bestFit="1" customWidth="1"/>
    <col min="50" max="50" width="13.7109375" bestFit="1" customWidth="1"/>
    <col min="51" max="51" width="13.5703125" customWidth="1"/>
  </cols>
  <sheetData>
    <row r="1" spans="1:51" x14ac:dyDescent="0.25">
      <c r="A1" s="49" t="s">
        <v>144</v>
      </c>
      <c r="B1" s="49" t="s">
        <v>145</v>
      </c>
      <c r="C1" s="49" t="s">
        <v>146</v>
      </c>
      <c r="D1" s="49" t="s">
        <v>147</v>
      </c>
      <c r="E1" s="49" t="s">
        <v>148</v>
      </c>
      <c r="F1" s="49" t="s">
        <v>149</v>
      </c>
      <c r="G1" s="49" t="s">
        <v>150</v>
      </c>
      <c r="H1" s="49" t="s">
        <v>151</v>
      </c>
      <c r="I1" s="49" t="s">
        <v>152</v>
      </c>
      <c r="J1" s="49" t="s">
        <v>153</v>
      </c>
      <c r="K1" s="49" t="s">
        <v>154</v>
      </c>
      <c r="L1" s="49" t="s">
        <v>155</v>
      </c>
      <c r="M1" s="49" t="s">
        <v>156</v>
      </c>
      <c r="N1" s="49" t="s">
        <v>157</v>
      </c>
      <c r="O1" s="49" t="s">
        <v>158</v>
      </c>
      <c r="P1" s="49" t="s">
        <v>159</v>
      </c>
      <c r="Q1" s="49" t="s">
        <v>160</v>
      </c>
      <c r="R1" s="49" t="s">
        <v>161</v>
      </c>
      <c r="S1" s="49" t="s">
        <v>162</v>
      </c>
      <c r="T1" s="49" t="s">
        <v>163</v>
      </c>
      <c r="U1" s="49" t="s">
        <v>164</v>
      </c>
      <c r="V1" s="49" t="s">
        <v>165</v>
      </c>
      <c r="W1" s="49" t="s">
        <v>166</v>
      </c>
      <c r="X1" s="49" t="s">
        <v>167</v>
      </c>
      <c r="Y1" s="49" t="s">
        <v>168</v>
      </c>
      <c r="Z1" s="49" t="s">
        <v>169</v>
      </c>
      <c r="AA1" s="49" t="s">
        <v>170</v>
      </c>
      <c r="AB1" s="49" t="s">
        <v>171</v>
      </c>
      <c r="AC1" s="49" t="s">
        <v>172</v>
      </c>
      <c r="AD1" s="49" t="s">
        <v>173</v>
      </c>
      <c r="AE1" s="49" t="s">
        <v>174</v>
      </c>
      <c r="AF1" s="49" t="s">
        <v>175</v>
      </c>
      <c r="AG1" s="49" t="s">
        <v>176</v>
      </c>
      <c r="AH1" s="49" t="s">
        <v>177</v>
      </c>
      <c r="AI1" s="49" t="s">
        <v>178</v>
      </c>
      <c r="AJ1" s="49" t="s">
        <v>179</v>
      </c>
      <c r="AK1" s="49" t="s">
        <v>180</v>
      </c>
      <c r="AL1" s="49" t="s">
        <v>181</v>
      </c>
      <c r="AM1" s="49" t="s">
        <v>182</v>
      </c>
      <c r="AN1" s="49" t="s">
        <v>183</v>
      </c>
      <c r="AO1" s="49" t="s">
        <v>184</v>
      </c>
      <c r="AP1" s="49" t="s">
        <v>185</v>
      </c>
      <c r="AQ1" s="49" t="s">
        <v>186</v>
      </c>
      <c r="AR1" s="49" t="s">
        <v>187</v>
      </c>
      <c r="AS1" s="49" t="s">
        <v>188</v>
      </c>
      <c r="AT1" s="49" t="s">
        <v>189</v>
      </c>
      <c r="AU1" s="49" t="s">
        <v>190</v>
      </c>
      <c r="AV1" s="49" t="s">
        <v>191</v>
      </c>
      <c r="AW1" s="49" t="s">
        <v>192</v>
      </c>
      <c r="AX1" s="51" t="s">
        <v>193</v>
      </c>
      <c r="AY1" s="50" t="s">
        <v>504</v>
      </c>
    </row>
    <row r="2" spans="1:51" x14ac:dyDescent="0.25">
      <c r="A2" s="65" t="s">
        <v>207</v>
      </c>
      <c r="H2" s="52" cm="1">
        <f t="array" ref="H2">SUMPRODUCT((raw[[who_region]:[who_region]]=$A2)*raw[pop]*(LEN(raw[bd_cov])&gt;interactive!$C$6))</f>
        <v>120796467</v>
      </c>
      <c r="I2" s="52" cm="1">
        <f t="array" ref="I2">SUMPRODUCT((raw[[who_region]:[who_region]]=$A2)*raw[births]*(LEN(raw[bd_cov])&gt;interactive!$C$6))</f>
        <v>3810658.4574930007</v>
      </c>
      <c r="J2" s="68" cm="1">
        <f t="array" ref="J2">SUMPRODUCT((raw[[who_region]:[who_region]]=$A2)*raw[[births]:[births]]*raw[fac_birth]*(LEN(raw[fac_birth])&gt;1)*(LEN(raw[[bd_cov]:[bd_cov]])&gt;interactive!$C$6))/SUMPRODUCT((raw[[who_region]:[who_region]]=$A2)*raw[[births]:[births]]*(LEN(raw[fac_birth])&gt;1)*(LEN(raw[[bd_cov]:[bd_cov]])&gt;interactive!$C$6))</f>
        <v>0.83764780781204951</v>
      </c>
      <c r="K2" s="68" cm="1">
        <f t="array" ref="K2">SUMPRODUCT((raw[[who_region]:[who_region]]=$A2)*raw[[births]:[births]]*raw[bd_cov]*(LEN(raw[bd_cov])&gt;1)*(LEN(raw[[bd_cov]:[bd_cov]])&gt;interactive!$C$6))/SUMPRODUCT((raw[[who_region]:[who_region]]=$A2)*raw[[births]:[births]]*(LEN(raw[bd_cov])&gt;1)*(LEN(raw[[bd_cov]:[bd_cov]])&gt;interactive!$C$6))</f>
        <v>0.77552167653675064</v>
      </c>
      <c r="L2" s="68" cm="1">
        <f t="array" ref="L2">SUMPRODUCT((raw[[who_region]:[who_region]]=$A2)*raw[[births]:[births]]*raw[hbv3_cov]*(LEN(raw[hbv3_cov])&gt;1)*(LEN(raw[[bd_cov]:[bd_cov]])&gt;interactive!$C$6))/SUMPRODUCT((raw[[who_region]:[who_region]]=$A2)*raw[[births]:[births]]*(LEN(raw[hbv3_cov])&gt;1)*(LEN(raw[[bd_cov]:[bd_cov]])&gt;interactive!$C$6))</f>
        <v>0.8493283307294418</v>
      </c>
      <c r="M2" s="68" cm="1">
        <f t="array" ref="M2">SUMPRODUCT((raw[[who_region]:[who_region]]=$A2)*raw[[births]:[births]]*raw[hbv_prev]*(LEN(raw[hbv_prev])&gt;1)*(LEN(raw[[bd_cov]:[bd_cov]])&gt;interactive!$C$6))/SUMPRODUCT((raw[[who_region]:[who_region]]=$A2)*raw[[births]:[births]]*(LEN(raw[hbv_prev])&gt;1)*(LEN(raw[[bd_cov]:[bd_cov]])&gt;interactive!$C$6))</f>
        <v>6.5306866124666282E-2</v>
      </c>
      <c r="N2" s="68" cm="1">
        <f t="array" ref="N2">SUMPRODUCT((raw[[who_region]:[who_region]]=$A2)*raw[[births]:[births]]*raw[hbe_prev]*(LEN(raw[hbe_prev])&gt;1)*(LEN(raw[[bd_cov]:[bd_cov]])&gt;interactive!$C$6))/SUMPRODUCT((raw[[who_region]:[who_region]]=$A2)*raw[[births]:[births]]*(LEN(raw[hbe_prev])&gt;1)*(LEN(raw[[bd_cov]:[bd_cov]])&gt;interactive!$C$6))</f>
        <v>0.27703395472131281</v>
      </c>
      <c r="O2" s="68" cm="1">
        <f t="array" ref="O2">SUMPRODUCT((raw[[who_region]:[who_region]]=$A2)*raw[[births]:[births]]*raw[epos]*(LEN(raw[epos])&gt;1)*(LEN(raw[[bd_cov]:[bd_cov]])&gt;interactive!$C$6))/SUMPRODUCT((raw[[who_region]:[who_region]]=$A2)*raw[[births]:[births]]*(LEN(raw[epos])&gt;1)*(LEN(raw[[bd_cov]:[bd_cov]])&gt;interactive!$C$6))</f>
        <v>0.50147781793685431</v>
      </c>
      <c r="P2" s="68" cm="1">
        <f t="array" ref="P2">SUMPRODUCT((raw[[who_region]:[who_region]]=$A2)*raw[[births]:[births]]*raw[eneg]*(LEN(raw[eneg])&gt;1)*(LEN(raw[[bd_cov]:[bd_cov]])&gt;interactive!$C$6))/SUMPRODUCT((raw[[who_region]:[who_region]]=$A2)*raw[[births]:[births]]*(LEN(raw[eneg])&gt;1)*(LEN(raw[[bd_cov]:[bd_cov]])&gt;interactive!$C$6))</f>
        <v>8.4083172369257789E-2</v>
      </c>
      <c r="Q2" s="69" cm="1">
        <f t="array" ref="Q2">SUMPRODUCT((raw[[who_region]:[who_region]]=$A2)*raw[[births]:[births]]*raw[c_diag]*(LEN(raw[c_diag])&gt;1)*(LEN(raw[[bd_cov]:[bd_cov]])&gt;interactive!$C$6))/SUMPRODUCT((raw[[who_region]:[who_region]]=$A2)*raw[[births]:[births]]*(LEN(raw[c_diag])&gt;1)*(LEN(raw[[bd_cov]:[bd_cov]])&gt;interactive!$C$6))</f>
        <v>4.604183740861723</v>
      </c>
      <c r="R2" s="69" cm="1">
        <f t="array" ref="R2">SUMPRODUCT((raw[[who_region]:[who_region]]=$A2)*raw[[births]:[births]]*raw[c_C]*(LEN(raw[c_C])&gt;1)*(LEN(raw[[bd_cov]:[bd_cov]])&gt;interactive!$C$6))/SUMPRODUCT((raw[[who_region]:[who_region]]=$A2)*raw[[births]:[births]]*(LEN(raw[c_C])&gt;1)*(LEN(raw[[bd_cov]:[bd_cov]])&gt;interactive!$C$6))</f>
        <v>26.929563740861724</v>
      </c>
      <c r="S2" s="69" cm="1">
        <f t="array" ref="S2">SUMPRODUCT((raw[[who_region]:[who_region]]=$A2)*raw[[births]:[births]]*raw[c_CC]*(LEN(raw[c_CC])&gt;1)*(LEN(raw[[bd_cov]:[bd_cov]])&gt;interactive!$C$6))/SUMPRODUCT((raw[[who_region]:[who_region]]=$A2)*raw[[births]:[births]]*(LEN(raw[c_CC])&gt;1)*(LEN(raw[[bd_cov]:[bd_cov]])&gt;interactive!$C$6))</f>
        <v>62.781228115348881</v>
      </c>
      <c r="T2" s="69" cm="1">
        <f t="array" ref="T2">SUMPRODUCT((raw[[who_region]:[who_region]]=$A2)*raw[[births]:[births]]*raw[c_DC]*(LEN(raw[c_DC])&gt;1)*(LEN(raw[[bd_cov]:[bd_cov]])&gt;interactive!$C$6))/SUMPRODUCT((raw[[who_region]:[who_region]]=$A2)*raw[[births]:[births]]*(LEN(raw[c_DC])&gt;1)*(LEN(raw[[bd_cov]:[bd_cov]])&gt;interactive!$C$6))</f>
        <v>66.23277763798994</v>
      </c>
      <c r="U2" s="69" cm="1">
        <f t="array" ref="U2">SUMPRODUCT((raw[[who_region]:[who_region]]=$A2)*raw[[births]:[births]]*raw[c_HCC]*(LEN(raw[c_HCC])&gt;1)*(LEN(raw[[bd_cov]:[bd_cov]])&gt;interactive!$C$6))/SUMPRODUCT((raw[[who_region]:[who_region]]=$A2)*raw[[births]:[births]]*(LEN(raw[c_HCC])&gt;1)*(LEN(raw[[bd_cov]:[bd_cov]])&gt;interactive!$C$6))</f>
        <v>64.647899053655777</v>
      </c>
      <c r="V2" s="69" cm="1">
        <f t="array" ref="V2">SUMPRODUCT((raw[[who_region]:[who_region]]=$A2)*raw[[births]:[births]]*raw[bl1_f]*(LEN(raw[bl1_f])&gt;1)*(LEN(raw[[bd_cov]:[bd_cov]])&gt;interactive!$C$6))/SUMPRODUCT((raw[[who_region]:[who_region]]=$A2)*raw[[births]:[births]]*(LEN(raw[bl1_f])&gt;1)*(LEN(raw[[bd_cov]:[bd_cov]])&gt;interactive!$C$6))</f>
        <v>2.7548182582235854</v>
      </c>
      <c r="W2" s="69" cm="1">
        <f t="array" ref="W2">SUMPRODUCT((raw[[who_region]:[who_region]]=$A2)*raw[[births]:[births]]*raw[bl1_c]*(LEN(raw[bl1_c])&gt;1)*(LEN(raw[[bd_cov]:[bd_cov]])&gt;interactive!$C$6))/SUMPRODUCT((raw[[who_region]:[who_region]]=$A2)*raw[[births]:[births]]*(LEN(raw[bl1_c])&gt;1)*(LEN(raw[[bd_cov]:[bd_cov]])&gt;interactive!$C$6))</f>
        <v>6.3488985747096356</v>
      </c>
      <c r="X2" s="69" cm="1">
        <f t="array" ref="X2">SUMPRODUCT((raw[[who_region]:[who_region]]=$A2)*raw[[births]:[births]]*raw[map_f]*(LEN(raw[map_f])&gt;1)*(LEN(raw[[bd_cov]:[bd_cov]])&gt;interactive!$C$6))/SUMPRODUCT((raw[[who_region]:[who_region]]=$A2)*raw[[births]:[births]]*(LEN(raw[map_f])&gt;1)*(LEN(raw[[bd_cov]:[bd_cov]])&gt;interactive!$C$6))</f>
        <v>2.3410127041966851</v>
      </c>
      <c r="Y2" s="69" cm="1">
        <f t="array" ref="Y2">SUMPRODUCT((raw[[who_region]:[who_region]]=$A2)*raw[[births]:[births]]*raw[map_cq]*(LEN(raw[map_cq])&gt;1)*(LEN(raw[[bd_cov]:[bd_cov]])&gt;interactive!$C$6))/SUMPRODUCT((raw[[who_region]:[who_region]]=$A2)*raw[[births]:[births]]*(LEN(raw[map_cq])&gt;1)*(LEN(raw[[bd_cov]:[bd_cov]])&gt;interactive!$C$6))</f>
        <v>5.9350930206827357</v>
      </c>
      <c r="Z2" s="69" cm="1">
        <f t="array" ref="Z2">SUMPRODUCT((raw[[who_region]:[who_region]]=$A2)*raw[[births]:[births]]*raw[map_cl]*(LEN(raw[map_cl])&gt;1)*(LEN(raw[[bd_cov]:[bd_cov]])&gt;interactive!$C$6))/SUMPRODUCT((raw[[who_region]:[who_region]]=$A2)*raw[[births]:[births]]*(LEN(raw[map_cl])&gt;1)*(LEN(raw[[bd_cov]:[bd_cov]])&gt;interactive!$C$6))</f>
        <v>5.9297665971546518</v>
      </c>
      <c r="AA2" s="69" cm="1">
        <f t="array" ref="AA2">SUMPRODUCT((raw[[who_region]:[who_region]]=$A2)*raw[[births]:[births]]*raw[ctc_f]*(LEN(raw[ctc_f])&gt;1)*(LEN(raw[[bd_cov]:[bd_cov]])&gt;interactive!$C$6))/SUMPRODUCT((raw[[who_region]:[who_region]]=$A2)*raw[[births]:[births]]*(LEN(raw[ctc_f])&gt;1)*(LEN(raw[[bd_cov]:[bd_cov]])&gt;interactive!$C$6))</f>
        <v>2.961108860587677</v>
      </c>
      <c r="AB2" s="69" cm="1">
        <f t="array" ref="AB2">SUMPRODUCT((raw[[who_region]:[who_region]]=$A2)*raw[[births]:[births]]*raw[ctc_c]*(LEN(raw[ctc_c])&gt;1)*(LEN(raw[[bd_cov]:[bd_cov]])&gt;interactive!$C$6))/SUMPRODUCT((raw[[who_region]:[who_region]]=$A2)*raw[[births]:[births]]*(LEN(raw[ctc_c])&gt;1)*(LEN(raw[[bd_cov]:[bd_cov]])&gt;interactive!$C$6))</f>
        <v>6.5551891770737276</v>
      </c>
      <c r="AC2" s="71" cm="1">
        <f t="array" ref="AC2">SUMPRODUCT((raw[[who_region]:[who_region]]=$A2)*raw[[births]:[births]]*raw[m_01]*(LEN(raw[m_01])&gt;1)*(LEN(raw[[bd_cov]:[bd_cov]])&gt;interactive!$C$6))/SUMPRODUCT((raw[[who_region]:[who_region]]=$A2)*raw[[births]:[births]]*(LEN(raw[m_01])&gt;1)*(LEN(raw[[bd_cov]:[bd_cov]])&gt;interactive!$C$6))</f>
        <v>4.1867253877098207E-2</v>
      </c>
      <c r="AD2" s="71" cm="1">
        <f t="array" ref="AD2">SUMPRODUCT((raw[[who_region]:[who_region]]=$A2)*raw[[births]:[births]]*raw[m_14]*(LEN(raw[m_14])&gt;1)*(LEN(raw[[bd_cov]:[bd_cov]])&gt;interactive!$C$6))/SUMPRODUCT((raw[[who_region]:[who_region]]=$A2)*raw[[births]:[births]]*(LEN(raw[m_14])&gt;1)*(LEN(raw[[bd_cov]:[bd_cov]])&gt;interactive!$C$6))</f>
        <v>4.2955107023184957E-3</v>
      </c>
      <c r="AE2" s="71" cm="1">
        <f t="array" ref="AE2">SUMPRODUCT((raw[[who_region]:[who_region]]=$A2)*raw[[births]:[births]]*raw[m_59]*(LEN(raw[m_59])&gt;1)*(LEN(raw[[bd_cov]:[bd_cov]])&gt;interactive!$C$6))/SUMPRODUCT((raw[[who_region]:[who_region]]=$A2)*raw[[births]:[births]]*(LEN(raw[m_59])&gt;1)*(LEN(raw[[bd_cov]:[bd_cov]])&gt;interactive!$C$6))</f>
        <v>1.5444034457843701E-3</v>
      </c>
      <c r="AF2" s="71" cm="1">
        <f t="array" ref="AF2">SUMPRODUCT((raw[[who_region]:[who_region]]=$A2)*raw[[births]:[births]]*raw[m_1014]*(LEN(raw[m_1014])&gt;1)*(LEN(raw[[bd_cov]:[bd_cov]])&gt;interactive!$C$6))/SUMPRODUCT((raw[[who_region]:[who_region]]=$A2)*raw[[births]:[births]]*(LEN(raw[m_1014])&gt;1)*(LEN(raw[[bd_cov]:[bd_cov]])&gt;interactive!$C$6))</f>
        <v>1.0998462023613749E-3</v>
      </c>
      <c r="AG2" s="71" cm="1">
        <f t="array" ref="AG2">SUMPRODUCT((raw[[who_region]:[who_region]]=$A2)*raw[[births]:[births]]*raw[m_1519]*(LEN(raw[m_1519])&gt;1)*(LEN(raw[[bd_cov]:[bd_cov]])&gt;interactive!$C$6))/SUMPRODUCT((raw[[who_region]:[who_region]]=$A2)*raw[[births]:[births]]*(LEN(raw[m_1519])&gt;1)*(LEN(raw[[bd_cov]:[bd_cov]])&gt;interactive!$C$6))</f>
        <v>1.6445503665938124E-3</v>
      </c>
      <c r="AH2" s="71" cm="1">
        <f t="array" ref="AH2">SUMPRODUCT((raw[[who_region]:[who_region]]=$A2)*raw[[births]:[births]]*raw[m_2024]*(LEN(raw[m_2024])&gt;1)*(LEN(raw[[bd_cov]:[bd_cov]])&gt;interactive!$C$6))/SUMPRODUCT((raw[[who_region]:[who_region]]=$A2)*raw[[births]:[births]]*(LEN(raw[m_2024])&gt;1)*(LEN(raw[[bd_cov]:[bd_cov]])&gt;interactive!$C$6))</f>
        <v>2.4035643848720582E-3</v>
      </c>
      <c r="AI2" s="71" cm="1">
        <f t="array" ref="AI2">SUMPRODUCT((raw[[who_region]:[who_region]]=$A2)*raw[[births]:[births]]*raw[m_2529]*(LEN(raw[m_2529])&gt;1)*(LEN(raw[[bd_cov]:[bd_cov]])&gt;interactive!$C$6))/SUMPRODUCT((raw[[who_region]:[who_region]]=$A2)*raw[[births]:[births]]*(LEN(raw[m_2529])&gt;1)*(LEN(raw[[bd_cov]:[bd_cov]])&gt;interactive!$C$6))</f>
        <v>2.9875284033966045E-3</v>
      </c>
      <c r="AJ2" s="71" cm="1">
        <f t="array" ref="AJ2">SUMPRODUCT((raw[[who_region]:[who_region]]=$A2)*raw[[births]:[births]]*raw[m_3034]*(LEN(raw[m_3034])&gt;1)*(LEN(raw[[bd_cov]:[bd_cov]])&gt;interactive!$C$6))/SUMPRODUCT((raw[[who_region]:[who_region]]=$A2)*raw[[births]:[births]]*(LEN(raw[m_3034])&gt;1)*(LEN(raw[[bd_cov]:[bd_cov]])&gt;interactive!$C$6))</f>
        <v>3.6450854262547582E-3</v>
      </c>
      <c r="AK2" s="71" cm="1">
        <f t="array" ref="AK2">SUMPRODUCT((raw[[who_region]:[who_region]]=$A2)*raw[[births]:[births]]*raw[m_3539]*(LEN(raw[m_3539])&gt;1)*(LEN(raw[[bd_cov]:[bd_cov]])&gt;interactive!$C$6))/SUMPRODUCT((raw[[who_region]:[who_region]]=$A2)*raw[[births]:[births]]*(LEN(raw[m_3539])&gt;1)*(LEN(raw[[bd_cov]:[bd_cov]])&gt;interactive!$C$6))</f>
        <v>4.6019930402342044E-3</v>
      </c>
      <c r="AL2" s="71" cm="1">
        <f t="array" ref="AL2">SUMPRODUCT((raw[[who_region]:[who_region]]=$A2)*raw[[births]:[births]]*raw[m_4044]*(LEN(raw[m_4044])&gt;1)*(LEN(raw[[bd_cov]:[bd_cov]])&gt;interactive!$C$6))/SUMPRODUCT((raw[[who_region]:[who_region]]=$A2)*raw[[births]:[births]]*(LEN(raw[m_4044])&gt;1)*(LEN(raw[[bd_cov]:[bd_cov]])&gt;interactive!$C$6))</f>
        <v>5.7233830101179484E-3</v>
      </c>
      <c r="AM2" s="71" cm="1">
        <f t="array" ref="AM2">SUMPRODUCT((raw[[who_region]:[who_region]]=$A2)*raw[[births]:[births]]*raw[m_4549]*(LEN(raw[m_4549])&gt;1)*(LEN(raw[[bd_cov]:[bd_cov]])&gt;interactive!$C$6))/SUMPRODUCT((raw[[who_region]:[who_region]]=$A2)*raw[[births]:[births]]*(LEN(raw[m_4549])&gt;1)*(LEN(raw[[bd_cov]:[bd_cov]])&gt;interactive!$C$6))</f>
        <v>7.1526895960450912E-3</v>
      </c>
      <c r="AN2" s="71" cm="1">
        <f t="array" ref="AN2">SUMPRODUCT((raw[[who_region]:[who_region]]=$A2)*raw[[births]:[births]]*raw[m_5054]*(LEN(raw[m_5054])&gt;1)*(LEN(raw[[bd_cov]:[bd_cov]])&gt;interactive!$C$6))/SUMPRODUCT((raw[[who_region]:[who_region]]=$A2)*raw[[births]:[births]]*(LEN(raw[m_5054])&gt;1)*(LEN(raw[[bd_cov]:[bd_cov]])&gt;interactive!$C$6))</f>
        <v>9.6647789044919073E-3</v>
      </c>
      <c r="AO2" s="71" cm="1">
        <f t="array" ref="AO2">SUMPRODUCT((raw[[who_region]:[who_region]]=$A2)*raw[[births]:[births]]*raw[m_5559]*(LEN(raw[m_5559])&gt;1)*(LEN(raw[[bd_cov]:[bd_cov]])&gt;interactive!$C$6))/SUMPRODUCT((raw[[who_region]:[who_region]]=$A2)*raw[[births]:[births]]*(LEN(raw[m_5559])&gt;1)*(LEN(raw[[bd_cov]:[bd_cov]])&gt;interactive!$C$6))</f>
        <v>1.2874604089756121E-2</v>
      </c>
      <c r="AP2" s="71" cm="1">
        <f t="array" ref="AP2">SUMPRODUCT((raw[[who_region]:[who_region]]=$A2)*raw[[births]:[births]]*raw[m_6064]*(LEN(raw[m_6064])&gt;1)*(LEN(raw[[bd_cov]:[bd_cov]])&gt;interactive!$C$6))/SUMPRODUCT((raw[[who_region]:[who_region]]=$A2)*raw[[births]:[births]]*(LEN(raw[m_6064])&gt;1)*(LEN(raw[[bd_cov]:[bd_cov]])&gt;interactive!$C$6))</f>
        <v>1.880635128269445E-2</v>
      </c>
      <c r="AQ2" s="71" cm="1">
        <f t="array" ref="AQ2">SUMPRODUCT((raw[[who_region]:[who_region]]=$A2)*raw[[births]:[births]]*raw[m_6569]*(LEN(raw[m_6569])&gt;1)*(LEN(raw[[bd_cov]:[bd_cov]])&gt;interactive!$C$6))/SUMPRODUCT((raw[[who_region]:[who_region]]=$A2)*raw[[births]:[births]]*(LEN(raw[m_6569])&gt;1)*(LEN(raw[[bd_cov]:[bd_cov]])&gt;interactive!$C$6))</f>
        <v>2.8041557499646052E-2</v>
      </c>
      <c r="AR2" s="71" cm="1">
        <f t="array" ref="AR2">SUMPRODUCT((raw[[who_region]:[who_region]]=$A2)*raw[[births]:[births]]*raw[m_7074]*(LEN(raw[m_7074])&gt;1)*(LEN(raw[[bd_cov]:[bd_cov]])&gt;interactive!$C$6))/SUMPRODUCT((raw[[who_region]:[who_region]]=$A2)*raw[[births]:[births]]*(LEN(raw[m_7074])&gt;1)*(LEN(raw[[bd_cov]:[bd_cov]])&gt;interactive!$C$6))</f>
        <v>4.3077370736483128E-2</v>
      </c>
      <c r="AS2" s="71" cm="1">
        <f t="array" ref="AS2">SUMPRODUCT((raw[[who_region]:[who_region]]=$A2)*raw[[births]:[births]]*raw[m_7079]*(LEN(raw[m_7079])&gt;1)*(LEN(raw[[bd_cov]:[bd_cov]])&gt;interactive!$C$6))/SUMPRODUCT((raw[[who_region]:[who_region]]=$A2)*raw[[births]:[births]]*(LEN(raw[m_7079])&gt;1)*(LEN(raw[[bd_cov]:[bd_cov]])&gt;interactive!$C$6))</f>
        <v>6.5729320997645016E-2</v>
      </c>
      <c r="AT2" s="71" cm="1">
        <f t="array" ref="AT2">SUMPRODUCT((raw[[who_region]:[who_region]]=$A2)*raw[[births]:[births]]*raw[m_8084]*(LEN(raw[m_8084])&gt;1)*(LEN(raw[[bd_cov]:[bd_cov]])&gt;interactive!$C$6))/SUMPRODUCT((raw[[who_region]:[who_region]]=$A2)*raw[[births]:[births]]*(LEN(raw[m_8084])&gt;1)*(LEN(raw[[bd_cov]:[bd_cov]])&gt;interactive!$C$6))</f>
        <v>9.7703239467542904E-2</v>
      </c>
      <c r="AU2" s="71" cm="1">
        <f t="array" ref="AU2">SUMPRODUCT((raw[[who_region]:[who_region]]=$A2)*raw[[births]:[births]]*raw[m_8589]*(LEN(raw[m_8589])&gt;1)*(LEN(raw[[bd_cov]:[bd_cov]])&gt;interactive!$C$6))/SUMPRODUCT((raw[[who_region]:[who_region]]=$A2)*raw[[births]:[births]]*(LEN(raw[m_8589])&gt;1)*(LEN(raw[[bd_cov]:[bd_cov]])&gt;interactive!$C$6))</f>
        <v>0.13344554121294849</v>
      </c>
      <c r="AV2" s="71" cm="1">
        <f t="array" ref="AV2">SUMPRODUCT((raw[[who_region]:[who_region]]=$A2)*raw[[births]:[births]]*raw[m_9094]*(LEN(raw[m_9094])&gt;1)*(LEN(raw[[bd_cov]:[bd_cov]])&gt;interactive!$C$6))/SUMPRODUCT((raw[[who_region]:[who_region]]=$A2)*raw[[births]:[births]]*(LEN(raw[m_9094])&gt;1)*(LEN(raw[[bd_cov]:[bd_cov]])&gt;interactive!$C$6))</f>
        <v>0.16333753170175155</v>
      </c>
      <c r="AW2" s="71" cm="1">
        <f t="array" ref="AW2">SUMPRODUCT((raw[[who_region]:[who_region]]=$A2)*raw[[births]:[births]]*raw[m_95+]*(LEN(raw[m_95+])&gt;1)*(LEN(raw[[bd_cov]:[bd_cov]])&gt;interactive!$C$6))/SUMPRODUCT((raw[[who_region]:[who_region]]=$A2)*raw[[births]:[births]]*(LEN(raw[m_95+])&gt;1)*(LEN(raw[[bd_cov]:[bd_cov]])&gt;interactive!$C$6))</f>
        <v>0.17945336498155598</v>
      </c>
      <c r="AX2" s="71" cm="1">
        <f t="array" ref="AX2">SUMPRODUCT((raw[[who_region]:[who_region]]=$A2)*raw[[births]:[births]]*raw[av_life]*(LEN(raw[av_life])&gt;1)*(LEN(raw[[bd_cov]:[bd_cov]])&gt;interactive!$C$6))/SUMPRODUCT((raw[[who_region]:[who_region]]=$A2)*raw[[births]:[births]]*(LEN(raw[av_life])&gt;1)*(LEN(raw[[bd_cov]:[bd_cov]])&gt;interactive!$C$6))</f>
        <v>66.004184888071109</v>
      </c>
    </row>
    <row r="3" spans="1:51" x14ac:dyDescent="0.25">
      <c r="A3" s="66" t="s">
        <v>215</v>
      </c>
      <c r="H3" s="52" cm="1">
        <f t="array" ref="H3">SUMPRODUCT((raw[[who_region]:[who_region]]=$A3)*raw[pop]*(LEN(raw[bd_cov])&gt;interactive!$C$6))</f>
        <v>580446582</v>
      </c>
      <c r="I3" s="52" cm="1">
        <f t="array" ref="I3">SUMPRODUCT((raw[[who_region]:[who_region]]=$A3)*raw[births]*(LEN(raw[bd_cov])&gt;interactive!$C$6))</f>
        <v>9497472.6159090009</v>
      </c>
      <c r="J3" s="68" cm="1">
        <f t="array" ref="J3">SUMPRODUCT((raw[[who_region]:[who_region]]=$A3)*raw[[births]:[births]]*raw[fac_birth]*(LEN(raw[fac_birth])&gt;1)*(LEN(raw[[bd_cov]:[bd_cov]])&gt;interactive!$C$6))/SUMPRODUCT((raw[[who_region]:[who_region]]=$A3)*raw[[births]:[births]]*(LEN(raw[fac_birth])&gt;1)*(LEN(raw[[bd_cov]:[bd_cov]])&gt;interactive!$C$6))</f>
        <v>0.95826653638323966</v>
      </c>
      <c r="K3" s="68" cm="1">
        <f t="array" ref="K3">SUMPRODUCT((raw[[who_region]:[who_region]]=$A3)*raw[[births]:[births]]*raw[bd_cov]*(LEN(raw[bd_cov])&gt;1)*(LEN(raw[[bd_cov]:[bd_cov]])&gt;interactive!$C$6))/SUMPRODUCT((raw[[who_region]:[who_region]]=$A3)*raw[[births]:[births]]*(LEN(raw[bd_cov])&gt;1)*(LEN(raw[[bd_cov]:[bd_cov]])&gt;interactive!$C$6))</f>
        <v>0.63485768925204789</v>
      </c>
      <c r="L3" s="68" cm="1">
        <f t="array" ref="L3">SUMPRODUCT((raw[[who_region]:[who_region]]=$A3)*raw[[births]:[births]]*raw[hbv3_cov]*(LEN(raw[hbv3_cov])&gt;1)*(LEN(raw[[bd_cov]:[bd_cov]])&gt;interactive!$C$6))/SUMPRODUCT((raw[[who_region]:[who_region]]=$A3)*raw[[births]:[births]]*(LEN(raw[hbv3_cov])&gt;1)*(LEN(raw[[bd_cov]:[bd_cov]])&gt;interactive!$C$6))</f>
        <v>0.77406604142068947</v>
      </c>
      <c r="M3" s="68" cm="1">
        <f t="array" ref="M3">SUMPRODUCT((raw[[who_region]:[who_region]]=$A3)*raw[[births]:[births]]*raw[hbv_prev]*(LEN(raw[hbv_prev])&gt;1)*(LEN(raw[[bd_cov]:[bd_cov]])&gt;interactive!$C$6))/SUMPRODUCT((raw[[who_region]:[who_region]]=$A3)*raw[[births]:[births]]*(LEN(raw[hbv_prev])&gt;1)*(LEN(raw[[bd_cov]:[bd_cov]])&gt;interactive!$C$6))</f>
        <v>7.8341659667372082E-3</v>
      </c>
      <c r="N3" s="68" cm="1">
        <f t="array" ref="N3">SUMPRODUCT((raw[[who_region]:[who_region]]=$A3)*raw[[births]:[births]]*raw[hbe_prev]*(LEN(raw[hbe_prev])&gt;1)*(LEN(raw[[bd_cov]:[bd_cov]])&gt;interactive!$C$6))/SUMPRODUCT((raw[[who_region]:[who_region]]=$A3)*raw[[births]:[births]]*(LEN(raw[hbe_prev])&gt;1)*(LEN(raw[[bd_cov]:[bd_cov]])&gt;interactive!$C$6))</f>
        <v>0.31158254499930188</v>
      </c>
      <c r="O3" s="68" cm="1">
        <f t="array" ref="O3">SUMPRODUCT((raw[[who_region]:[who_region]]=$A3)*raw[[births]:[births]]*raw[epos]*(LEN(raw[epos])&gt;1)*(LEN(raw[[bd_cov]:[bd_cov]])&gt;interactive!$C$6))/SUMPRODUCT((raw[[who_region]:[who_region]]=$A3)*raw[[births]:[births]]*(LEN(raw[epos])&gt;1)*(LEN(raw[[bd_cov]:[bd_cov]])&gt;interactive!$C$6))</f>
        <v>0.80000000000000027</v>
      </c>
      <c r="P3" s="68" cm="1">
        <f t="array" ref="P3">SUMPRODUCT((raw[[who_region]:[who_region]]=$A3)*raw[[births]:[births]]*raw[eneg]*(LEN(raw[eneg])&gt;1)*(LEN(raw[[bd_cov]:[bd_cov]])&gt;interactive!$C$6))/SUMPRODUCT((raw[[who_region]:[who_region]]=$A3)*raw[[births]:[births]]*(LEN(raw[eneg])&gt;1)*(LEN(raw[[bd_cov]:[bd_cov]])&gt;interactive!$C$6))</f>
        <v>0.17499999999999999</v>
      </c>
      <c r="Q3" s="69" cm="1">
        <f t="array" ref="Q3">SUMPRODUCT((raw[[who_region]:[who_region]]=$A3)*raw[[births]:[births]]*raw[c_diag]*(LEN(raw[c_diag])&gt;1)*(LEN(raw[[bd_cov]:[bd_cov]])&gt;interactive!$C$6))/SUMPRODUCT((raw[[who_region]:[who_region]]=$A3)*raw[[births]:[births]]*(LEN(raw[c_diag])&gt;1)*(LEN(raw[[bd_cov]:[bd_cov]])&gt;interactive!$C$6))</f>
        <v>11.558936548759485</v>
      </c>
      <c r="R3" s="69" cm="1">
        <f t="array" ref="R3">SUMPRODUCT((raw[[who_region]:[who_region]]=$A3)*raw[[births]:[births]]*raw[c_C]*(LEN(raw[c_C])&gt;1)*(LEN(raw[[bd_cov]:[bd_cov]])&gt;interactive!$C$6))/SUMPRODUCT((raw[[who_region]:[who_region]]=$A3)*raw[[births]:[births]]*(LEN(raw[c_C])&gt;1)*(LEN(raw[[bd_cov]:[bd_cov]])&gt;interactive!$C$6))</f>
        <v>33.884316548759486</v>
      </c>
      <c r="S3" s="69" cm="1">
        <f t="array" ref="S3">SUMPRODUCT((raw[[who_region]:[who_region]]=$A3)*raw[[births]:[births]]*raw[c_CC]*(LEN(raw[c_CC])&gt;1)*(LEN(raw[[bd_cov]:[bd_cov]])&gt;interactive!$C$6))/SUMPRODUCT((raw[[who_region]:[who_region]]=$A3)*raw[[births]:[births]]*(LEN(raw[c_CC])&gt;1)*(LEN(raw[[bd_cov]:[bd_cov]])&gt;interactive!$C$6))</f>
        <v>95.358428791394104</v>
      </c>
      <c r="T3" s="69" cm="1">
        <f t="array" ref="T3">SUMPRODUCT((raw[[who_region]:[who_region]]=$A3)*raw[[births]:[births]]*raw[c_DC]*(LEN(raw[c_DC])&gt;1)*(LEN(raw[[bd_cov]:[bd_cov]])&gt;interactive!$C$6))/SUMPRODUCT((raw[[who_region]:[who_region]]=$A3)*raw[[births]:[births]]*(LEN(raw[c_DC])&gt;1)*(LEN(raw[[bd_cov]:[bd_cov]])&gt;interactive!$C$6))</f>
        <v>112.14556689545188</v>
      </c>
      <c r="U3" s="69" cm="1">
        <f t="array" ref="U3">SUMPRODUCT((raw[[who_region]:[who_region]]=$A3)*raw[[births]:[births]]*raw[c_HCC]*(LEN(raw[c_HCC])&gt;1)*(LEN(raw[[bd_cov]:[bd_cov]])&gt;interactive!$C$6))/SUMPRODUCT((raw[[who_region]:[who_region]]=$A3)*raw[[births]:[births]]*(LEN(raw[c_HCC])&gt;1)*(LEN(raw[[bd_cov]:[bd_cov]])&gt;interactive!$C$6))</f>
        <v>104.43726791296378</v>
      </c>
      <c r="V3" s="69" cm="1">
        <f t="array" ref="V3">SUMPRODUCT((raw[[who_region]:[who_region]]=$A3)*raw[[births]:[births]]*raw[bl1_f]*(LEN(raw[bl1_f])&gt;1)*(LEN(raw[[bd_cov]:[bd_cov]])&gt;interactive!$C$6))/SUMPRODUCT((raw[[who_region]:[who_region]]=$A3)*raw[[births]:[births]]*(LEN(raw[bl1_f])&gt;1)*(LEN(raw[[bd_cov]:[bd_cov]])&gt;interactive!$C$6))</f>
        <v>3.1141436144569656</v>
      </c>
      <c r="W3" s="69" cm="1">
        <f t="array" ref="W3">SUMPRODUCT((raw[[who_region]:[who_region]]=$A3)*raw[[births]:[births]]*raw[bl1_c]*(LEN(raw[bl1_c])&gt;1)*(LEN(raw[[bd_cov]:[bd_cov]])&gt;interactive!$C$6))/SUMPRODUCT((raw[[who_region]:[who_region]]=$A3)*raw[[births]:[births]]*(LEN(raw[bl1_c])&gt;1)*(LEN(raw[[bd_cov]:[bd_cov]])&gt;interactive!$C$6))</f>
        <v>3.1341436144569661</v>
      </c>
      <c r="X3" s="69" cm="1">
        <f t="array" ref="X3">SUMPRODUCT((raw[[who_region]:[who_region]]=$A3)*raw[[births]:[births]]*raw[map_f]*(LEN(raw[map_f])&gt;1)*(LEN(raw[[bd_cov]:[bd_cov]])&gt;interactive!$C$6))/SUMPRODUCT((raw[[who_region]:[who_region]]=$A3)*raw[[births]:[births]]*(LEN(raw[map_f])&gt;1)*(LEN(raw[[bd_cov]:[bd_cov]])&gt;interactive!$C$6))</f>
        <v>2.6888569400835762</v>
      </c>
      <c r="Y3" s="69" cm="1">
        <f t="array" ref="Y3">SUMPRODUCT((raw[[who_region]:[who_region]]=$A3)*raw[[births]:[births]]*raw[map_cq]*(LEN(raw[map_cq])&gt;1)*(LEN(raw[[bd_cov]:[bd_cov]])&gt;interactive!$C$6))/SUMPRODUCT((raw[[who_region]:[who_region]]=$A3)*raw[[births]:[births]]*(LEN(raw[map_cq])&gt;1)*(LEN(raw[[bd_cov]:[bd_cov]])&gt;interactive!$C$6))</f>
        <v>2.7088569400835758</v>
      </c>
      <c r="Z3" s="69" cm="1">
        <f t="array" ref="Z3">SUMPRODUCT((raw[[who_region]:[who_region]]=$A3)*raw[[births]:[births]]*raw[map_cl]*(LEN(raw[map_cl])&gt;1)*(LEN(raw[[bd_cov]:[bd_cov]])&gt;interactive!$C$6))/SUMPRODUCT((raw[[who_region]:[who_region]]=$A3)*raw[[births]:[births]]*(LEN(raw[map_cl])&gt;1)*(LEN(raw[[bd_cov]:[bd_cov]])&gt;interactive!$C$6))</f>
        <v>2.6989361404598009</v>
      </c>
      <c r="AA3" s="69" cm="1">
        <f t="array" ref="AA3">SUMPRODUCT((raw[[who_region]:[who_region]]=$A3)*raw[[births]:[births]]*raw[ctc_f]*(LEN(raw[ctc_f])&gt;1)*(LEN(raw[[bd_cov]:[bd_cov]])&gt;interactive!$C$6))/SUMPRODUCT((raw[[who_region]:[who_region]]=$A3)*raw[[births]:[births]]*(LEN(raw[ctc_f])&gt;1)*(LEN(raw[[bd_cov]:[bd_cov]])&gt;interactive!$C$6))</f>
        <v>3.3245274858141549</v>
      </c>
      <c r="AB3" s="69" cm="1">
        <f t="array" ref="AB3">SUMPRODUCT((raw[[who_region]:[who_region]]=$A3)*raw[[births]:[births]]*raw[ctc_c]*(LEN(raw[ctc_c])&gt;1)*(LEN(raw[[bd_cov]:[bd_cov]])&gt;interactive!$C$6))/SUMPRODUCT((raw[[who_region]:[who_region]]=$A3)*raw[[births]:[births]]*(LEN(raw[ctc_c])&gt;1)*(LEN(raw[[bd_cov]:[bd_cov]])&gt;interactive!$C$6))</f>
        <v>3.3445274858141545</v>
      </c>
      <c r="AC3" s="71" cm="1">
        <f t="array" ref="AC3">SUMPRODUCT((raw[[who_region]:[who_region]]=$A3)*raw[[births]:[births]]*raw[m_01]*(LEN(raw[m_01])&gt;1)*(LEN(raw[[bd_cov]:[bd_cov]])&gt;interactive!$C$6))/SUMPRODUCT((raw[[who_region]:[who_region]]=$A3)*raw[[births]:[births]]*(LEN(raw[m_01])&gt;1)*(LEN(raw[[bd_cov]:[bd_cov]])&gt;interactive!$C$6))</f>
        <v>1.4167019197718121E-2</v>
      </c>
      <c r="AD3" s="71" cm="1">
        <f t="array" ref="AD3">SUMPRODUCT((raw[[who_region]:[who_region]]=$A3)*raw[[births]:[births]]*raw[m_14]*(LEN(raw[m_14])&gt;1)*(LEN(raw[[bd_cov]:[bd_cov]])&gt;interactive!$C$6))/SUMPRODUCT((raw[[who_region]:[who_region]]=$A3)*raw[[births]:[births]]*(LEN(raw[m_14])&gt;1)*(LEN(raw[[bd_cov]:[bd_cov]])&gt;interactive!$C$6))</f>
        <v>6.6774114205300078E-4</v>
      </c>
      <c r="AE3" s="71" cm="1">
        <f t="array" ref="AE3">SUMPRODUCT((raw[[who_region]:[who_region]]=$A3)*raw[[births]:[births]]*raw[m_59]*(LEN(raw[m_59])&gt;1)*(LEN(raw[[bd_cov]:[bd_cov]])&gt;interactive!$C$6))/SUMPRODUCT((raw[[who_region]:[who_region]]=$A3)*raw[[births]:[births]]*(LEN(raw[m_59])&gt;1)*(LEN(raw[[bd_cov]:[bd_cov]])&gt;interactive!$C$6))</f>
        <v>2.9270414969574096E-4</v>
      </c>
      <c r="AF3" s="71" cm="1">
        <f t="array" ref="AF3">SUMPRODUCT((raw[[who_region]:[who_region]]=$A3)*raw[[births]:[births]]*raw[m_1014]*(LEN(raw[m_1014])&gt;1)*(LEN(raw[[bd_cov]:[bd_cov]])&gt;interactive!$C$6))/SUMPRODUCT((raw[[who_region]:[who_region]]=$A3)*raw[[births]:[births]]*(LEN(raw[m_1014])&gt;1)*(LEN(raw[[bd_cov]:[bd_cov]])&gt;interactive!$C$6))</f>
        <v>3.5450484903542536E-4</v>
      </c>
      <c r="AG3" s="71" cm="1">
        <f t="array" ref="AG3">SUMPRODUCT((raw[[who_region]:[who_region]]=$A3)*raw[[births]:[births]]*raw[m_1519]*(LEN(raw[m_1519])&gt;1)*(LEN(raw[[bd_cov]:[bd_cov]])&gt;interactive!$C$6))/SUMPRODUCT((raw[[who_region]:[who_region]]=$A3)*raw[[births]:[births]]*(LEN(raw[m_1519])&gt;1)*(LEN(raw[[bd_cov]:[bd_cov]])&gt;interactive!$C$6))</f>
        <v>9.5530136215971919E-4</v>
      </c>
      <c r="AH3" s="71" cm="1">
        <f t="array" ref="AH3">SUMPRODUCT((raw[[who_region]:[who_region]]=$A3)*raw[[births]:[births]]*raw[m_2024]*(LEN(raw[m_2024])&gt;1)*(LEN(raw[[bd_cov]:[bd_cov]])&gt;interactive!$C$6))/SUMPRODUCT((raw[[who_region]:[who_region]]=$A3)*raw[[births]:[births]]*(LEN(raw[m_2024])&gt;1)*(LEN(raw[[bd_cov]:[bd_cov]])&gt;interactive!$C$6))</f>
        <v>1.5128769667047861E-3</v>
      </c>
      <c r="AI3" s="71" cm="1">
        <f t="array" ref="AI3">SUMPRODUCT((raw[[who_region]:[who_region]]=$A3)*raw[[births]:[births]]*raw[m_2529]*(LEN(raw[m_2529])&gt;1)*(LEN(raw[[bd_cov]:[bd_cov]])&gt;interactive!$C$6))/SUMPRODUCT((raw[[who_region]:[who_region]]=$A3)*raw[[births]:[births]]*(LEN(raw[m_2529])&gt;1)*(LEN(raw[[bd_cov]:[bd_cov]])&gt;interactive!$C$6))</f>
        <v>1.6666439577212953E-3</v>
      </c>
      <c r="AJ3" s="71" cm="1">
        <f t="array" ref="AJ3">SUMPRODUCT((raw[[who_region]:[who_region]]=$A3)*raw[[births]:[births]]*raw[m_3034]*(LEN(raw[m_3034])&gt;1)*(LEN(raw[[bd_cov]:[bd_cov]])&gt;interactive!$C$6))/SUMPRODUCT((raw[[who_region]:[who_region]]=$A3)*raw[[births]:[births]]*(LEN(raw[m_3034])&gt;1)*(LEN(raw[[bd_cov]:[bd_cov]])&gt;interactive!$C$6))</f>
        <v>1.8637703914786865E-3</v>
      </c>
      <c r="AK3" s="71" cm="1">
        <f t="array" ref="AK3">SUMPRODUCT((raw[[who_region]:[who_region]]=$A3)*raw[[births]:[births]]*raw[m_3539]*(LEN(raw[m_3539])&gt;1)*(LEN(raw[[bd_cov]:[bd_cov]])&gt;interactive!$C$6))/SUMPRODUCT((raw[[who_region]:[who_region]]=$A3)*raw[[births]:[births]]*(LEN(raw[m_3539])&gt;1)*(LEN(raw[[bd_cov]:[bd_cov]])&gt;interactive!$C$6))</f>
        <v>2.2035230252845607E-3</v>
      </c>
      <c r="AL3" s="71" cm="1">
        <f t="array" ref="AL3">SUMPRODUCT((raw[[who_region]:[who_region]]=$A3)*raw[[births]:[births]]*raw[m_4044]*(LEN(raw[m_4044])&gt;1)*(LEN(raw[[bd_cov]:[bd_cov]])&gt;interactive!$C$6))/SUMPRODUCT((raw[[who_region]:[who_region]]=$A3)*raw[[births]:[births]]*(LEN(raw[m_4044])&gt;1)*(LEN(raw[[bd_cov]:[bd_cov]])&gt;interactive!$C$6))</f>
        <v>2.8069768100064587E-3</v>
      </c>
      <c r="AM3" s="71" cm="1">
        <f t="array" ref="AM3">SUMPRODUCT((raw[[who_region]:[who_region]]=$A3)*raw[[births]:[births]]*raw[m_4549]*(LEN(raw[m_4549])&gt;1)*(LEN(raw[[bd_cov]:[bd_cov]])&gt;interactive!$C$6))/SUMPRODUCT((raw[[who_region]:[who_region]]=$A3)*raw[[births]:[births]]*(LEN(raw[m_4549])&gt;1)*(LEN(raw[[bd_cov]:[bd_cov]])&gt;interactive!$C$6))</f>
        <v>3.9270343647987566E-3</v>
      </c>
      <c r="AN3" s="71" cm="1">
        <f t="array" ref="AN3">SUMPRODUCT((raw[[who_region]:[who_region]]=$A3)*raw[[births]:[births]]*raw[m_5054]*(LEN(raw[m_5054])&gt;1)*(LEN(raw[[bd_cov]:[bd_cov]])&gt;interactive!$C$6))/SUMPRODUCT((raw[[who_region]:[who_region]]=$A3)*raw[[births]:[births]]*(LEN(raw[m_5054])&gt;1)*(LEN(raw[[bd_cov]:[bd_cov]])&gt;interactive!$C$6))</f>
        <v>5.7140121997915566E-3</v>
      </c>
      <c r="AO3" s="71" cm="1">
        <f t="array" ref="AO3">SUMPRODUCT((raw[[who_region]:[who_region]]=$A3)*raw[[births]:[births]]*raw[m_5559]*(LEN(raw[m_5559])&gt;1)*(LEN(raw[[bd_cov]:[bd_cov]])&gt;interactive!$C$6))/SUMPRODUCT((raw[[who_region]:[who_region]]=$A3)*raw[[births]:[births]]*(LEN(raw[m_5559])&gt;1)*(LEN(raw[[bd_cov]:[bd_cov]])&gt;interactive!$C$6))</f>
        <v>8.3432552244254686E-3</v>
      </c>
      <c r="AP3" s="71" cm="1">
        <f t="array" ref="AP3">SUMPRODUCT((raw[[who_region]:[who_region]]=$A3)*raw[[births]:[births]]*raw[m_6064]*(LEN(raw[m_6064])&gt;1)*(LEN(raw[[bd_cov]:[bd_cov]])&gt;interactive!$C$6))/SUMPRODUCT((raw[[who_region]:[who_region]]=$A3)*raw[[births]:[births]]*(LEN(raw[m_6064])&gt;1)*(LEN(raw[[bd_cov]:[bd_cov]])&gt;interactive!$C$6))</f>
        <v>1.247892783351586E-2</v>
      </c>
      <c r="AQ3" s="71" cm="1">
        <f t="array" ref="AQ3">SUMPRODUCT((raw[[who_region]:[who_region]]=$A3)*raw[[births]:[births]]*raw[m_6569]*(LEN(raw[m_6569])&gt;1)*(LEN(raw[[bd_cov]:[bd_cov]])&gt;interactive!$C$6))/SUMPRODUCT((raw[[who_region]:[who_region]]=$A3)*raw[[births]:[births]]*(LEN(raw[m_6569])&gt;1)*(LEN(raw[[bd_cov]:[bd_cov]])&gt;interactive!$C$6))</f>
        <v>1.8632521580293115E-2</v>
      </c>
      <c r="AR3" s="71" cm="1">
        <f t="array" ref="AR3">SUMPRODUCT((raw[[who_region]:[who_region]]=$A3)*raw[[births]:[births]]*raw[m_7074]*(LEN(raw[m_7074])&gt;1)*(LEN(raw[[bd_cov]:[bd_cov]])&gt;interactive!$C$6))/SUMPRODUCT((raw[[who_region]:[who_region]]=$A3)*raw[[births]:[births]]*(LEN(raw[m_7074])&gt;1)*(LEN(raw[[bd_cov]:[bd_cov]])&gt;interactive!$C$6))</f>
        <v>2.7487259858054988E-2</v>
      </c>
      <c r="AS3" s="71" cm="1">
        <f t="array" ref="AS3">SUMPRODUCT((raw[[who_region]:[who_region]]=$A3)*raw[[births]:[births]]*raw[m_7079]*(LEN(raw[m_7079])&gt;1)*(LEN(raw[[bd_cov]:[bd_cov]])&gt;interactive!$C$6))/SUMPRODUCT((raw[[who_region]:[who_region]]=$A3)*raw[[births]:[births]]*(LEN(raw[m_7079])&gt;1)*(LEN(raw[[bd_cov]:[bd_cov]])&gt;interactive!$C$6))</f>
        <v>4.1131724743577437E-2</v>
      </c>
      <c r="AT3" s="71" cm="1">
        <f t="array" ref="AT3">SUMPRODUCT((raw[[who_region]:[who_region]]=$A3)*raw[[births]:[births]]*raw[m_8084]*(LEN(raw[m_8084])&gt;1)*(LEN(raw[[bd_cov]:[bd_cov]])&gt;interactive!$C$6))/SUMPRODUCT((raw[[who_region]:[who_region]]=$A3)*raw[[births]:[births]]*(LEN(raw[m_8084])&gt;1)*(LEN(raw[[bd_cov]:[bd_cov]])&gt;interactive!$C$6))</f>
        <v>6.0388209095115636E-2</v>
      </c>
      <c r="AU3" s="71" cm="1">
        <f t="array" ref="AU3">SUMPRODUCT((raw[[who_region]:[who_region]]=$A3)*raw[[births]:[births]]*raw[m_8589]*(LEN(raw[m_8589])&gt;1)*(LEN(raw[[bd_cov]:[bd_cov]])&gt;interactive!$C$6))/SUMPRODUCT((raw[[who_region]:[who_region]]=$A3)*raw[[births]:[births]]*(LEN(raw[m_8589])&gt;1)*(LEN(raw[[bd_cov]:[bd_cov]])&gt;interactive!$C$6))</f>
        <v>8.6247197348937238E-2</v>
      </c>
      <c r="AV3" s="71" cm="1">
        <f t="array" ref="AV3">SUMPRODUCT((raw[[who_region]:[who_region]]=$A3)*raw[[births]:[births]]*raw[m_9094]*(LEN(raw[m_9094])&gt;1)*(LEN(raw[[bd_cov]:[bd_cov]])&gt;interactive!$C$6))/SUMPRODUCT((raw[[who_region]:[who_region]]=$A3)*raw[[births]:[births]]*(LEN(raw[m_9094])&gt;1)*(LEN(raw[[bd_cov]:[bd_cov]])&gt;interactive!$C$6))</f>
        <v>0.11343827459472006</v>
      </c>
      <c r="AW3" s="71" cm="1">
        <f t="array" ref="AW3">SUMPRODUCT((raw[[who_region]:[who_region]]=$A3)*raw[[births]:[births]]*raw[m_95+]*(LEN(raw[m_95+])&gt;1)*(LEN(raw[[bd_cov]:[bd_cov]])&gt;interactive!$C$6))/SUMPRODUCT((raw[[who_region]:[who_region]]=$A3)*raw[[births]:[births]]*(LEN(raw[m_95+])&gt;1)*(LEN(raw[[bd_cov]:[bd_cov]])&gt;interactive!$C$6))</f>
        <v>0.14600660721108022</v>
      </c>
      <c r="AX3" s="71" cm="1">
        <f t="array" ref="AX3">SUMPRODUCT((raw[[who_region]:[who_region]]=$A3)*raw[[births]:[births]]*raw[av_life]*(LEN(raw[av_life])&gt;1)*(LEN(raw[[bd_cov]:[bd_cov]])&gt;interactive!$C$6))/SUMPRODUCT((raw[[who_region]:[who_region]]=$A3)*raw[[births]:[births]]*(LEN(raw[av_life])&gt;1)*(LEN(raw[[bd_cov]:[bd_cov]])&gt;interactive!$C$6))</f>
        <v>75.414761681585986</v>
      </c>
    </row>
    <row r="4" spans="1:51" x14ac:dyDescent="0.25">
      <c r="A4" s="65" t="s">
        <v>196</v>
      </c>
      <c r="H4" s="52" cm="1">
        <f t="array" ref="H4">SUMPRODUCT((raw[[who_region]:[who_region]]=$A4)*raw[pop]*(LEN(raw[bd_cov])&gt;interactive!$C$6))</f>
        <v>327122236</v>
      </c>
      <c r="I4" s="52" cm="1">
        <f t="array" ref="I4">SUMPRODUCT((raw[[who_region]:[who_region]]=$A4)*raw[births]*(LEN(raw[bd_cov])&gt;interactive!$C$6))</f>
        <v>7974585.3135319995</v>
      </c>
      <c r="J4" s="68" cm="1">
        <f t="array" ref="J4">SUMPRODUCT((raw[[who_region]:[who_region]]=$A4)*raw[[births]:[births]]*raw[fac_birth]*(LEN(raw[fac_birth])&gt;1)*(LEN(raw[[bd_cov]:[bd_cov]])&gt;interactive!$C$6))/SUMPRODUCT((raw[[who_region]:[who_region]]=$A4)*raw[[births]:[births]]*(LEN(raw[fac_birth])&gt;1)*(LEN(raw[[bd_cov]:[bd_cov]])&gt;interactive!$C$6))</f>
        <v>0.84263352739412045</v>
      </c>
      <c r="K4" s="68" cm="1">
        <f t="array" ref="K4">SUMPRODUCT((raw[[who_region]:[who_region]]=$A4)*raw[[births]:[births]]*raw[bd_cov]*(LEN(raw[bd_cov])&gt;1)*(LEN(raw[[bd_cov]:[bd_cov]])&gt;interactive!$C$6))/SUMPRODUCT((raw[[who_region]:[who_region]]=$A4)*raw[[births]:[births]]*(LEN(raw[bd_cov])&gt;1)*(LEN(raw[[bd_cov]:[bd_cov]])&gt;interactive!$C$6))</f>
        <v>0.72226321549578709</v>
      </c>
      <c r="L4" s="68" cm="1">
        <f t="array" ref="L4">SUMPRODUCT((raw[[who_region]:[who_region]]=$A4)*raw[[births]:[births]]*raw[hbv3_cov]*(LEN(raw[hbv3_cov])&gt;1)*(LEN(raw[[bd_cov]:[bd_cov]])&gt;interactive!$C$6))/SUMPRODUCT((raw[[who_region]:[who_region]]=$A4)*raw[[births]:[births]]*(LEN(raw[hbv3_cov])&gt;1)*(LEN(raw[[bd_cov]:[bd_cov]])&gt;interactive!$C$6))</f>
        <v>0.8828995011676749</v>
      </c>
      <c r="M4" s="68" cm="1">
        <f t="array" ref="M4">SUMPRODUCT((raw[[who_region]:[who_region]]=$A4)*raw[[births]:[births]]*raw[hbv_prev]*(LEN(raw[hbv_prev])&gt;1)*(LEN(raw[[bd_cov]:[bd_cov]])&gt;interactive!$C$6))/SUMPRODUCT((raw[[who_region]:[who_region]]=$A4)*raw[[births]:[births]]*(LEN(raw[hbv_prev])&gt;1)*(LEN(raw[[bd_cov]:[bd_cov]])&gt;interactive!$C$6))</f>
        <v>1.4906349426139241E-2</v>
      </c>
      <c r="N4" s="68" cm="1">
        <f t="array" ref="N4">SUMPRODUCT((raw[[who_region]:[who_region]]=$A4)*raw[[births]:[births]]*raw[hbe_prev]*(LEN(raw[hbe_prev])&gt;1)*(LEN(raw[[bd_cov]:[bd_cov]])&gt;interactive!$C$6))/SUMPRODUCT((raw[[who_region]:[who_region]]=$A4)*raw[[births]:[births]]*(LEN(raw[hbe_prev])&gt;1)*(LEN(raw[[bd_cov]:[bd_cov]])&gt;interactive!$C$6))</f>
        <v>0.26343380739789773</v>
      </c>
      <c r="O4" s="68" cm="1">
        <f t="array" ref="O4">SUMPRODUCT((raw[[who_region]:[who_region]]=$A4)*raw[[births]:[births]]*raw[epos]*(LEN(raw[epos])&gt;1)*(LEN(raw[[bd_cov]:[bd_cov]])&gt;interactive!$C$6))/SUMPRODUCT((raw[[who_region]:[who_region]]=$A4)*raw[[births]:[births]]*(LEN(raw[epos])&gt;1)*(LEN(raw[[bd_cov]:[bd_cov]])&gt;interactive!$C$6))</f>
        <v>0.79887915534636511</v>
      </c>
      <c r="P4" s="68" cm="1">
        <f t="array" ref="P4">SUMPRODUCT((raw[[who_region]:[who_region]]=$A4)*raw[[births]:[births]]*raw[eneg]*(LEN(raw[eneg])&gt;1)*(LEN(raw[[bd_cov]:[bd_cov]])&gt;interactive!$C$6))/SUMPRODUCT((raw[[who_region]:[who_region]]=$A4)*raw[[births]:[births]]*(LEN(raw[eneg])&gt;1)*(LEN(raw[[bd_cov]:[bd_cov]])&gt;interactive!$C$6))</f>
        <v>0.17465863963786174</v>
      </c>
      <c r="Q4" s="69" cm="1">
        <f t="array" ref="Q4">SUMPRODUCT((raw[[who_region]:[who_region]]=$A4)*raw[[births]:[births]]*raw[c_diag]*(LEN(raw[c_diag])&gt;1)*(LEN(raw[[bd_cov]:[bd_cov]])&gt;interactive!$C$6))/SUMPRODUCT((raw[[who_region]:[who_region]]=$A4)*raw[[births]:[births]]*(LEN(raw[c_diag])&gt;1)*(LEN(raw[[bd_cov]:[bd_cov]])&gt;interactive!$C$6))</f>
        <v>6.662674060488075</v>
      </c>
      <c r="R4" s="69" cm="1">
        <f t="array" ref="R4">SUMPRODUCT((raw[[who_region]:[who_region]]=$A4)*raw[[births]:[births]]*raw[c_C]*(LEN(raw[c_C])&gt;1)*(LEN(raw[[bd_cov]:[bd_cov]])&gt;interactive!$C$6))/SUMPRODUCT((raw[[who_region]:[who_region]]=$A4)*raw[[births]:[births]]*(LEN(raw[c_C])&gt;1)*(LEN(raw[[bd_cov]:[bd_cov]])&gt;interactive!$C$6))</f>
        <v>28.988054060488075</v>
      </c>
      <c r="S4" s="69" cm="1">
        <f t="array" ref="S4">SUMPRODUCT((raw[[who_region]:[who_region]]=$A4)*raw[[births]:[births]]*raw[c_CC]*(LEN(raw[c_CC])&gt;1)*(LEN(raw[[bd_cov]:[bd_cov]])&gt;interactive!$C$6))/SUMPRODUCT((raw[[who_region]:[who_region]]=$A4)*raw[[births]:[births]]*(LEN(raw[c_CC])&gt;1)*(LEN(raw[[bd_cov]:[bd_cov]])&gt;interactive!$C$6))</f>
        <v>74.09061840550558</v>
      </c>
      <c r="T4" s="69" cm="1">
        <f t="array" ref="T4">SUMPRODUCT((raw[[who_region]:[who_region]]=$A4)*raw[[births]:[births]]*raw[c_DC]*(LEN(raw[c_DC])&gt;1)*(LEN(raw[[bd_cov]:[bd_cov]])&gt;interactive!$C$6))/SUMPRODUCT((raw[[who_region]:[who_region]]=$A4)*raw[[births]:[births]]*(LEN(raw[c_DC])&gt;1)*(LEN(raw[[bd_cov]:[bd_cov]])&gt;interactive!$C$6))</f>
        <v>82.356938033238592</v>
      </c>
      <c r="U4" s="69" cm="1">
        <f t="array" ref="U4">SUMPRODUCT((raw[[who_region]:[who_region]]=$A4)*raw[[births]:[births]]*raw[c_HCC]*(LEN(raw[c_HCC])&gt;1)*(LEN(raw[[bd_cov]:[bd_cov]])&gt;interactive!$C$6))/SUMPRODUCT((raw[[who_region]:[who_region]]=$A4)*raw[[births]:[births]]*(LEN(raw[c_HCC])&gt;1)*(LEN(raw[[bd_cov]:[bd_cov]])&gt;interactive!$C$6))</f>
        <v>78.561218787921035</v>
      </c>
      <c r="V4" s="69" cm="1">
        <f t="array" ref="V4">SUMPRODUCT((raw[[who_region]:[who_region]]=$A4)*raw[[births]:[births]]*raw[bl1_f]*(LEN(raw[bl1_f])&gt;1)*(LEN(raw[[bd_cov]:[bd_cov]])&gt;interactive!$C$6))/SUMPRODUCT((raw[[who_region]:[who_region]]=$A4)*raw[[births]:[births]]*(LEN(raw[bl1_f])&gt;1)*(LEN(raw[[bd_cov]:[bd_cov]])&gt;interactive!$C$6))</f>
        <v>2.892260556556697</v>
      </c>
      <c r="W4" s="69" cm="1">
        <f t="array" ref="W4">SUMPRODUCT((raw[[who_region]:[who_region]]=$A4)*raw[[births]:[births]]*raw[bl1_c]*(LEN(raw[bl1_c])&gt;1)*(LEN(raw[[bd_cov]:[bd_cov]])&gt;interactive!$C$6))/SUMPRODUCT((raw[[who_region]:[who_region]]=$A4)*raw[[births]:[births]]*(LEN(raw[bl1_c])&gt;1)*(LEN(raw[[bd_cov]:[bd_cov]])&gt;interactive!$C$6))</f>
        <v>3.3841771396962566</v>
      </c>
      <c r="X4" s="69" cm="1">
        <f t="array" ref="X4">SUMPRODUCT((raw[[who_region]:[who_region]]=$A4)*raw[[births]:[births]]*raw[map_f]*(LEN(raw[map_f])&gt;1)*(LEN(raw[[bd_cov]:[bd_cov]])&gt;interactive!$C$6))/SUMPRODUCT((raw[[who_region]:[who_region]]=$A4)*raw[[births]:[births]]*(LEN(raw[map_f])&gt;1)*(LEN(raw[[bd_cov]:[bd_cov]])&gt;interactive!$C$6))</f>
        <v>2.4756051567650035</v>
      </c>
      <c r="Y4" s="69" cm="1">
        <f t="array" ref="Y4">SUMPRODUCT((raw[[who_region]:[who_region]]=$A4)*raw[[births]:[births]]*raw[map_cq]*(LEN(raw[map_cq])&gt;1)*(LEN(raw[[bd_cov]:[bd_cov]])&gt;interactive!$C$6))/SUMPRODUCT((raw[[who_region]:[who_region]]=$A4)*raw[[births]:[births]]*(LEN(raw[map_cq])&gt;1)*(LEN(raw[[bd_cov]:[bd_cov]])&gt;interactive!$C$6))</f>
        <v>2.967521739904563</v>
      </c>
      <c r="Z4" s="69" cm="1">
        <f t="array" ref="Z4">SUMPRODUCT((raw[[who_region]:[who_region]]=$A4)*raw[[births]:[births]]*raw[map_cl]*(LEN(raw[map_cl])&gt;1)*(LEN(raw[[bd_cov]:[bd_cov]])&gt;interactive!$C$6))/SUMPRODUCT((raw[[who_region]:[who_region]]=$A4)*raw[[births]:[births]]*(LEN(raw[map_cl])&gt;1)*(LEN(raw[[bd_cov]:[bd_cov]])&gt;interactive!$C$6))</f>
        <v>2.9610755711711456</v>
      </c>
      <c r="AA4" s="69" cm="1">
        <f t="array" ref="AA4">SUMPRODUCT((raw[[who_region]:[who_region]]=$A4)*raw[[births]:[births]]*raw[ctc_f]*(LEN(raw[ctc_f])&gt;1)*(LEN(raw[[bd_cov]:[bd_cov]])&gt;interactive!$C$6))/SUMPRODUCT((raw[[who_region]:[who_region]]=$A4)*raw[[births]:[births]]*(LEN(raw[ctc_f])&gt;1)*(LEN(raw[[bd_cov]:[bd_cov]])&gt;interactive!$C$6))</f>
        <v>3.0995671908891067</v>
      </c>
      <c r="AB4" s="69" cm="1">
        <f t="array" ref="AB4">SUMPRODUCT((raw[[who_region]:[who_region]]=$A4)*raw[[births]:[births]]*raw[ctc_c]*(LEN(raw[ctc_c])&gt;1)*(LEN(raw[[bd_cov]:[bd_cov]])&gt;interactive!$C$6))/SUMPRODUCT((raw[[who_region]:[who_region]]=$A4)*raw[[births]:[births]]*(LEN(raw[ctc_c])&gt;1)*(LEN(raw[[bd_cov]:[bd_cov]])&gt;interactive!$C$6))</f>
        <v>3.5914837740286658</v>
      </c>
      <c r="AC4" s="71" cm="1">
        <f t="array" ref="AC4">SUMPRODUCT((raw[[who_region]:[who_region]]=$A4)*raw[[births]:[births]]*raw[m_01]*(LEN(raw[m_01])&gt;1)*(LEN(raw[[bd_cov]:[bd_cov]])&gt;interactive!$C$6))/SUMPRODUCT((raw[[who_region]:[who_region]]=$A4)*raw[[births]:[births]]*(LEN(raw[m_01])&gt;1)*(LEN(raw[[bd_cov]:[bd_cov]])&gt;interactive!$C$6))</f>
        <v>2.2373077711603143E-2</v>
      </c>
      <c r="AD4" s="71" cm="1">
        <f t="array" ref="AD4">SUMPRODUCT((raw[[who_region]:[who_region]]=$A4)*raw[[births]:[births]]*raw[m_14]*(LEN(raw[m_14])&gt;1)*(LEN(raw[[bd_cov]:[bd_cov]])&gt;interactive!$C$6))/SUMPRODUCT((raw[[who_region]:[who_region]]=$A4)*raw[[births]:[births]]*(LEN(raw[m_14])&gt;1)*(LEN(raw[[bd_cov]:[bd_cov]])&gt;interactive!$C$6))</f>
        <v>1.4393508807176388E-3</v>
      </c>
      <c r="AE4" s="71" cm="1">
        <f t="array" ref="AE4">SUMPRODUCT((raw[[who_region]:[who_region]]=$A4)*raw[[births]:[births]]*raw[m_59]*(LEN(raw[m_59])&gt;1)*(LEN(raw[[bd_cov]:[bd_cov]])&gt;interactive!$C$6))/SUMPRODUCT((raw[[who_region]:[who_region]]=$A4)*raw[[births]:[births]]*(LEN(raw[m_59])&gt;1)*(LEN(raw[[bd_cov]:[bd_cov]])&gt;interactive!$C$6))</f>
        <v>5.3901275286157555E-4</v>
      </c>
      <c r="AF4" s="71" cm="1">
        <f t="array" ref="AF4">SUMPRODUCT((raw[[who_region]:[who_region]]=$A4)*raw[[births]:[births]]*raw[m_1014]*(LEN(raw[m_1014])&gt;1)*(LEN(raw[[bd_cov]:[bd_cov]])&gt;interactive!$C$6))/SUMPRODUCT((raw[[who_region]:[who_region]]=$A4)*raw[[births]:[births]]*(LEN(raw[m_1014])&gt;1)*(LEN(raw[[bd_cov]:[bd_cov]])&gt;interactive!$C$6))</f>
        <v>4.4424893635939769E-4</v>
      </c>
      <c r="AG4" s="71" cm="1">
        <f t="array" ref="AG4">SUMPRODUCT((raw[[who_region]:[who_region]]=$A4)*raw[[births]:[births]]*raw[m_1519]*(LEN(raw[m_1519])&gt;1)*(LEN(raw[[bd_cov]:[bd_cov]])&gt;interactive!$C$6))/SUMPRODUCT((raw[[who_region]:[who_region]]=$A4)*raw[[births]:[births]]*(LEN(raw[m_1519])&gt;1)*(LEN(raw[[bd_cov]:[bd_cov]])&gt;interactive!$C$6))</f>
        <v>7.3364621353181443E-4</v>
      </c>
      <c r="AH4" s="71" cm="1">
        <f t="array" ref="AH4">SUMPRODUCT((raw[[who_region]:[who_region]]=$A4)*raw[[births]:[births]]*raw[m_2024]*(LEN(raw[m_2024])&gt;1)*(LEN(raw[[bd_cov]:[bd_cov]])&gt;interactive!$C$6))/SUMPRODUCT((raw[[who_region]:[who_region]]=$A4)*raw[[births]:[births]]*(LEN(raw[m_2024])&gt;1)*(LEN(raw[[bd_cov]:[bd_cov]])&gt;interactive!$C$6))</f>
        <v>1.0782277699722402E-3</v>
      </c>
      <c r="AI4" s="71" cm="1">
        <f t="array" ref="AI4">SUMPRODUCT((raw[[who_region]:[who_region]]=$A4)*raw[[births]:[births]]*raw[m_2529]*(LEN(raw[m_2529])&gt;1)*(LEN(raw[[bd_cov]:[bd_cov]])&gt;interactive!$C$6))/SUMPRODUCT((raw[[who_region]:[who_region]]=$A4)*raw[[births]:[births]]*(LEN(raw[m_2529])&gt;1)*(LEN(raw[[bd_cov]:[bd_cov]])&gt;interactive!$C$6))</f>
        <v>1.1627428988902207E-3</v>
      </c>
      <c r="AJ4" s="71" cm="1">
        <f t="array" ref="AJ4">SUMPRODUCT((raw[[who_region]:[who_region]]=$A4)*raw[[births]:[births]]*raw[m_3034]*(LEN(raw[m_3034])&gt;1)*(LEN(raw[[bd_cov]:[bd_cov]])&gt;interactive!$C$6))/SUMPRODUCT((raw[[who_region]:[who_region]]=$A4)*raw[[births]:[births]]*(LEN(raw[m_3034])&gt;1)*(LEN(raw[[bd_cov]:[bd_cov]])&gt;interactive!$C$6))</f>
        <v>1.3784822365027021E-3</v>
      </c>
      <c r="AK4" s="71" cm="1">
        <f t="array" ref="AK4">SUMPRODUCT((raw[[who_region]:[who_region]]=$A4)*raw[[births]:[births]]*raw[m_3539]*(LEN(raw[m_3539])&gt;1)*(LEN(raw[[bd_cov]:[bd_cov]])&gt;interactive!$C$6))/SUMPRODUCT((raw[[who_region]:[who_region]]=$A4)*raw[[births]:[births]]*(LEN(raw[m_3539])&gt;1)*(LEN(raw[[bd_cov]:[bd_cov]])&gt;interactive!$C$6))</f>
        <v>1.6942717983703065E-3</v>
      </c>
      <c r="AL4" s="71" cm="1">
        <f t="array" ref="AL4">SUMPRODUCT((raw[[who_region]:[who_region]]=$A4)*raw[[births]:[births]]*raw[m_4044]*(LEN(raw[m_4044])&gt;1)*(LEN(raw[[bd_cov]:[bd_cov]])&gt;interactive!$C$6))/SUMPRODUCT((raw[[who_region]:[who_region]]=$A4)*raw[[births]:[births]]*(LEN(raw[m_4044])&gt;1)*(LEN(raw[[bd_cov]:[bd_cov]])&gt;interactive!$C$6))</f>
        <v>2.3855066132632734E-3</v>
      </c>
      <c r="AM4" s="71" cm="1">
        <f t="array" ref="AM4">SUMPRODUCT((raw[[who_region]:[who_region]]=$A4)*raw[[births]:[births]]*raw[m_4549]*(LEN(raw[m_4549])&gt;1)*(LEN(raw[[bd_cov]:[bd_cov]])&gt;interactive!$C$6))/SUMPRODUCT((raw[[who_region]:[who_region]]=$A4)*raw[[births]:[births]]*(LEN(raw[m_4549])&gt;1)*(LEN(raw[[bd_cov]:[bd_cov]])&gt;interactive!$C$6))</f>
        <v>3.9783771773684038E-3</v>
      </c>
      <c r="AN4" s="71" cm="1">
        <f t="array" ref="AN4">SUMPRODUCT((raw[[who_region]:[who_region]]=$A4)*raw[[births]:[births]]*raw[m_5054]*(LEN(raw[m_5054])&gt;1)*(LEN(raw[[bd_cov]:[bd_cov]])&gt;interactive!$C$6))/SUMPRODUCT((raw[[who_region]:[who_region]]=$A4)*raw[[births]:[births]]*(LEN(raw[m_5054])&gt;1)*(LEN(raw[[bd_cov]:[bd_cov]])&gt;interactive!$C$6))</f>
        <v>6.6095812425867734E-3</v>
      </c>
      <c r="AO4" s="71" cm="1">
        <f t="array" ref="AO4">SUMPRODUCT((raw[[who_region]:[who_region]]=$A4)*raw[[births]:[births]]*raw[m_5559]*(LEN(raw[m_5559])&gt;1)*(LEN(raw[[bd_cov]:[bd_cov]])&gt;interactive!$C$6))/SUMPRODUCT((raw[[who_region]:[who_region]]=$A4)*raw[[births]:[births]]*(LEN(raw[m_5559])&gt;1)*(LEN(raw[[bd_cov]:[bd_cov]])&gt;interactive!$C$6))</f>
        <v>9.6277102878214449E-3</v>
      </c>
      <c r="AP4" s="71" cm="1">
        <f t="array" ref="AP4">SUMPRODUCT((raw[[who_region]:[who_region]]=$A4)*raw[[births]:[births]]*raw[m_6064]*(LEN(raw[m_6064])&gt;1)*(LEN(raw[[bd_cov]:[bd_cov]])&gt;interactive!$C$6))/SUMPRODUCT((raw[[who_region]:[who_region]]=$A4)*raw[[births]:[births]]*(LEN(raw[m_6064])&gt;1)*(LEN(raw[[bd_cov]:[bd_cov]])&gt;interactive!$C$6))</f>
        <v>1.5440218880350949E-2</v>
      </c>
      <c r="AQ4" s="71" cm="1">
        <f t="array" ref="AQ4">SUMPRODUCT((raw[[who_region]:[who_region]]=$A4)*raw[[births]:[births]]*raw[m_6569]*(LEN(raw[m_6569])&gt;1)*(LEN(raw[[bd_cov]:[bd_cov]])&gt;interactive!$C$6))/SUMPRODUCT((raw[[who_region]:[who_region]]=$A4)*raw[[births]:[births]]*(LEN(raw[m_6569])&gt;1)*(LEN(raw[[bd_cov]:[bd_cov]])&gt;interactive!$C$6))</f>
        <v>2.4457696555738574E-2</v>
      </c>
      <c r="AR4" s="71" cm="1">
        <f t="array" ref="AR4">SUMPRODUCT((raw[[who_region]:[who_region]]=$A4)*raw[[births]:[births]]*raw[m_7074]*(LEN(raw[m_7074])&gt;1)*(LEN(raw[[bd_cov]:[bd_cov]])&gt;interactive!$C$6))/SUMPRODUCT((raw[[who_region]:[who_region]]=$A4)*raw[[births]:[births]]*(LEN(raw[m_7074])&gt;1)*(LEN(raw[[bd_cov]:[bd_cov]])&gt;interactive!$C$6))</f>
        <v>4.0180303035536359E-2</v>
      </c>
      <c r="AS4" s="71" cm="1">
        <f t="array" ref="AS4">SUMPRODUCT((raw[[who_region]:[who_region]]=$A4)*raw[[births]:[births]]*raw[m_7079]*(LEN(raw[m_7079])&gt;1)*(LEN(raw[[bd_cov]:[bd_cov]])&gt;interactive!$C$6))/SUMPRODUCT((raw[[who_region]:[who_region]]=$A4)*raw[[births]:[births]]*(LEN(raw[m_7079])&gt;1)*(LEN(raw[[bd_cov]:[bd_cov]])&gt;interactive!$C$6))</f>
        <v>6.4751020250933738E-2</v>
      </c>
      <c r="AT4" s="71" cm="1">
        <f t="array" ref="AT4">SUMPRODUCT((raw[[who_region]:[who_region]]=$A4)*raw[[births]:[births]]*raw[m_8084]*(LEN(raw[m_8084])&gt;1)*(LEN(raw[[bd_cov]:[bd_cov]])&gt;interactive!$C$6))/SUMPRODUCT((raw[[who_region]:[who_region]]=$A4)*raw[[births]:[births]]*(LEN(raw[m_8084])&gt;1)*(LEN(raw[[bd_cov]:[bd_cov]])&gt;interactive!$C$6))</f>
        <v>9.5096201412107548E-2</v>
      </c>
      <c r="AU4" s="71" cm="1">
        <f t="array" ref="AU4">SUMPRODUCT((raw[[who_region]:[who_region]]=$A4)*raw[[births]:[births]]*raw[m_8589]*(LEN(raw[m_8589])&gt;1)*(LEN(raw[[bd_cov]:[bd_cov]])&gt;interactive!$C$6))/SUMPRODUCT((raw[[who_region]:[who_region]]=$A4)*raw[[births]:[births]]*(LEN(raw[m_8589])&gt;1)*(LEN(raw[[bd_cov]:[bd_cov]])&gt;interactive!$C$6))</f>
        <v>0.12844088818003907</v>
      </c>
      <c r="AV4" s="71" cm="1">
        <f t="array" ref="AV4">SUMPRODUCT((raw[[who_region]:[who_region]]=$A4)*raw[[births]:[births]]*raw[m_9094]*(LEN(raw[m_9094])&gt;1)*(LEN(raw[[bd_cov]:[bd_cov]])&gt;interactive!$C$6))/SUMPRODUCT((raw[[who_region]:[who_region]]=$A4)*raw[[births]:[births]]*(LEN(raw[m_9094])&gt;1)*(LEN(raw[[bd_cov]:[bd_cov]])&gt;interactive!$C$6))</f>
        <v>0.15680692879624941</v>
      </c>
      <c r="AW4" s="71" cm="1">
        <f t="array" ref="AW4">SUMPRODUCT((raw[[who_region]:[who_region]]=$A4)*raw[[births]:[births]]*raw[m_95+]*(LEN(raw[m_95+])&gt;1)*(LEN(raw[[bd_cov]:[bd_cov]])&gt;interactive!$C$6))/SUMPRODUCT((raw[[who_region]:[who_region]]=$A4)*raw[[births]:[births]]*(LEN(raw[m_95+])&gt;1)*(LEN(raw[[bd_cov]:[bd_cov]])&gt;interactive!$C$6))</f>
        <v>0.17632877663334692</v>
      </c>
      <c r="AX4" s="71" cm="1">
        <f t="array" ref="AX4">SUMPRODUCT((raw[[who_region]:[who_region]]=$A4)*raw[[births]:[births]]*raw[av_life]*(LEN(raw[av_life])&gt;1)*(LEN(raw[[bd_cov]:[bd_cov]])&gt;interactive!$C$6))/SUMPRODUCT((raw[[who_region]:[who_region]]=$A4)*raw[[births]:[births]]*(LEN(raw[av_life])&gt;1)*(LEN(raw[[bd_cov]:[bd_cov]])&gt;interactive!$C$6))</f>
        <v>71.928606336195188</v>
      </c>
    </row>
    <row r="5" spans="1:51" x14ac:dyDescent="0.25">
      <c r="A5" s="66" t="s">
        <v>201</v>
      </c>
      <c r="H5" s="52" cm="1">
        <f t="array" ref="H5">SUMPRODUCT((raw[[who_region]:[who_region]]=$A5)*raw[pop]*(LEN(raw[bd_cov])&gt;interactive!$C$6))</f>
        <v>272871297</v>
      </c>
      <c r="I5" s="52" cm="1">
        <f t="array" ref="I5">SUMPRODUCT((raw[[who_region]:[who_region]]=$A5)*raw[births]*(LEN(raw[bd_cov])&gt;interactive!$C$6))</f>
        <v>4333347.4265289996</v>
      </c>
      <c r="J5" s="68" cm="1">
        <f t="array" ref="J5">SUMPRODUCT((raw[[who_region]:[who_region]]=$A5)*raw[[births]:[births]]*raw[fac_birth]*(LEN(raw[fac_birth])&gt;1)*(LEN(raw[[bd_cov]:[bd_cov]])&gt;interactive!$C$6))/SUMPRODUCT((raw[[who_region]:[who_region]]=$A5)*raw[[births]:[births]]*(LEN(raw[fac_birth])&gt;1)*(LEN(raw[[bd_cov]:[bd_cov]])&gt;interactive!$C$6))</f>
        <v>0.97579909335193604</v>
      </c>
      <c r="K5" s="68" cm="1">
        <f t="array" ref="K5">SUMPRODUCT((raw[[who_region]:[who_region]]=$A5)*raw[[births]:[births]]*raw[bd_cov]*(LEN(raw[bd_cov])&gt;1)*(LEN(raw[[bd_cov]:[bd_cov]])&gt;interactive!$C$6))/SUMPRODUCT((raw[[who_region]:[who_region]]=$A5)*raw[[births]:[births]]*(LEN(raw[bd_cov])&gt;1)*(LEN(raw[[bd_cov]:[bd_cov]])&gt;interactive!$C$6))</f>
        <v>0.94763804323092582</v>
      </c>
      <c r="L5" s="68" cm="1">
        <f t="array" ref="L5">SUMPRODUCT((raw[[who_region]:[who_region]]=$A5)*raw[[births]:[births]]*raw[hbv3_cov]*(LEN(raw[hbv3_cov])&gt;1)*(LEN(raw[[bd_cov]:[bd_cov]])&gt;interactive!$C$6))/SUMPRODUCT((raw[[who_region]:[who_region]]=$A5)*raw[[births]:[births]]*(LEN(raw[hbv3_cov])&gt;1)*(LEN(raw[[bd_cov]:[bd_cov]])&gt;interactive!$C$6))</f>
        <v>0.92500445842062573</v>
      </c>
      <c r="M5" s="68" cm="1">
        <f t="array" ref="M5">SUMPRODUCT((raw[[who_region]:[who_region]]=$A5)*raw[[births]:[births]]*raw[hbv_prev]*(LEN(raw[hbv_prev])&gt;1)*(LEN(raw[[bd_cov]:[bd_cov]])&gt;interactive!$C$6))/SUMPRODUCT((raw[[who_region]:[who_region]]=$A5)*raw[[births]:[births]]*(LEN(raw[hbv_prev])&gt;1)*(LEN(raw[[bd_cov]:[bd_cov]])&gt;interactive!$C$6))</f>
        <v>3.5221660876244516E-2</v>
      </c>
      <c r="N5" s="68" cm="1">
        <f t="array" ref="N5">SUMPRODUCT((raw[[who_region]:[who_region]]=$A5)*raw[[births]:[births]]*raw[hbe_prev]*(LEN(raw[hbe_prev])&gt;1)*(LEN(raw[[bd_cov]:[bd_cov]])&gt;interactive!$C$6))/SUMPRODUCT((raw[[who_region]:[who_region]]=$A5)*raw[[births]:[births]]*(LEN(raw[hbe_prev])&gt;1)*(LEN(raw[[bd_cov]:[bd_cov]])&gt;interactive!$C$6))</f>
        <v>0.28759567952090609</v>
      </c>
      <c r="O5" s="68" cm="1">
        <f t="array" ref="O5">SUMPRODUCT((raw[[who_region]:[who_region]]=$A5)*raw[[births]:[births]]*raw[epos]*(LEN(raw[epos])&gt;1)*(LEN(raw[[bd_cov]:[bd_cov]])&gt;interactive!$C$6))/SUMPRODUCT((raw[[who_region]:[who_region]]=$A5)*raw[[births]:[births]]*(LEN(raw[epos])&gt;1)*(LEN(raw[[bd_cov]:[bd_cov]])&gt;interactive!$C$6))</f>
        <v>0.80000000000000016</v>
      </c>
      <c r="P5" s="68" cm="1">
        <f t="array" ref="P5">SUMPRODUCT((raw[[who_region]:[who_region]]=$A5)*raw[[births]:[births]]*raw[eneg]*(LEN(raw[eneg])&gt;1)*(LEN(raw[[bd_cov]:[bd_cov]])&gt;interactive!$C$6))/SUMPRODUCT((raw[[who_region]:[who_region]]=$A5)*raw[[births]:[births]]*(LEN(raw[eneg])&gt;1)*(LEN(raw[[bd_cov]:[bd_cov]])&gt;interactive!$C$6))</f>
        <v>0.17500000000000002</v>
      </c>
      <c r="Q5" s="69" cm="1">
        <f t="array" ref="Q5">SUMPRODUCT((raw[[who_region]:[who_region]]=$A5)*raw[[births]:[births]]*raw[c_diag]*(LEN(raw[c_diag])&gt;1)*(LEN(raw[[bd_cov]:[bd_cov]])&gt;interactive!$C$6))/SUMPRODUCT((raw[[who_region]:[who_region]]=$A5)*raw[[births]:[births]]*(LEN(raw[c_diag])&gt;1)*(LEN(raw[[bd_cov]:[bd_cov]])&gt;interactive!$C$6))</f>
        <v>10.440165744766531</v>
      </c>
      <c r="R5" s="69" cm="1">
        <f t="array" ref="R5">SUMPRODUCT((raw[[who_region]:[who_region]]=$A5)*raw[[births]:[births]]*raw[c_C]*(LEN(raw[c_C])&gt;1)*(LEN(raw[[bd_cov]:[bd_cov]])&gt;interactive!$C$6))/SUMPRODUCT((raw[[who_region]:[who_region]]=$A5)*raw[[births]:[births]]*(LEN(raw[c_C])&gt;1)*(LEN(raw[[bd_cov]:[bd_cov]])&gt;interactive!$C$6))</f>
        <v>32.765545744766527</v>
      </c>
      <c r="S5" s="69" cm="1">
        <f t="array" ref="S5">SUMPRODUCT((raw[[who_region]:[who_region]]=$A5)*raw[[births]:[births]]*raw[c_CC]*(LEN(raw[c_CC])&gt;1)*(LEN(raw[[bd_cov]:[bd_cov]])&gt;interactive!$C$6))/SUMPRODUCT((raw[[who_region]:[who_region]]=$A5)*raw[[births]:[births]]*(LEN(raw[c_CC])&gt;1)*(LEN(raw[[bd_cov]:[bd_cov]])&gt;interactive!$C$6))</f>
        <v>93.239133416362165</v>
      </c>
      <c r="T5" s="69" cm="1">
        <f t="array" ref="T5">SUMPRODUCT((raw[[who_region]:[who_region]]=$A5)*raw[[births]:[births]]*raw[c_DC]*(LEN(raw[c_DC])&gt;1)*(LEN(raw[[bd_cov]:[bd_cov]])&gt;interactive!$C$6))/SUMPRODUCT((raw[[who_region]:[who_region]]=$A5)*raw[[births]:[births]]*(LEN(raw[c_DC])&gt;1)*(LEN(raw[[bd_cov]:[bd_cov]])&gt;interactive!$C$6))</f>
        <v>109.50553345067601</v>
      </c>
      <c r="U5" s="69" cm="1">
        <f t="array" ref="U5">SUMPRODUCT((raw[[who_region]:[who_region]]=$A5)*raw[[births]:[births]]*raw[c_HCC]*(LEN(raw[c_HCC])&gt;1)*(LEN(raw[[bd_cov]:[bd_cov]])&gt;interactive!$C$6))/SUMPRODUCT((raw[[who_region]:[who_region]]=$A5)*raw[[births]:[births]]*(LEN(raw[c_HCC])&gt;1)*(LEN(raw[[bd_cov]:[bd_cov]])&gt;interactive!$C$6))</f>
        <v>102.03634638281378</v>
      </c>
      <c r="V5" s="69" cm="1">
        <f t="array" ref="V5">SUMPRODUCT((raw[[who_region]:[who_region]]=$A5)*raw[[births]:[births]]*raw[bl1_f]*(LEN(raw[bl1_f])&gt;1)*(LEN(raw[[bd_cov]:[bd_cov]])&gt;interactive!$C$6))/SUMPRODUCT((raw[[who_region]:[who_region]]=$A5)*raw[[births]:[births]]*(LEN(raw[bl1_f])&gt;1)*(LEN(raw[[bd_cov]:[bd_cov]])&gt;interactive!$C$6))</f>
        <v>4.1848003980236745</v>
      </c>
      <c r="W5" s="69" cm="1">
        <f t="array" ref="W5">SUMPRODUCT((raw[[who_region]:[who_region]]=$A5)*raw[[births]:[births]]*raw[bl1_c]*(LEN(raw[bl1_c])&gt;1)*(LEN(raw[[bd_cov]:[bd_cov]])&gt;interactive!$C$6))/SUMPRODUCT((raw[[who_region]:[who_region]]=$A5)*raw[[births]:[births]]*(LEN(raw[bl1_c])&gt;1)*(LEN(raw[[bd_cov]:[bd_cov]])&gt;interactive!$C$6))</f>
        <v>7.1243502738690427</v>
      </c>
      <c r="X5" s="69" cm="1">
        <f t="array" ref="X5">SUMPRODUCT((raw[[who_region]:[who_region]]=$A5)*raw[[births]:[births]]*raw[map_f]*(LEN(raw[map_f])&gt;1)*(LEN(raw[[bd_cov]:[bd_cov]])&gt;interactive!$C$6))/SUMPRODUCT((raw[[who_region]:[who_region]]=$A5)*raw[[births]:[births]]*(LEN(raw[map_f])&gt;1)*(LEN(raw[[bd_cov]:[bd_cov]])&gt;interactive!$C$6))</f>
        <v>3.7628544354276152</v>
      </c>
      <c r="Y5" s="69" cm="1">
        <f t="array" ref="Y5">SUMPRODUCT((raw[[who_region]:[who_region]]=$A5)*raw[[births]:[births]]*raw[map_cq]*(LEN(raw[map_cq])&gt;1)*(LEN(raw[[bd_cov]:[bd_cov]])&gt;interactive!$C$6))/SUMPRODUCT((raw[[who_region]:[who_region]]=$A5)*raw[[births]:[births]]*(LEN(raw[map_cq])&gt;1)*(LEN(raw[[bd_cov]:[bd_cov]])&gt;interactive!$C$6))</f>
        <v>6.7024043112729821</v>
      </c>
      <c r="Z5" s="69" cm="1">
        <f t="array" ref="Z5">SUMPRODUCT((raw[[who_region]:[who_region]]=$A5)*raw[[births]:[births]]*raw[map_cl]*(LEN(raw[map_cl])&gt;1)*(LEN(raw[[bd_cov]:[bd_cov]])&gt;interactive!$C$6))/SUMPRODUCT((raw[[who_region]:[who_region]]=$A5)*raw[[births]:[births]]*(LEN(raw[map_cl])&gt;1)*(LEN(raw[[bd_cov]:[bd_cov]])&gt;interactive!$C$6))</f>
        <v>6.6939793484623111</v>
      </c>
      <c r="AA5" s="69" cm="1">
        <f t="array" ref="AA5">SUMPRODUCT((raw[[who_region]:[who_region]]=$A5)*raw[[births]:[births]]*raw[ctc_f]*(LEN(raw[ctc_f])&gt;1)*(LEN(raw[[bd_cov]:[bd_cov]])&gt;interactive!$C$6))/SUMPRODUCT((raw[[who_region]:[who_region]]=$A5)*raw[[births]:[births]]*(LEN(raw[ctc_f])&gt;1)*(LEN(raw[[bd_cov]:[bd_cov]])&gt;interactive!$C$6))</f>
        <v>4.393993233008076</v>
      </c>
      <c r="AB5" s="69" cm="1">
        <f t="array" ref="AB5">SUMPRODUCT((raw[[who_region]:[who_region]]=$A5)*raw[[births]:[births]]*raw[ctc_c]*(LEN(raw[ctc_c])&gt;1)*(LEN(raw[[bd_cov]:[bd_cov]])&gt;interactive!$C$6))/SUMPRODUCT((raw[[who_region]:[who_region]]=$A5)*raw[[births]:[births]]*(LEN(raw[ctc_c])&gt;1)*(LEN(raw[[bd_cov]:[bd_cov]])&gt;interactive!$C$6))</f>
        <v>7.3335431088534424</v>
      </c>
      <c r="AC5" s="71" cm="1">
        <f t="array" ref="AC5">SUMPRODUCT((raw[[who_region]:[who_region]]=$A5)*raw[[births]:[births]]*raw[m_01]*(LEN(raw[m_01])&gt;1)*(LEN(raw[[bd_cov]:[bd_cov]])&gt;interactive!$C$6))/SUMPRODUCT((raw[[who_region]:[who_region]]=$A5)*raw[[births]:[births]]*(LEN(raw[m_01])&gt;1)*(LEN(raw[[bd_cov]:[bd_cov]])&gt;interactive!$C$6))</f>
        <v>1.359986552948682E-2</v>
      </c>
      <c r="AD5" s="71" cm="1">
        <f t="array" ref="AD5">SUMPRODUCT((raw[[who_region]:[who_region]]=$A5)*raw[[births]:[births]]*raw[m_14]*(LEN(raw[m_14])&gt;1)*(LEN(raw[[bd_cov]:[bd_cov]])&gt;interactive!$C$6))/SUMPRODUCT((raw[[who_region]:[who_region]]=$A5)*raw[[births]:[births]]*(LEN(raw[m_14])&gt;1)*(LEN(raw[[bd_cov]:[bd_cov]])&gt;interactive!$C$6))</f>
        <v>8.8042299126636951E-4</v>
      </c>
      <c r="AE5" s="71" cm="1">
        <f t="array" ref="AE5">SUMPRODUCT((raw[[who_region]:[who_region]]=$A5)*raw[[births]:[births]]*raw[m_59]*(LEN(raw[m_59])&gt;1)*(LEN(raw[[bd_cov]:[bd_cov]])&gt;interactive!$C$6))/SUMPRODUCT((raw[[who_region]:[who_region]]=$A5)*raw[[births]:[births]]*(LEN(raw[m_59])&gt;1)*(LEN(raw[[bd_cov]:[bd_cov]])&gt;interactive!$C$6))</f>
        <v>3.8384228929412871E-4</v>
      </c>
      <c r="AF5" s="71" cm="1">
        <f t="array" ref="AF5">SUMPRODUCT((raw[[who_region]:[who_region]]=$A5)*raw[[births]:[births]]*raw[m_1014]*(LEN(raw[m_1014])&gt;1)*(LEN(raw[[bd_cov]:[bd_cov]])&gt;interactive!$C$6))/SUMPRODUCT((raw[[who_region]:[who_region]]=$A5)*raw[[births]:[births]]*(LEN(raw[m_1014])&gt;1)*(LEN(raw[[bd_cov]:[bd_cov]])&gt;interactive!$C$6))</f>
        <v>3.6622923858650145E-4</v>
      </c>
      <c r="AG5" s="71" cm="1">
        <f t="array" ref="AG5">SUMPRODUCT((raw[[who_region]:[who_region]]=$A5)*raw[[births]:[births]]*raw[m_1519]*(LEN(raw[m_1519])&gt;1)*(LEN(raw[[bd_cov]:[bd_cov]])&gt;interactive!$C$6))/SUMPRODUCT((raw[[who_region]:[who_region]]=$A5)*raw[[births]:[births]]*(LEN(raw[m_1519])&gt;1)*(LEN(raw[[bd_cov]:[bd_cov]])&gt;interactive!$C$6))</f>
        <v>5.6242560225411547E-4</v>
      </c>
      <c r="AH5" s="71" cm="1">
        <f t="array" ref="AH5">SUMPRODUCT((raw[[who_region]:[who_region]]=$A5)*raw[[births]:[births]]*raw[m_2024]*(LEN(raw[m_2024])&gt;1)*(LEN(raw[[bd_cov]:[bd_cov]])&gt;interactive!$C$6))/SUMPRODUCT((raw[[who_region]:[who_region]]=$A5)*raw[[births]:[births]]*(LEN(raw[m_2024])&gt;1)*(LEN(raw[[bd_cov]:[bd_cov]])&gt;interactive!$C$6))</f>
        <v>8.0801377781748837E-4</v>
      </c>
      <c r="AI5" s="71" cm="1">
        <f t="array" ref="AI5">SUMPRODUCT((raw[[who_region]:[who_region]]=$A5)*raw[[births]:[births]]*raw[m_2529]*(LEN(raw[m_2529])&gt;1)*(LEN(raw[[bd_cov]:[bd_cov]])&gt;interactive!$C$6))/SUMPRODUCT((raw[[who_region]:[who_region]]=$A5)*raw[[births]:[births]]*(LEN(raw[m_2529])&gt;1)*(LEN(raw[[bd_cov]:[bd_cov]])&gt;interactive!$C$6))</f>
        <v>1.0649356671294289E-3</v>
      </c>
      <c r="AJ5" s="71" cm="1">
        <f t="array" ref="AJ5">SUMPRODUCT((raw[[who_region]:[who_region]]=$A5)*raw[[births]:[births]]*raw[m_3034]*(LEN(raw[m_3034])&gt;1)*(LEN(raw[[bd_cov]:[bd_cov]])&gt;interactive!$C$6))/SUMPRODUCT((raw[[who_region]:[who_region]]=$A5)*raw[[births]:[births]]*(LEN(raw[m_3034])&gt;1)*(LEN(raw[[bd_cov]:[bd_cov]])&gt;interactive!$C$6))</f>
        <v>1.4652229987309625E-3</v>
      </c>
      <c r="AK5" s="71" cm="1">
        <f t="array" ref="AK5">SUMPRODUCT((raw[[who_region]:[who_region]]=$A5)*raw[[births]:[births]]*raw[m_3539]*(LEN(raw[m_3539])&gt;1)*(LEN(raw[[bd_cov]:[bd_cov]])&gt;interactive!$C$6))/SUMPRODUCT((raw[[who_region]:[who_region]]=$A5)*raw[[births]:[births]]*(LEN(raw[m_3539])&gt;1)*(LEN(raw[[bd_cov]:[bd_cov]])&gt;interactive!$C$6))</f>
        <v>2.0260415650486807E-3</v>
      </c>
      <c r="AL5" s="71" cm="1">
        <f t="array" ref="AL5">SUMPRODUCT((raw[[who_region]:[who_region]]=$A5)*raw[[births]:[births]]*raw[m_4044]*(LEN(raw[m_4044])&gt;1)*(LEN(raw[[bd_cov]:[bd_cov]])&gt;interactive!$C$6))/SUMPRODUCT((raw[[who_region]:[who_region]]=$A5)*raw[[births]:[births]]*(LEN(raw[m_4044])&gt;1)*(LEN(raw[[bd_cov]:[bd_cov]])&gt;interactive!$C$6))</f>
        <v>2.7520565295588691E-3</v>
      </c>
      <c r="AM5" s="71" cm="1">
        <f t="array" ref="AM5">SUMPRODUCT((raw[[who_region]:[who_region]]=$A5)*raw[[births]:[births]]*raw[m_4549]*(LEN(raw[m_4549])&gt;1)*(LEN(raw[[bd_cov]:[bd_cov]])&gt;interactive!$C$6))/SUMPRODUCT((raw[[who_region]:[who_region]]=$A5)*raw[[births]:[births]]*(LEN(raw[m_4549])&gt;1)*(LEN(raw[[bd_cov]:[bd_cov]])&gt;interactive!$C$6))</f>
        <v>3.8990889451294441E-3</v>
      </c>
      <c r="AN5" s="71" cm="1">
        <f t="array" ref="AN5">SUMPRODUCT((raw[[who_region]:[who_region]]=$A5)*raw[[births]:[births]]*raw[m_5054]*(LEN(raw[m_5054])&gt;1)*(LEN(raw[[bd_cov]:[bd_cov]])&gt;interactive!$C$6))/SUMPRODUCT((raw[[who_region]:[who_region]]=$A5)*raw[[births]:[births]]*(LEN(raw[m_5054])&gt;1)*(LEN(raw[[bd_cov]:[bd_cov]])&gt;interactive!$C$6))</f>
        <v>5.8374401025757094E-3</v>
      </c>
      <c r="AO5" s="71" cm="1">
        <f t="array" ref="AO5">SUMPRODUCT((raw[[who_region]:[who_region]]=$A5)*raw[[births]:[births]]*raw[m_5559]*(LEN(raw[m_5559])&gt;1)*(LEN(raw[[bd_cov]:[bd_cov]])&gt;interactive!$C$6))/SUMPRODUCT((raw[[who_region]:[who_region]]=$A5)*raw[[births]:[births]]*(LEN(raw[m_5559])&gt;1)*(LEN(raw[[bd_cov]:[bd_cov]])&gt;interactive!$C$6))</f>
        <v>9.0833002252344568E-3</v>
      </c>
      <c r="AP5" s="71" cm="1">
        <f t="array" ref="AP5">SUMPRODUCT((raw[[who_region]:[who_region]]=$A5)*raw[[births]:[births]]*raw[m_6064]*(LEN(raw[m_6064])&gt;1)*(LEN(raw[[bd_cov]:[bd_cov]])&gt;interactive!$C$6))/SUMPRODUCT((raw[[who_region]:[who_region]]=$A5)*raw[[births]:[births]]*(LEN(raw[m_6064])&gt;1)*(LEN(raw[[bd_cov]:[bd_cov]])&gt;interactive!$C$6))</f>
        <v>1.4395222047317935E-2</v>
      </c>
      <c r="AQ5" s="71" cm="1">
        <f t="array" ref="AQ5">SUMPRODUCT((raw[[who_region]:[who_region]]=$A5)*raw[[births]:[births]]*raw[m_6569]*(LEN(raw[m_6569])&gt;1)*(LEN(raw[[bd_cov]:[bd_cov]])&gt;interactive!$C$6))/SUMPRODUCT((raw[[who_region]:[who_region]]=$A5)*raw[[births]:[births]]*(LEN(raw[m_6569])&gt;1)*(LEN(raw[[bd_cov]:[bd_cov]])&gt;interactive!$C$6))</f>
        <v>2.163297838632915E-2</v>
      </c>
      <c r="AR5" s="71" cm="1">
        <f t="array" ref="AR5">SUMPRODUCT((raw[[who_region]:[who_region]]=$A5)*raw[[births]:[births]]*raw[m_7074]*(LEN(raw[m_7074])&gt;1)*(LEN(raw[[bd_cov]:[bd_cov]])&gt;interactive!$C$6))/SUMPRODUCT((raw[[who_region]:[who_region]]=$A5)*raw[[births]:[births]]*(LEN(raw[m_7074])&gt;1)*(LEN(raw[[bd_cov]:[bd_cov]])&gt;interactive!$C$6))</f>
        <v>3.489270177600684E-2</v>
      </c>
      <c r="AS5" s="71" cm="1">
        <f t="array" ref="AS5">SUMPRODUCT((raw[[who_region]:[who_region]]=$A5)*raw[[births]:[births]]*raw[m_7079]*(LEN(raw[m_7079])&gt;1)*(LEN(raw[[bd_cov]:[bd_cov]])&gt;interactive!$C$6))/SUMPRODUCT((raw[[who_region]:[who_region]]=$A5)*raw[[births]:[births]]*(LEN(raw[m_7079])&gt;1)*(LEN(raw[[bd_cov]:[bd_cov]])&gt;interactive!$C$6))</f>
        <v>5.5128936091777804E-2</v>
      </c>
      <c r="AT5" s="71" cm="1">
        <f t="array" ref="AT5">SUMPRODUCT((raw[[who_region]:[who_region]]=$A5)*raw[[births]:[births]]*raw[m_8084]*(LEN(raw[m_8084])&gt;1)*(LEN(raw[[bd_cov]:[bd_cov]])&gt;interactive!$C$6))/SUMPRODUCT((raw[[who_region]:[who_region]]=$A5)*raw[[births]:[births]]*(LEN(raw[m_8084])&gt;1)*(LEN(raw[[bd_cov]:[bd_cov]])&gt;interactive!$C$6))</f>
        <v>8.3183178467020252E-2</v>
      </c>
      <c r="AU5" s="71" cm="1">
        <f t="array" ref="AU5">SUMPRODUCT((raw[[who_region]:[who_region]]=$A5)*raw[[births]:[births]]*raw[m_8589]*(LEN(raw[m_8589])&gt;1)*(LEN(raw[[bd_cov]:[bd_cov]])&gt;interactive!$C$6))/SUMPRODUCT((raw[[who_region]:[who_region]]=$A5)*raw[[births]:[births]]*(LEN(raw[m_8589])&gt;1)*(LEN(raw[[bd_cov]:[bd_cov]])&gt;interactive!$C$6))</f>
        <v>0.11579240543853804</v>
      </c>
      <c r="AV5" s="71" cm="1">
        <f t="array" ref="AV5">SUMPRODUCT((raw[[who_region]:[who_region]]=$A5)*raw[[births]:[births]]*raw[m_9094]*(LEN(raw[m_9094])&gt;1)*(LEN(raw[[bd_cov]:[bd_cov]])&gt;interactive!$C$6))/SUMPRODUCT((raw[[who_region]:[who_region]]=$A5)*raw[[births]:[births]]*(LEN(raw[m_9094])&gt;1)*(LEN(raw[[bd_cov]:[bd_cov]])&gt;interactive!$C$6))</f>
        <v>0.14749354601975362</v>
      </c>
      <c r="AW5" s="71" cm="1">
        <f t="array" ref="AW5">SUMPRODUCT((raw[[who_region]:[who_region]]=$A5)*raw[[births]:[births]]*raw[m_95+]*(LEN(raw[m_95+])&gt;1)*(LEN(raw[[bd_cov]:[bd_cov]])&gt;interactive!$C$6))/SUMPRODUCT((raw[[who_region]:[who_region]]=$A5)*raw[[births]:[births]]*(LEN(raw[m_95+])&gt;1)*(LEN(raw[[bd_cov]:[bd_cov]])&gt;interactive!$C$6))</f>
        <v>0.17151605588034055</v>
      </c>
      <c r="AX5" s="71" cm="1">
        <f t="array" ref="AX5">SUMPRODUCT((raw[[who_region]:[who_region]]=$A5)*raw[[births]:[births]]*raw[av_life]*(LEN(raw[av_life])&gt;1)*(LEN(raw[[bd_cov]:[bd_cov]])&gt;interactive!$C$6))/SUMPRODUCT((raw[[who_region]:[who_region]]=$A5)*raw[[births]:[births]]*(LEN(raw[av_life])&gt;1)*(LEN(raw[[bd_cov]:[bd_cov]])&gt;interactive!$C$6))</f>
        <v>73.928040940762926</v>
      </c>
    </row>
    <row r="6" spans="1:51" x14ac:dyDescent="0.25">
      <c r="A6" s="65" t="s">
        <v>225</v>
      </c>
      <c r="H6" s="52" cm="1">
        <f t="array" ref="H6">SUMPRODUCT((raw[[who_region]:[who_region]]=$A6)*raw[pop]*(LEN(raw[bd_cov])&gt;interactive!$C$6))</f>
        <v>1806147189</v>
      </c>
      <c r="I6" s="52" cm="1">
        <f t="array" ref="I6">SUMPRODUCT((raw[[who_region]:[who_region]]=$A6)*raw[births]*(LEN(raw[bd_cov])&gt;interactive!$C$6))</f>
        <v>31960246.920099992</v>
      </c>
      <c r="J6" s="68" cm="1">
        <f t="array" ref="J6">SUMPRODUCT((raw[[who_region]:[who_region]]=$A6)*raw[[births]:[births]]*raw[fac_birth]*(LEN(raw[fac_birth])&gt;1)*(LEN(raw[[bd_cov]:[bd_cov]])&gt;interactive!$C$6))/SUMPRODUCT((raw[[who_region]:[who_region]]=$A6)*raw[[births]:[births]]*(LEN(raw[fac_birth])&gt;1)*(LEN(raw[[bd_cov]:[bd_cov]])&gt;interactive!$C$6))</f>
        <v>0.78220096953676588</v>
      </c>
      <c r="K6" s="68" cm="1">
        <f t="array" ref="K6">SUMPRODUCT((raw[[who_region]:[who_region]]=$A6)*raw[[births]:[births]]*raw[bd_cov]*(LEN(raw[bd_cov])&gt;1)*(LEN(raw[[bd_cov]:[bd_cov]])&gt;interactive!$C$6))/SUMPRODUCT((raw[[who_region]:[who_region]]=$A6)*raw[[births]:[births]]*(LEN(raw[bd_cov])&gt;1)*(LEN(raw[[bd_cov]:[bd_cov]])&gt;interactive!$C$6))</f>
        <v>0.575461874264111</v>
      </c>
      <c r="L6" s="68" cm="1">
        <f t="array" ref="L6">SUMPRODUCT((raw[[who_region]:[who_region]]=$A6)*raw[[births]:[births]]*raw[hbv3_cov]*(LEN(raw[hbv3_cov])&gt;1)*(LEN(raw[[bd_cov]:[bd_cov]])&gt;interactive!$C$6))/SUMPRODUCT((raw[[who_region]:[who_region]]=$A6)*raw[[births]:[births]]*(LEN(raw[hbv3_cov])&gt;1)*(LEN(raw[[bd_cov]:[bd_cov]])&gt;interactive!$C$6))</f>
        <v>0.84141828288025811</v>
      </c>
      <c r="M6" s="68" cm="1">
        <f t="array" ref="M6">SUMPRODUCT((raw[[who_region]:[who_region]]=$A6)*raw[[births]:[births]]*raw[hbv_prev]*(LEN(raw[hbv_prev])&gt;1)*(LEN(raw[[bd_cov]:[bd_cov]])&gt;interactive!$C$6))/SUMPRODUCT((raw[[who_region]:[who_region]]=$A6)*raw[[births]:[births]]*(LEN(raw[hbv_prev])&gt;1)*(LEN(raw[[bd_cov]:[bd_cov]])&gt;interactive!$C$6))</f>
        <v>2.6496193140442468E-2</v>
      </c>
      <c r="N6" s="68" cm="1">
        <f t="array" ref="N6">SUMPRODUCT((raw[[who_region]:[who_region]]=$A6)*raw[[births]:[births]]*raw[hbe_prev]*(LEN(raw[hbe_prev])&gt;1)*(LEN(raw[[bd_cov]:[bd_cov]])&gt;interactive!$C$6))/SUMPRODUCT((raw[[who_region]:[who_region]]=$A6)*raw[[births]:[births]]*(LEN(raw[hbe_prev])&gt;1)*(LEN(raw[[bd_cov]:[bd_cov]])&gt;interactive!$C$6))</f>
        <v>0.28148764694642414</v>
      </c>
      <c r="O6" s="68" cm="1">
        <f t="array" ref="O6">SUMPRODUCT((raw[[who_region]:[who_region]]=$A6)*raw[[births]:[births]]*raw[epos]*(LEN(raw[epos])&gt;1)*(LEN(raw[[bd_cov]:[bd_cov]])&gt;interactive!$C$6))/SUMPRODUCT((raw[[who_region]:[who_region]]=$A6)*raw[[births]:[births]]*(LEN(raw[epos])&gt;1)*(LEN(raw[[bd_cov]:[bd_cov]])&gt;interactive!$C$6))</f>
        <v>0.80000000000000016</v>
      </c>
      <c r="P6" s="68" cm="1">
        <f t="array" ref="P6">SUMPRODUCT((raw[[who_region]:[who_region]]=$A6)*raw[[births]:[births]]*raw[eneg]*(LEN(raw[eneg])&gt;1)*(LEN(raw[[bd_cov]:[bd_cov]])&gt;interactive!$C$6))/SUMPRODUCT((raw[[who_region]:[who_region]]=$A6)*raw[[births]:[births]]*(LEN(raw[eneg])&gt;1)*(LEN(raw[[bd_cov]:[bd_cov]])&gt;interactive!$C$6))</f>
        <v>0.17500000000000002</v>
      </c>
      <c r="Q6" s="69" cm="1">
        <f t="array" ref="Q6">SUMPRODUCT((raw[[who_region]:[who_region]]=$A6)*raw[[births]:[births]]*raw[c_diag]*(LEN(raw[c_diag])&gt;1)*(LEN(raw[[bd_cov]:[bd_cov]])&gt;interactive!$C$6))/SUMPRODUCT((raw[[who_region]:[who_region]]=$A6)*raw[[births]:[births]]*(LEN(raw[c_diag])&gt;1)*(LEN(raw[[bd_cov]:[bd_cov]])&gt;interactive!$C$6))</f>
        <v>4.1911279395996512</v>
      </c>
      <c r="R6" s="69" cm="1">
        <f t="array" ref="R6">SUMPRODUCT((raw[[who_region]:[who_region]]=$A6)*raw[[births]:[births]]*raw[c_C]*(LEN(raw[c_C])&gt;1)*(LEN(raw[[bd_cov]:[bd_cov]])&gt;interactive!$C$6))/SUMPRODUCT((raw[[who_region]:[who_region]]=$A6)*raw[[births]:[births]]*(LEN(raw[c_C])&gt;1)*(LEN(raw[[bd_cov]:[bd_cov]])&gt;interactive!$C$6))</f>
        <v>26.516507939599656</v>
      </c>
      <c r="S6" s="69" cm="1">
        <f t="array" ref="S6">SUMPRODUCT((raw[[who_region]:[who_region]]=$A6)*raw[[births]:[births]]*raw[c_CC]*(LEN(raw[c_CC])&gt;1)*(LEN(raw[[bd_cov]:[bd_cov]])&gt;interactive!$C$6))/SUMPRODUCT((raw[[who_region]:[who_region]]=$A6)*raw[[births]:[births]]*(LEN(raw[c_CC])&gt;1)*(LEN(raw[[bd_cov]:[bd_cov]])&gt;interactive!$C$6))</f>
        <v>60.98336822040153</v>
      </c>
      <c r="T6" s="69" cm="1">
        <f t="array" ref="T6">SUMPRODUCT((raw[[who_region]:[who_region]]=$A6)*raw[[births]:[births]]*raw[c_DC]*(LEN(raw[c_DC])&gt;1)*(LEN(raw[[bd_cov]:[bd_cov]])&gt;interactive!$C$6))/SUMPRODUCT((raw[[who_region]:[who_region]]=$A6)*raw[[births]:[births]]*(LEN(raw[c_DC])&gt;1)*(LEN(raw[[bd_cov]:[bd_cov]])&gt;interactive!$C$6))</f>
        <v>63.714175612771484</v>
      </c>
      <c r="U6" s="69" cm="1">
        <f t="array" ref="U6">SUMPRODUCT((raw[[who_region]:[who_region]]=$A6)*raw[[births]:[births]]*raw[c_HCC]*(LEN(raw[c_HCC])&gt;1)*(LEN(raw[[bd_cov]:[bd_cov]])&gt;interactive!$C$6))/SUMPRODUCT((raw[[who_region]:[who_region]]=$A6)*raw[[births]:[births]]*(LEN(raw[c_HCC])&gt;1)*(LEN(raw[[bd_cov]:[bd_cov]])&gt;interactive!$C$6))</f>
        <v>62.460246580109981</v>
      </c>
      <c r="V6" s="69" cm="1">
        <f t="array" ref="V6">SUMPRODUCT((raw[[who_region]:[who_region]]=$A6)*raw[[births]:[births]]*raw[bl1_f]*(LEN(raw[bl1_f])&gt;1)*(LEN(raw[[bd_cov]:[bd_cov]])&gt;interactive!$C$6))/SUMPRODUCT((raw[[who_region]:[who_region]]=$A6)*raw[[births]:[births]]*(LEN(raw[bl1_f])&gt;1)*(LEN(raw[[bd_cov]:[bd_cov]])&gt;interactive!$C$6))</f>
        <v>1.6436020548483423</v>
      </c>
      <c r="W6" s="69" cm="1">
        <f t="array" ref="W6">SUMPRODUCT((raw[[who_region]:[who_region]]=$A6)*raw[[births]:[births]]*raw[bl1_c]*(LEN(raw[bl1_c])&gt;1)*(LEN(raw[[bd_cov]:[bd_cov]])&gt;interactive!$C$6))/SUMPRODUCT((raw[[who_region]:[who_region]]=$A6)*raw[[births]:[births]]*(LEN(raw[bl1_c])&gt;1)*(LEN(raw[[bd_cov]:[bd_cov]])&gt;interactive!$C$6))</f>
        <v>3.2025622273512755</v>
      </c>
      <c r="X6" s="69" cm="1">
        <f t="array" ref="X6">SUMPRODUCT((raw[[who_region]:[who_region]]=$A6)*raw[[births]:[births]]*raw[map_f]*(LEN(raw[map_f])&gt;1)*(LEN(raw[[bd_cov]:[bd_cov]])&gt;interactive!$C$6))/SUMPRODUCT((raw[[who_region]:[who_region]]=$A6)*raw[[births]:[births]]*(LEN(raw[map_f])&gt;1)*(LEN(raw[[bd_cov]:[bd_cov]])&gt;interactive!$C$6))</f>
        <v>1.2292065656247828</v>
      </c>
      <c r="Y6" s="69" cm="1">
        <f t="array" ref="Y6">SUMPRODUCT((raw[[who_region]:[who_region]]=$A6)*raw[[births]:[births]]*raw[map_cq]*(LEN(raw[map_cq])&gt;1)*(LEN(raw[[bd_cov]:[bd_cov]])&gt;interactive!$C$6))/SUMPRODUCT((raw[[who_region]:[who_region]]=$A6)*raw[[births]:[births]]*(LEN(raw[map_cq])&gt;1)*(LEN(raw[[bd_cov]:[bd_cov]])&gt;interactive!$C$6))</f>
        <v>2.7881667381277162</v>
      </c>
      <c r="Z6" s="69" cm="1">
        <f t="array" ref="Z6">SUMPRODUCT((raw[[who_region]:[who_region]]=$A6)*raw[[births]:[births]]*raw[map_cl]*(LEN(raw[map_cl])&gt;1)*(LEN(raw[[bd_cov]:[bd_cov]])&gt;interactive!$C$6))/SUMPRODUCT((raw[[who_region]:[who_region]]=$A6)*raw[[births]:[births]]*(LEN(raw[map_cl])&gt;1)*(LEN(raw[[bd_cov]:[bd_cov]])&gt;interactive!$C$6))</f>
        <v>2.7827289253258933</v>
      </c>
      <c r="AA6" s="69" cm="1">
        <f t="array" ref="AA6">SUMPRODUCT((raw[[who_region]:[who_region]]=$A6)*raw[[births]:[births]]*raw[ctc_f]*(LEN(raw[ctc_f])&gt;1)*(LEN(raw[[bd_cov]:[bd_cov]])&gt;interactive!$C$6))/SUMPRODUCT((raw[[who_region]:[who_region]]=$A6)*raw[[births]:[births]]*(LEN(raw[ctc_f])&gt;1)*(LEN(raw[[bd_cov]:[bd_cov]])&gt;interactive!$C$6))</f>
        <v>1.8501029819347219</v>
      </c>
      <c r="AB6" s="69" cm="1">
        <f t="array" ref="AB6">SUMPRODUCT((raw[[who_region]:[who_region]]=$A6)*raw[[births]:[births]]*raw[ctc_c]*(LEN(raw[ctc_c])&gt;1)*(LEN(raw[[bd_cov]:[bd_cov]])&gt;interactive!$C$6))/SUMPRODUCT((raw[[who_region]:[who_region]]=$A6)*raw[[births]:[births]]*(LEN(raw[ctc_c])&gt;1)*(LEN(raw[[bd_cov]:[bd_cov]])&gt;interactive!$C$6))</f>
        <v>3.4090631544376548</v>
      </c>
      <c r="AC6" s="71" cm="1">
        <f t="array" ref="AC6">SUMPRODUCT((raw[[who_region]:[who_region]]=$A6)*raw[[births]:[births]]*raw[m_01]*(LEN(raw[m_01])&gt;1)*(LEN(raw[[bd_cov]:[bd_cov]])&gt;interactive!$C$6))/SUMPRODUCT((raw[[who_region]:[who_region]]=$A6)*raw[[births]:[births]]*(LEN(raw[m_01])&gt;1)*(LEN(raw[[bd_cov]:[bd_cov]])&gt;interactive!$C$6))</f>
        <v>2.9395573605762632E-2</v>
      </c>
      <c r="AD6" s="71" cm="1">
        <f t="array" ref="AD6">SUMPRODUCT((raw[[who_region]:[who_region]]=$A6)*raw[[births]:[births]]*raw[m_14]*(LEN(raw[m_14])&gt;1)*(LEN(raw[[bd_cov]:[bd_cov]])&gt;interactive!$C$6))/SUMPRODUCT((raw[[who_region]:[who_region]]=$A6)*raw[[births]:[births]]*(LEN(raw[m_14])&gt;1)*(LEN(raw[[bd_cov]:[bd_cov]])&gt;interactive!$C$6))</f>
        <v>1.8247763390566371E-3</v>
      </c>
      <c r="AE6" s="71" cm="1">
        <f t="array" ref="AE6">SUMPRODUCT((raw[[who_region]:[who_region]]=$A6)*raw[[births]:[births]]*raw[m_59]*(LEN(raw[m_59])&gt;1)*(LEN(raw[[bd_cov]:[bd_cov]])&gt;interactive!$C$6))/SUMPRODUCT((raw[[who_region]:[who_region]]=$A6)*raw[[births]:[births]]*(LEN(raw[m_59])&gt;1)*(LEN(raw[[bd_cov]:[bd_cov]])&gt;interactive!$C$6))</f>
        <v>6.824510971274164E-4</v>
      </c>
      <c r="AF6" s="71" cm="1">
        <f t="array" ref="AF6">SUMPRODUCT((raw[[who_region]:[who_region]]=$A6)*raw[[births]:[births]]*raw[m_1014]*(LEN(raw[m_1014])&gt;1)*(LEN(raw[[bd_cov]:[bd_cov]])&gt;interactive!$C$6))/SUMPRODUCT((raw[[who_region]:[who_region]]=$A6)*raw[[births]:[births]]*(LEN(raw[m_1014])&gt;1)*(LEN(raw[[bd_cov]:[bd_cov]])&gt;interactive!$C$6))</f>
        <v>5.8129678059673777E-4</v>
      </c>
      <c r="AG6" s="71" cm="1">
        <f t="array" ref="AG6">SUMPRODUCT((raw[[who_region]:[who_region]]=$A6)*raw[[births]:[births]]*raw[m_1519]*(LEN(raw[m_1519])&gt;1)*(LEN(raw[[bd_cov]:[bd_cov]])&gt;interactive!$C$6))/SUMPRODUCT((raw[[who_region]:[who_region]]=$A6)*raw[[births]:[births]]*(LEN(raw[m_1519])&gt;1)*(LEN(raw[[bd_cov]:[bd_cov]])&gt;interactive!$C$6))</f>
        <v>9.6110111866738344E-4</v>
      </c>
      <c r="AH6" s="71" cm="1">
        <f t="array" ref="AH6">SUMPRODUCT((raw[[who_region]:[who_region]]=$A6)*raw[[births]:[births]]*raw[m_2024]*(LEN(raw[m_2024])&gt;1)*(LEN(raw[[bd_cov]:[bd_cov]])&gt;interactive!$C$6))/SUMPRODUCT((raw[[who_region]:[who_region]]=$A6)*raw[[births]:[births]]*(LEN(raw[m_2024])&gt;1)*(LEN(raw[[bd_cov]:[bd_cov]])&gt;interactive!$C$6))</f>
        <v>1.3604304848688603E-3</v>
      </c>
      <c r="AI6" s="71" cm="1">
        <f t="array" ref="AI6">SUMPRODUCT((raw[[who_region]:[who_region]]=$A6)*raw[[births]:[births]]*raw[m_2529]*(LEN(raw[m_2529])&gt;1)*(LEN(raw[[bd_cov]:[bd_cov]])&gt;interactive!$C$6))/SUMPRODUCT((raw[[who_region]:[who_region]]=$A6)*raw[[births]:[births]]*(LEN(raw[m_2529])&gt;1)*(LEN(raw[[bd_cov]:[bd_cov]])&gt;interactive!$C$6))</f>
        <v>1.5223828357523342E-3</v>
      </c>
      <c r="AJ6" s="71" cm="1">
        <f t="array" ref="AJ6">SUMPRODUCT((raw[[who_region]:[who_region]]=$A6)*raw[[births]:[births]]*raw[m_3034]*(LEN(raw[m_3034])&gt;1)*(LEN(raw[[bd_cov]:[bd_cov]])&gt;interactive!$C$6))/SUMPRODUCT((raw[[who_region]:[who_region]]=$A6)*raw[[births]:[births]]*(LEN(raw[m_3034])&gt;1)*(LEN(raw[[bd_cov]:[bd_cov]])&gt;interactive!$C$6))</f>
        <v>1.9183772073822212E-3</v>
      </c>
      <c r="AK6" s="71" cm="1">
        <f t="array" ref="AK6">SUMPRODUCT((raw[[who_region]:[who_region]]=$A6)*raw[[births]:[births]]*raw[m_3539]*(LEN(raw[m_3539])&gt;1)*(LEN(raw[[bd_cov]:[bd_cov]])&gt;interactive!$C$6))/SUMPRODUCT((raw[[who_region]:[who_region]]=$A6)*raw[[births]:[births]]*(LEN(raw[m_3539])&gt;1)*(LEN(raw[[bd_cov]:[bd_cov]])&gt;interactive!$C$6))</f>
        <v>2.6378794559671144E-3</v>
      </c>
      <c r="AL6" s="71" cm="1">
        <f t="array" ref="AL6">SUMPRODUCT((raw[[who_region]:[who_region]]=$A6)*raw[[births]:[births]]*raw[m_4044]*(LEN(raw[m_4044])&gt;1)*(LEN(raw[[bd_cov]:[bd_cov]])&gt;interactive!$C$6))/SUMPRODUCT((raw[[who_region]:[who_region]]=$A6)*raw[[births]:[births]]*(LEN(raw[m_4044])&gt;1)*(LEN(raw[[bd_cov]:[bd_cov]])&gt;interactive!$C$6))</f>
        <v>3.575326325943842E-3</v>
      </c>
      <c r="AM6" s="71" cm="1">
        <f t="array" ref="AM6">SUMPRODUCT((raw[[who_region]:[who_region]]=$A6)*raw[[births]:[births]]*raw[m_4549]*(LEN(raw[m_4549])&gt;1)*(LEN(raw[[bd_cov]:[bd_cov]])&gt;interactive!$C$6))/SUMPRODUCT((raw[[who_region]:[who_region]]=$A6)*raw[[births]:[births]]*(LEN(raw[m_4549])&gt;1)*(LEN(raw[[bd_cov]:[bd_cov]])&gt;interactive!$C$6))</f>
        <v>5.166968459869894E-3</v>
      </c>
      <c r="AN6" s="71" cm="1">
        <f t="array" ref="AN6">SUMPRODUCT((raw[[who_region]:[who_region]]=$A6)*raw[[births]:[births]]*raw[m_5054]*(LEN(raw[m_5054])&gt;1)*(LEN(raw[[bd_cov]:[bd_cov]])&gt;interactive!$C$6))/SUMPRODUCT((raw[[who_region]:[who_region]]=$A6)*raw[[births]:[births]]*(LEN(raw[m_5054])&gt;1)*(LEN(raw[[bd_cov]:[bd_cov]])&gt;interactive!$C$6))</f>
        <v>8.1703112734142075E-3</v>
      </c>
      <c r="AO6" s="71" cm="1">
        <f t="array" ref="AO6">SUMPRODUCT((raw[[who_region]:[who_region]]=$A6)*raw[[births]:[births]]*raw[m_5559]*(LEN(raw[m_5559])&gt;1)*(LEN(raw[[bd_cov]:[bd_cov]])&gt;interactive!$C$6))/SUMPRODUCT((raw[[who_region]:[who_region]]=$A6)*raw[[births]:[births]]*(LEN(raw[m_5559])&gt;1)*(LEN(raw[[bd_cov]:[bd_cov]])&gt;interactive!$C$6))</f>
        <v>1.2223218501592357E-2</v>
      </c>
      <c r="AP6" s="71" cm="1">
        <f t="array" ref="AP6">SUMPRODUCT((raw[[who_region]:[who_region]]=$A6)*raw[[births]:[births]]*raw[m_6064]*(LEN(raw[m_6064])&gt;1)*(LEN(raw[[bd_cov]:[bd_cov]])&gt;interactive!$C$6))/SUMPRODUCT((raw[[who_region]:[who_region]]=$A6)*raw[[births]:[births]]*(LEN(raw[m_6064])&gt;1)*(LEN(raw[[bd_cov]:[bd_cov]])&gt;interactive!$C$6))</f>
        <v>1.8228744541519279E-2</v>
      </c>
      <c r="AQ6" s="71" cm="1">
        <f t="array" ref="AQ6">SUMPRODUCT((raw[[who_region]:[who_region]]=$A6)*raw[[births]:[births]]*raw[m_6569]*(LEN(raw[m_6569])&gt;1)*(LEN(raw[[bd_cov]:[bd_cov]])&gt;interactive!$C$6))/SUMPRODUCT((raw[[who_region]:[who_region]]=$A6)*raw[[births]:[births]]*(LEN(raw[m_6569])&gt;1)*(LEN(raw[[bd_cov]:[bd_cov]])&gt;interactive!$C$6))</f>
        <v>2.7372231987607354E-2</v>
      </c>
      <c r="AR6" s="71" cm="1">
        <f t="array" ref="AR6">SUMPRODUCT((raw[[who_region]:[who_region]]=$A6)*raw[[births]:[births]]*raw[m_7074]*(LEN(raw[m_7074])&gt;1)*(LEN(raw[[bd_cov]:[bd_cov]])&gt;interactive!$C$6))/SUMPRODUCT((raw[[who_region]:[who_region]]=$A6)*raw[[births]:[births]]*(LEN(raw[m_7074])&gt;1)*(LEN(raw[[bd_cov]:[bd_cov]])&gt;interactive!$C$6))</f>
        <v>4.1996899687894933E-2</v>
      </c>
      <c r="AS6" s="71" cm="1">
        <f t="array" ref="AS6">SUMPRODUCT((raw[[who_region]:[who_region]]=$A6)*raw[[births]:[births]]*raw[m_7079]*(LEN(raw[m_7079])&gt;1)*(LEN(raw[[bd_cov]:[bd_cov]])&gt;interactive!$C$6))/SUMPRODUCT((raw[[who_region]:[who_region]]=$A6)*raw[[births]:[births]]*(LEN(raw[m_7079])&gt;1)*(LEN(raw[[bd_cov]:[bd_cov]])&gt;interactive!$C$6))</f>
        <v>6.0556099317696385E-2</v>
      </c>
      <c r="AT6" s="71" cm="1">
        <f t="array" ref="AT6">SUMPRODUCT((raw[[who_region]:[who_region]]=$A6)*raw[[births]:[births]]*raw[m_8084]*(LEN(raw[m_8084])&gt;1)*(LEN(raw[[bd_cov]:[bd_cov]])&gt;interactive!$C$6))/SUMPRODUCT((raw[[who_region]:[who_region]]=$A6)*raw[[births]:[births]]*(LEN(raw[m_8084])&gt;1)*(LEN(raw[[bd_cov]:[bd_cov]])&gt;interactive!$C$6))</f>
        <v>8.6892530045061617E-2</v>
      </c>
      <c r="AU6" s="71" cm="1">
        <f t="array" ref="AU6">SUMPRODUCT((raw[[who_region]:[who_region]]=$A6)*raw[[births]:[births]]*raw[m_8589]*(LEN(raw[m_8589])&gt;1)*(LEN(raw[[bd_cov]:[bd_cov]])&gt;interactive!$C$6))/SUMPRODUCT((raw[[who_region]:[who_region]]=$A6)*raw[[births]:[births]]*(LEN(raw[m_8589])&gt;1)*(LEN(raw[[bd_cov]:[bd_cov]])&gt;interactive!$C$6))</f>
        <v>0.11696744433541789</v>
      </c>
      <c r="AV6" s="71" cm="1">
        <f t="array" ref="AV6">SUMPRODUCT((raw[[who_region]:[who_region]]=$A6)*raw[[births]:[births]]*raw[m_9094]*(LEN(raw[m_9094])&gt;1)*(LEN(raw[[bd_cov]:[bd_cov]])&gt;interactive!$C$6))/SUMPRODUCT((raw[[who_region]:[who_region]]=$A6)*raw[[births]:[births]]*(LEN(raw[m_9094])&gt;1)*(LEN(raw[[bd_cov]:[bd_cov]])&gt;interactive!$C$6))</f>
        <v>0.14450355840133036</v>
      </c>
      <c r="AW6" s="71" cm="1">
        <f t="array" ref="AW6">SUMPRODUCT((raw[[who_region]:[who_region]]=$A6)*raw[[births]:[births]]*raw[m_95+]*(LEN(raw[m_95+])&gt;1)*(LEN(raw[[bd_cov]:[bd_cov]])&gt;interactive!$C$6))/SUMPRODUCT((raw[[who_region]:[who_region]]=$A6)*raw[[births]:[births]]*(LEN(raw[m_95+])&gt;1)*(LEN(raw[[bd_cov]:[bd_cov]])&gt;interactive!$C$6))</f>
        <v>0.14536165488286293</v>
      </c>
      <c r="AX6" s="71" cm="1">
        <f t="array" ref="AX6">SUMPRODUCT((raw[[who_region]:[who_region]]=$A6)*raw[[births]:[births]]*raw[av_life]*(LEN(raw[av_life])&gt;1)*(LEN(raw[[bd_cov]:[bd_cov]])&gt;interactive!$C$6))/SUMPRODUCT((raw[[who_region]:[who_region]]=$A6)*raw[[births]:[births]]*(LEN(raw[av_life])&gt;1)*(LEN(raw[[bd_cov]:[bd_cov]])&gt;interactive!$C$6))</f>
        <v>69.735175531996859</v>
      </c>
    </row>
    <row r="7" spans="1:51" x14ac:dyDescent="0.25">
      <c r="A7" s="66" t="s">
        <v>260</v>
      </c>
      <c r="H7" s="52" cm="1">
        <f t="array" ref="H7">SUMPRODUCT((raw[[who_region]:[who_region]]=$A7)*raw[pop]*(LEN(raw[bd_cov])&gt;interactive!$C$6))</f>
        <v>1717340152</v>
      </c>
      <c r="I7" s="52" cm="1">
        <f t="array" ref="I7">SUMPRODUCT((raw[[who_region]:[who_region]]=$A7)*raw[births]*(LEN(raw[bd_cov])&gt;interactive!$C$6))</f>
        <v>22563759.857166</v>
      </c>
      <c r="J7" s="68" cm="1">
        <f t="array" ref="J7">SUMPRODUCT((raw[[who_region]:[who_region]]=$A7)*raw[[births]:[births]]*raw[fac_birth]*(LEN(raw[fac_birth])&gt;1)*(LEN(raw[[bd_cov]:[bd_cov]])&gt;interactive!$C$6))/SUMPRODUCT((raw[[who_region]:[who_region]]=$A7)*raw[[births]:[births]]*(LEN(raw[fac_birth])&gt;1)*(LEN(raw[[bd_cov]:[bd_cov]])&gt;interactive!$C$6))</f>
        <v>0.96120538137004619</v>
      </c>
      <c r="K7" s="68" cm="1">
        <f t="array" ref="K7">SUMPRODUCT((raw[[who_region]:[who_region]]=$A7)*raw[[births]:[births]]*raw[bd_cov]*(LEN(raw[bd_cov])&gt;1)*(LEN(raw[[bd_cov]:[bd_cov]])&gt;interactive!$C$6))/SUMPRODUCT((raw[[who_region]:[who_region]]=$A7)*raw[[births]:[births]]*(LEN(raw[bd_cov])&gt;1)*(LEN(raw[[bd_cov]:[bd_cov]])&gt;interactive!$C$6))</f>
        <v>0.88849339755375267</v>
      </c>
      <c r="L7" s="68" cm="1">
        <f t="array" ref="L7">SUMPRODUCT((raw[[who_region]:[who_region]]=$A7)*raw[[births]:[births]]*raw[hbv3_cov]*(LEN(raw[hbv3_cov])&gt;1)*(LEN(raw[[bd_cov]:[bd_cov]])&gt;interactive!$C$6))/SUMPRODUCT((raw[[who_region]:[who_region]]=$A7)*raw[[births]:[births]]*(LEN(raw[hbv3_cov])&gt;1)*(LEN(raw[[bd_cov]:[bd_cov]])&gt;interactive!$C$6))</f>
        <v>0.94883479334918075</v>
      </c>
      <c r="M7" s="68" cm="1">
        <f t="array" ref="M7">SUMPRODUCT((raw[[who_region]:[who_region]]=$A7)*raw[[births]:[births]]*raw[hbv_prev]*(LEN(raw[hbv_prev])&gt;1)*(LEN(raw[[bd_cov]:[bd_cov]])&gt;interactive!$C$6))/SUMPRODUCT((raw[[who_region]:[who_region]]=$A7)*raw[[births]:[births]]*(LEN(raw[hbv_prev])&gt;1)*(LEN(raw[[bd_cov]:[bd_cov]])&gt;interactive!$C$6))</f>
        <v>5.9532094237005298E-2</v>
      </c>
      <c r="N7" s="68" cm="1">
        <f t="array" ref="N7">SUMPRODUCT((raw[[who_region]:[who_region]]=$A7)*raw[[births]:[births]]*raw[hbe_prev]*(LEN(raw[hbe_prev])&gt;1)*(LEN(raw[[bd_cov]:[bd_cov]])&gt;interactive!$C$6))/SUMPRODUCT((raw[[who_region]:[who_region]]=$A7)*raw[[births]:[births]]*(LEN(raw[hbe_prev])&gt;1)*(LEN(raw[[bd_cov]:[bd_cov]])&gt;interactive!$C$6))</f>
        <v>0.33308913563627279</v>
      </c>
      <c r="O7" s="68" cm="1">
        <f t="array" ref="O7">SUMPRODUCT((raw[[who_region]:[who_region]]=$A7)*raw[[births]:[births]]*raw[epos]*(LEN(raw[epos])&gt;1)*(LEN(raw[[bd_cov]:[bd_cov]])&gt;interactive!$C$6))/SUMPRODUCT((raw[[who_region]:[who_region]]=$A7)*raw[[births]:[births]]*(LEN(raw[epos])&gt;1)*(LEN(raw[[bd_cov]:[bd_cov]])&gt;interactive!$C$6))</f>
        <v>0.8</v>
      </c>
      <c r="P7" s="68" cm="1">
        <f t="array" ref="P7">SUMPRODUCT((raw[[who_region]:[who_region]]=$A7)*raw[[births]:[births]]*raw[eneg]*(LEN(raw[eneg])&gt;1)*(LEN(raw[[bd_cov]:[bd_cov]])&gt;interactive!$C$6))/SUMPRODUCT((raw[[who_region]:[who_region]]=$A7)*raw[[births]:[births]]*(LEN(raw[eneg])&gt;1)*(LEN(raw[[bd_cov]:[bd_cov]])&gt;interactive!$C$6))</f>
        <v>0.17500000000000002</v>
      </c>
      <c r="Q7" s="69" cm="1">
        <f t="array" ref="Q7">SUMPRODUCT((raw[[who_region]:[who_region]]=$A7)*raw[[births]:[births]]*raw[c_diag]*(LEN(raw[c_diag])&gt;1)*(LEN(raw[[bd_cov]:[bd_cov]])&gt;interactive!$C$6))/SUMPRODUCT((raw[[who_region]:[who_region]]=$A7)*raw[[births]:[births]]*(LEN(raw[c_diag])&gt;1)*(LEN(raw[[bd_cov]:[bd_cov]])&gt;interactive!$C$6))</f>
        <v>7.4756484241429284</v>
      </c>
      <c r="R7" s="69" cm="1">
        <f t="array" ref="R7">SUMPRODUCT((raw[[who_region]:[who_region]]=$A7)*raw[[births]:[births]]*raw[c_C]*(LEN(raw[c_C])&gt;1)*(LEN(raw[[bd_cov]:[bd_cov]])&gt;interactive!$C$6))/SUMPRODUCT((raw[[who_region]:[who_region]]=$A7)*raw[[births]:[births]]*(LEN(raw[c_C])&gt;1)*(LEN(raw[[bd_cov]:[bd_cov]])&gt;interactive!$C$6))</f>
        <v>29.801028424142942</v>
      </c>
      <c r="S7" s="69" cm="1">
        <f t="array" ref="S7">SUMPRODUCT((raw[[who_region]:[who_region]]=$A7)*raw[[births]:[births]]*raw[c_CC]*(LEN(raw[c_CC])&gt;1)*(LEN(raw[[bd_cov]:[bd_cov]])&gt;interactive!$C$6))/SUMPRODUCT((raw[[who_region]:[who_region]]=$A7)*raw[[births]:[births]]*(LEN(raw[c_CC])&gt;1)*(LEN(raw[[bd_cov]:[bd_cov]])&gt;interactive!$C$6))</f>
        <v>75.420199665195383</v>
      </c>
      <c r="T7" s="69" cm="1">
        <f t="array" ref="T7">SUMPRODUCT((raw[[who_region]:[who_region]]=$A7)*raw[[births]:[births]]*raw[c_DC]*(LEN(raw[c_DC])&gt;1)*(LEN(raw[[bd_cov]:[bd_cov]])&gt;interactive!$C$6))/SUMPRODUCT((raw[[who_region]:[who_region]]=$A7)*raw[[births]:[births]]*(LEN(raw[c_DC])&gt;1)*(LEN(raw[[bd_cov]:[bd_cov]])&gt;interactive!$C$6))</f>
        <v>83.955395126310776</v>
      </c>
      <c r="U7" s="69" cm="1">
        <f t="array" ref="U7">SUMPRODUCT((raw[[who_region]:[who_region]]=$A7)*raw[[births]:[births]]*raw[c_HCC]*(LEN(raw[c_HCC])&gt;1)*(LEN(raw[[bd_cov]:[bd_cov]])&gt;interactive!$C$6))/SUMPRODUCT((raw[[who_region]:[who_region]]=$A7)*raw[[births]:[births]]*(LEN(raw[c_HCC])&gt;1)*(LEN(raw[[bd_cov]:[bd_cov]])&gt;interactive!$C$6))</f>
        <v>80.036213781615146</v>
      </c>
      <c r="V7" s="69" cm="1">
        <f t="array" ref="V7">SUMPRODUCT((raw[[who_region]:[who_region]]=$A7)*raw[[births]:[births]]*raw[bl1_f]*(LEN(raw[bl1_f])&gt;1)*(LEN(raw[[bd_cov]:[bd_cov]])&gt;interactive!$C$6))/SUMPRODUCT((raw[[who_region]:[who_region]]=$A7)*raw[[births]:[births]]*(LEN(raw[bl1_f])&gt;1)*(LEN(raw[[bd_cov]:[bd_cov]])&gt;interactive!$C$6))</f>
        <v>2.5641026350928411</v>
      </c>
      <c r="W7" s="69" cm="1">
        <f t="array" ref="W7">SUMPRODUCT((raw[[who_region]:[who_region]]=$A7)*raw[[births]:[births]]*raw[bl1_c]*(LEN(raw[bl1_c])&gt;1)*(LEN(raw[[bd_cov]:[bd_cov]])&gt;interactive!$C$6))/SUMPRODUCT((raw[[who_region]:[who_region]]=$A7)*raw[[births]:[births]]*(LEN(raw[bl1_c])&gt;1)*(LEN(raw[[bd_cov]:[bd_cov]])&gt;interactive!$C$6))</f>
        <v>3.2063183266907971</v>
      </c>
      <c r="X7" s="69" cm="1">
        <f t="array" ref="X7">SUMPRODUCT((raw[[who_region]:[who_region]]=$A7)*raw[[births]:[births]]*raw[map_f]*(LEN(raw[map_f])&gt;1)*(LEN(raw[[bd_cov]:[bd_cov]])&gt;interactive!$C$6))/SUMPRODUCT((raw[[who_region]:[who_region]]=$A7)*raw[[births]:[births]]*(LEN(raw[map_f])&gt;1)*(LEN(raw[[bd_cov]:[bd_cov]])&gt;interactive!$C$6))</f>
        <v>2.133132036370184</v>
      </c>
      <c r="Y7" s="69" cm="1">
        <f t="array" ref="Y7">SUMPRODUCT((raw[[who_region]:[who_region]]=$A7)*raw[[births]:[births]]*raw[map_cq]*(LEN(raw[map_cq])&gt;1)*(LEN(raw[[bd_cov]:[bd_cov]])&gt;interactive!$C$6))/SUMPRODUCT((raw[[who_region]:[who_region]]=$A7)*raw[[births]:[births]]*(LEN(raw[map_cq])&gt;1)*(LEN(raw[[bd_cov]:[bd_cov]])&gt;interactive!$C$6))</f>
        <v>2.77534772796814</v>
      </c>
      <c r="Z7" s="69" cm="1">
        <f t="array" ref="Z7">SUMPRODUCT((raw[[who_region]:[who_region]]=$A7)*raw[[births]:[births]]*raw[map_cl]*(LEN(raw[map_cl])&gt;1)*(LEN(raw[[bd_cov]:[bd_cov]])&gt;interactive!$C$6))/SUMPRODUCT((raw[[who_region]:[who_region]]=$A7)*raw[[births]:[births]]*(LEN(raw[map_cl])&gt;1)*(LEN(raw[[bd_cov]:[bd_cov]])&gt;interactive!$C$6))</f>
        <v>2.7631962855379366</v>
      </c>
      <c r="AA7" s="69" cm="1">
        <f t="array" ref="AA7">SUMPRODUCT((raw[[who_region]:[who_region]]=$A7)*raw[[births]:[births]]*raw[ctc_f]*(LEN(raw[ctc_f])&gt;1)*(LEN(raw[[bd_cov]:[bd_cov]])&gt;interactive!$C$6))/SUMPRODUCT((raw[[who_region]:[who_region]]=$A7)*raw[[births]:[births]]*(LEN(raw[ctc_f])&gt;1)*(LEN(raw[[bd_cov]:[bd_cov]])&gt;interactive!$C$6))</f>
        <v>2.7765129490441156</v>
      </c>
      <c r="AB7" s="69" cm="1">
        <f t="array" ref="AB7">SUMPRODUCT((raw[[who_region]:[who_region]]=$A7)*raw[[births]:[births]]*raw[ctc_c]*(LEN(raw[ctc_c])&gt;1)*(LEN(raw[[bd_cov]:[bd_cov]])&gt;interactive!$C$6))/SUMPRODUCT((raw[[who_region]:[who_region]]=$A7)*raw[[births]:[births]]*(LEN(raw[ctc_c])&gt;1)*(LEN(raw[[bd_cov]:[bd_cov]])&gt;interactive!$C$6))</f>
        <v>3.418728640642072</v>
      </c>
      <c r="AC7" s="71" cm="1">
        <f t="array" ref="AC7">SUMPRODUCT((raw[[who_region]:[who_region]]=$A7)*raw[[births]:[births]]*raw[m_01]*(LEN(raw[m_01])&gt;1)*(LEN(raw[[bd_cov]:[bd_cov]])&gt;interactive!$C$6))/SUMPRODUCT((raw[[who_region]:[who_region]]=$A7)*raw[[births]:[births]]*(LEN(raw[m_01])&gt;1)*(LEN(raw[[bd_cov]:[bd_cov]])&gt;interactive!$C$6))</f>
        <v>1.2130255501425892E-2</v>
      </c>
      <c r="AD7" s="71" cm="1">
        <f t="array" ref="AD7">SUMPRODUCT((raw[[who_region]:[who_region]]=$A7)*raw[[births]:[births]]*raw[m_14]*(LEN(raw[m_14])&gt;1)*(LEN(raw[[bd_cov]:[bd_cov]])&gt;interactive!$C$6))/SUMPRODUCT((raw[[who_region]:[who_region]]=$A7)*raw[[births]:[births]]*(LEN(raw[m_14])&gt;1)*(LEN(raw[[bd_cov]:[bd_cov]])&gt;interactive!$C$6))</f>
        <v>6.7807185454028058E-4</v>
      </c>
      <c r="AE7" s="71" cm="1">
        <f t="array" ref="AE7">SUMPRODUCT((raw[[who_region]:[who_region]]=$A7)*raw[[births]:[births]]*raw[m_59]*(LEN(raw[m_59])&gt;1)*(LEN(raw[[bd_cov]:[bd_cov]])&gt;interactive!$C$6))/SUMPRODUCT((raw[[who_region]:[who_region]]=$A7)*raw[[births]:[births]]*(LEN(raw[m_59])&gt;1)*(LEN(raw[[bd_cov]:[bd_cov]])&gt;interactive!$C$6))</f>
        <v>3.9141931303174815E-4</v>
      </c>
      <c r="AF7" s="71" cm="1">
        <f t="array" ref="AF7">SUMPRODUCT((raw[[who_region]:[who_region]]=$A7)*raw[[births]:[births]]*raw[m_1014]*(LEN(raw[m_1014])&gt;1)*(LEN(raw[[bd_cov]:[bd_cov]])&gt;interactive!$C$6))/SUMPRODUCT((raw[[who_region]:[who_region]]=$A7)*raw[[births]:[births]]*(LEN(raw[m_1014])&gt;1)*(LEN(raw[[bd_cov]:[bd_cov]])&gt;interactive!$C$6))</f>
        <v>3.0837306874500548E-4</v>
      </c>
      <c r="AG7" s="71" cm="1">
        <f t="array" ref="AG7">SUMPRODUCT((raw[[who_region]:[who_region]]=$A7)*raw[[births]:[births]]*raw[m_1519]*(LEN(raw[m_1519])&gt;1)*(LEN(raw[[bd_cov]:[bd_cov]])&gt;interactive!$C$6))/SUMPRODUCT((raw[[who_region]:[who_region]]=$A7)*raw[[births]:[births]]*(LEN(raw[m_1519])&gt;1)*(LEN(raw[[bd_cov]:[bd_cov]])&gt;interactive!$C$6))</f>
        <v>4.9055543455316954E-4</v>
      </c>
      <c r="AH7" s="71" cm="1">
        <f t="array" ref="AH7">SUMPRODUCT((raw[[who_region]:[who_region]]=$A7)*raw[[births]:[births]]*raw[m_2024]*(LEN(raw[m_2024])&gt;1)*(LEN(raw[[bd_cov]:[bd_cov]])&gt;interactive!$C$6))/SUMPRODUCT((raw[[who_region]:[who_region]]=$A7)*raw[[births]:[births]]*(LEN(raw[m_2024])&gt;1)*(LEN(raw[[bd_cov]:[bd_cov]])&gt;interactive!$C$6))</f>
        <v>6.8245854740275457E-4</v>
      </c>
      <c r="AI7" s="71" cm="1">
        <f t="array" ref="AI7">SUMPRODUCT((raw[[who_region]:[who_region]]=$A7)*raw[[births]:[births]]*raw[m_2529]*(LEN(raw[m_2529])&gt;1)*(LEN(raw[[bd_cov]:[bd_cov]])&gt;interactive!$C$6))/SUMPRODUCT((raw[[who_region]:[who_region]]=$A7)*raw[[births]:[births]]*(LEN(raw[m_2529])&gt;1)*(LEN(raw[[bd_cov]:[bd_cov]])&gt;interactive!$C$6))</f>
        <v>8.5177674123833097E-4</v>
      </c>
      <c r="AJ7" s="71" cm="1">
        <f t="array" ref="AJ7">SUMPRODUCT((raw[[who_region]:[who_region]]=$A7)*raw[[births]:[births]]*raw[m_3034]*(LEN(raw[m_3034])&gt;1)*(LEN(raw[[bd_cov]:[bd_cov]])&gt;interactive!$C$6))/SUMPRODUCT((raw[[who_region]:[who_region]]=$A7)*raw[[births]:[births]]*(LEN(raw[m_3034])&gt;1)*(LEN(raw[[bd_cov]:[bd_cov]])&gt;interactive!$C$6))</f>
        <v>1.0602536345014524E-3</v>
      </c>
      <c r="AK7" s="71" cm="1">
        <f t="array" ref="AK7">SUMPRODUCT((raw[[who_region]:[who_region]]=$A7)*raw[[births]:[births]]*raw[m_3539]*(LEN(raw[m_3539])&gt;1)*(LEN(raw[[bd_cov]:[bd_cov]])&gt;interactive!$C$6))/SUMPRODUCT((raw[[who_region]:[who_region]]=$A7)*raw[[births]:[births]]*(LEN(raw[m_3539])&gt;1)*(LEN(raw[[bd_cov]:[bd_cov]])&gt;interactive!$C$6))</f>
        <v>1.3620252124251645E-3</v>
      </c>
      <c r="AL7" s="71" cm="1">
        <f t="array" ref="AL7">SUMPRODUCT((raw[[who_region]:[who_region]]=$A7)*raw[[births]:[births]]*raw[m_4044]*(LEN(raw[m_4044])&gt;1)*(LEN(raw[[bd_cov]:[bd_cov]])&gt;interactive!$C$6))/SUMPRODUCT((raw[[who_region]:[who_region]]=$A7)*raw[[births]:[births]]*(LEN(raw[m_4044])&gt;1)*(LEN(raw[[bd_cov]:[bd_cov]])&gt;interactive!$C$6))</f>
        <v>1.9171179541553115E-3</v>
      </c>
      <c r="AM7" s="71" cm="1">
        <f t="array" ref="AM7">SUMPRODUCT((raw[[who_region]:[who_region]]=$A7)*raw[[births]:[births]]*raw[m_4549]*(LEN(raw[m_4549])&gt;1)*(LEN(raw[[bd_cov]:[bd_cov]])&gt;interactive!$C$6))/SUMPRODUCT((raw[[who_region]:[who_region]]=$A7)*raw[[births]:[births]]*(LEN(raw[m_4549])&gt;1)*(LEN(raw[[bd_cov]:[bd_cov]])&gt;interactive!$C$6))</f>
        <v>2.8099348310387283E-3</v>
      </c>
      <c r="AN7" s="71" cm="1">
        <f t="array" ref="AN7">SUMPRODUCT((raw[[who_region]:[who_region]]=$A7)*raw[[births]:[births]]*raw[m_5054]*(LEN(raw[m_5054])&gt;1)*(LEN(raw[[bd_cov]:[bd_cov]])&gt;interactive!$C$6))/SUMPRODUCT((raw[[who_region]:[who_region]]=$A7)*raw[[births]:[births]]*(LEN(raw[m_5054])&gt;1)*(LEN(raw[[bd_cov]:[bd_cov]])&gt;interactive!$C$6))</f>
        <v>4.4741208648817199E-3</v>
      </c>
      <c r="AO7" s="71" cm="1">
        <f t="array" ref="AO7">SUMPRODUCT((raw[[who_region]:[who_region]]=$A7)*raw[[births]:[births]]*raw[m_5559]*(LEN(raw[m_5559])&gt;1)*(LEN(raw[[bd_cov]:[bd_cov]])&gt;interactive!$C$6))/SUMPRODUCT((raw[[who_region]:[who_region]]=$A7)*raw[[births]:[births]]*(LEN(raw[m_5559])&gt;1)*(LEN(raw[[bd_cov]:[bd_cov]])&gt;interactive!$C$6))</f>
        <v>7.1586511232246443E-3</v>
      </c>
      <c r="AP7" s="71" cm="1">
        <f t="array" ref="AP7">SUMPRODUCT((raw[[who_region]:[who_region]]=$A7)*raw[[births]:[births]]*raw[m_6064]*(LEN(raw[m_6064])&gt;1)*(LEN(raw[[bd_cov]:[bd_cov]])&gt;interactive!$C$6))/SUMPRODUCT((raw[[who_region]:[who_region]]=$A7)*raw[[births]:[births]]*(LEN(raw[m_6064])&gt;1)*(LEN(raw[[bd_cov]:[bd_cov]])&gt;interactive!$C$6))</f>
        <v>1.2132304912738557E-2</v>
      </c>
      <c r="AQ7" s="71" cm="1">
        <f t="array" ref="AQ7">SUMPRODUCT((raw[[who_region]:[who_region]]=$A7)*raw[[births]:[births]]*raw[m_6569]*(LEN(raw[m_6569])&gt;1)*(LEN(raw[[bd_cov]:[bd_cov]])&gt;interactive!$C$6))/SUMPRODUCT((raw[[who_region]:[who_region]]=$A7)*raw[[births]:[births]]*(LEN(raw[m_6569])&gt;1)*(LEN(raw[[bd_cov]:[bd_cov]])&gt;interactive!$C$6))</f>
        <v>2.0392200150415828E-2</v>
      </c>
      <c r="AR7" s="71" cm="1">
        <f t="array" ref="AR7">SUMPRODUCT((raw[[who_region]:[who_region]]=$A7)*raw[[births]:[births]]*raw[m_7074]*(LEN(raw[m_7074])&gt;1)*(LEN(raw[[bd_cov]:[bd_cov]])&gt;interactive!$C$6))/SUMPRODUCT((raw[[who_region]:[who_region]]=$A7)*raw[[births]:[births]]*(LEN(raw[m_7074])&gt;1)*(LEN(raw[[bd_cov]:[bd_cov]])&gt;interactive!$C$6))</f>
        <v>3.44244204858224E-2</v>
      </c>
      <c r="AS7" s="71" cm="1">
        <f t="array" ref="AS7">SUMPRODUCT((raw[[who_region]:[who_region]]=$A7)*raw[[births]:[births]]*raw[m_7079]*(LEN(raw[m_7079])&gt;1)*(LEN(raw[[bd_cov]:[bd_cov]])&gt;interactive!$C$6))/SUMPRODUCT((raw[[who_region]:[who_region]]=$A7)*raw[[births]:[births]]*(LEN(raw[m_7079])&gt;1)*(LEN(raw[[bd_cov]:[bd_cov]])&gt;interactive!$C$6))</f>
        <v>5.3867591667339003E-2</v>
      </c>
      <c r="AT7" s="71" cm="1">
        <f t="array" ref="AT7">SUMPRODUCT((raw[[who_region]:[who_region]]=$A7)*raw[[births]:[births]]*raw[m_8084]*(LEN(raw[m_8084])&gt;1)*(LEN(raw[[bd_cov]:[bd_cov]])&gt;interactive!$C$6))/SUMPRODUCT((raw[[who_region]:[who_region]]=$A7)*raw[[births]:[births]]*(LEN(raw[m_8084])&gt;1)*(LEN(raw[[bd_cov]:[bd_cov]])&gt;interactive!$C$6))</f>
        <v>7.6826546279148339E-2</v>
      </c>
      <c r="AU7" s="71" cm="1">
        <f t="array" ref="AU7">SUMPRODUCT((raw[[who_region]:[who_region]]=$A7)*raw[[births]:[births]]*raw[m_8589]*(LEN(raw[m_8589])&gt;1)*(LEN(raw[[bd_cov]:[bd_cov]])&gt;interactive!$C$6))/SUMPRODUCT((raw[[who_region]:[who_region]]=$A7)*raw[[births]:[births]]*(LEN(raw[m_8589])&gt;1)*(LEN(raw[[bd_cov]:[bd_cov]])&gt;interactive!$C$6))</f>
        <v>0.10590692805681631</v>
      </c>
      <c r="AV7" s="71" cm="1">
        <f t="array" ref="AV7">SUMPRODUCT((raw[[who_region]:[who_region]]=$A7)*raw[[births]:[births]]*raw[m_9094]*(LEN(raw[m_9094])&gt;1)*(LEN(raw[[bd_cov]:[bd_cov]])&gt;interactive!$C$6))/SUMPRODUCT((raw[[who_region]:[who_region]]=$A7)*raw[[births]:[births]]*(LEN(raw[m_9094])&gt;1)*(LEN(raw[[bd_cov]:[bd_cov]])&gt;interactive!$C$6))</f>
        <v>0.13211311453937141</v>
      </c>
      <c r="AW7" s="71" cm="1">
        <f t="array" ref="AW7">SUMPRODUCT((raw[[who_region]:[who_region]]=$A7)*raw[[births]:[births]]*raw[m_95+]*(LEN(raw[m_95+])&gt;1)*(LEN(raw[[bd_cov]:[bd_cov]])&gt;interactive!$C$6))/SUMPRODUCT((raw[[who_region]:[who_region]]=$A7)*raw[[births]:[births]]*(LEN(raw[m_95+])&gt;1)*(LEN(raw[[bd_cov]:[bd_cov]])&gt;interactive!$C$6))</f>
        <v>0.15413448359295936</v>
      </c>
      <c r="AX7" s="71" cm="1">
        <f t="array" ref="AX7">SUMPRODUCT((raw[[who_region]:[who_region]]=$A7)*raw[[births]:[births]]*raw[av_life]*(LEN(raw[av_life])&gt;1)*(LEN(raw[[bd_cov]:[bd_cov]])&gt;interactive!$C$6))/SUMPRODUCT((raw[[who_region]:[who_region]]=$A7)*raw[[births]:[births]]*(LEN(raw[av_life])&gt;1)*(LEN(raw[[bd_cov]:[bd_cov]])&gt;interactive!$C$6))</f>
        <v>75.579570681381213</v>
      </c>
    </row>
    <row r="8" spans="1:51" x14ac:dyDescent="0.25">
      <c r="A8" s="65" t="s">
        <v>505</v>
      </c>
      <c r="H8" s="52" cm="1">
        <f t="array" ref="H8">SUMPRODUCT(raw[pop]*(LEN(raw[bd_cov])&gt;interactive!$C$6))</f>
        <v>4824723923</v>
      </c>
      <c r="I8" s="52" cm="1">
        <f t="array" ref="I8">SUMPRODUCT(raw[births]*(LEN(raw[bd_cov])&gt;interactive!$C$6))</f>
        <v>80140070.590728983</v>
      </c>
      <c r="J8" s="68" cm="1">
        <f t="array" ref="J8">SUMPRODUCT(raw[[births]:[births]]*raw[fac_birth]*(LEN(raw[fac_birth])&gt;1)*(LEN(raw[[bd_cov]:[bd_cov]])&gt;interactive!$C$6))/SUMPRODUCT(raw[[births]:[births]]*(LEN(raw[fac_birth])&gt;1)*(LEN(raw[[bd_cov]:[bd_cov]])&gt;interactive!$C$6))</f>
        <v>0.87257974723046972</v>
      </c>
      <c r="K8" s="68" cm="1">
        <f t="array" ref="K8">SUMPRODUCT(raw[[births]:[births]]*raw[bd_cov]*(LEN(raw[bd_cov])&gt;1)*(LEN(raw[[bd_cov]:[bd_cov]])&gt;interactive!$C$6))/SUMPRODUCT(raw[[births]:[births]]*(LEN(raw[bd_cov])&gt;1)*(LEN(raw[[bd_cov]:[bd_cov]])&gt;interactive!$C$6))</f>
        <v>0.71488134575389195</v>
      </c>
      <c r="L8" s="68" cm="1">
        <f t="array" ref="L8">SUMPRODUCT(raw[[births]:[births]]*raw[hbv3_cov]*(LEN(raw[hbv3_cov])&gt;1)*(LEN(raw[[bd_cov]:[bd_cov]])&gt;interactive!$C$6))/SUMPRODUCT(raw[[births]:[births]]*(LEN(raw[hbv3_cov])&gt;1)*(LEN(raw[[bd_cov]:[bd_cov]])&gt;interactive!$C$6))</f>
        <v>0.87270338411739667</v>
      </c>
      <c r="M8" s="68" cm="1">
        <f t="array" ref="M8">SUMPRODUCT(raw[[births]:[births]]*raw[hbv_prev]*(LEN(raw[hbv_prev])&gt;1)*(LEN(raw[[bd_cov]:[bd_cov]])&gt;interactive!$C$6))/SUMPRODUCT(raw[[births]:[births]]*(LEN(raw[hbv_prev])&gt;1)*(LEN(raw[[bd_cov]:[bd_cov]])&gt;interactive!$C$6))</f>
        <v>3.4787138445109465E-2</v>
      </c>
      <c r="N8" s="68" cm="1">
        <f t="array" ref="N8">SUMPRODUCT(raw[[births]:[births]]*raw[hbe_prev]*(LEN(raw[hbe_prev])&gt;1)*(LEN(raw[[bd_cov]:[bd_cov]])&gt;interactive!$C$6))/SUMPRODUCT(raw[[births]:[births]]*(LEN(raw[hbe_prev])&gt;1)*(LEN(raw[[bd_cov]:[bd_cov]])&gt;interactive!$C$6))</f>
        <v>0.29797021547729863</v>
      </c>
      <c r="O8" s="68" cm="1">
        <f t="array" ref="O8">SUMPRODUCT(raw[[births]:[births]]*raw[epos]*(LEN(raw[epos])&gt;1)*(LEN(raw[[bd_cov]:[bd_cov]])&gt;interactive!$C$6))/SUMPRODUCT(raw[[births]:[births]]*(LEN(raw[epos])&gt;1)*(LEN(raw[[bd_cov]:[bd_cov]])&gt;interactive!$C$6))</f>
        <v>0.78569374420697813</v>
      </c>
      <c r="P8" s="68" cm="1">
        <f t="array" ref="P8">SUMPRODUCT(raw[[births]:[births]]*raw[eneg]*(LEN(raw[eneg])&gt;1)*(LEN(raw[[bd_cov]:[bd_cov]])&gt;interactive!$C$6))/SUMPRODUCT(raw[[births]:[births]]*(LEN(raw[eneg])&gt;1)*(LEN(raw[[bd_cov]:[bd_cov]])&gt;interactive!$C$6))</f>
        <v>0.1706429388831803</v>
      </c>
      <c r="Q8" s="69" cm="1">
        <f t="array" ref="Q8">SUMPRODUCT(raw[[births]:[births]]*raw[c_diag]*(LEN(raw[c_diag])&gt;1)*(LEN(raw[[bd_cov]:[bd_cov]])&gt;interactive!$C$6))/SUMPRODUCT(raw[[births]:[births]]*(LEN(raw[c_diag])&gt;1)*(LEN(raw[[bd_cov]:[bd_cov]])&gt;interactive!$C$6))</f>
        <v>6.5591439723806655</v>
      </c>
      <c r="R8" s="69" cm="1">
        <f t="array" ref="R8">SUMPRODUCT(raw[[births]:[births]]*raw[c_C]*(LEN(raw[c_C])&gt;1)*(LEN(raw[[bd_cov]:[bd_cov]])&gt;interactive!$C$6))/SUMPRODUCT(raw[[births]:[births]]*(LEN(raw[c_C])&gt;1)*(LEN(raw[[bd_cov]:[bd_cov]])&gt;interactive!$C$6))</f>
        <v>28.884523972380652</v>
      </c>
      <c r="S8" s="69" cm="1">
        <f t="array" ref="S8">SUMPRODUCT(raw[[births]:[births]]*raw[c_CC]*(LEN(raw[c_CC])&gt;1)*(LEN(raw[[bd_cov]:[bd_cov]])&gt;interactive!$C$6))/SUMPRODUCT(raw[[births]:[births]]*(LEN(raw[c_CC])&gt;1)*(LEN(raw[[bd_cov]:[bd_cov]])&gt;interactive!$C$6))</f>
        <v>72.037604810426927</v>
      </c>
      <c r="T8" s="69" cm="1">
        <f t="array" ref="T8">SUMPRODUCT(raw[[births]:[births]]*raw[c_DC]*(LEN(raw[c_DC])&gt;1)*(LEN(raw[[bd_cov]:[bd_cov]])&gt;interactive!$C$6))/SUMPRODUCT(raw[[births]:[births]]*(LEN(raw[c_DC])&gt;1)*(LEN(raw[[bd_cov]:[bd_cov]])&gt;interactive!$C$6))</f>
        <v>79.289286409466953</v>
      </c>
      <c r="U8" s="69" cm="1">
        <f t="array" ref="U8">SUMPRODUCT(raw[[births]:[births]]*raw[c_HCC]*(LEN(raw[c_HCC])&gt;1)*(LEN(raw[[bd_cov]:[bd_cov]])&gt;interactive!$C$6))/SUMPRODUCT(raw[[births]:[births]]*(LEN(raw[c_HCC])&gt;1)*(LEN(raw[[bd_cov]:[bd_cov]])&gt;interactive!$C$6))</f>
        <v>75.959467500209513</v>
      </c>
      <c r="V8" s="69" cm="1">
        <f t="array" ref="V8">SUMPRODUCT(raw[[births]:[births]]*raw[bl1_f]*(LEN(raw[bl1_f])&gt;1)*(LEN(raw[[bd_cov]:[bd_cov]])&gt;interactive!$C$6))/SUMPRODUCT(raw[[births]:[births]]*(LEN(raw[bl1_f])&gt;1)*(LEN(raw[[bd_cov]:[bd_cov]])&gt;interactive!$C$6))</f>
        <v>2.393976616472516</v>
      </c>
      <c r="W8" s="69" cm="1">
        <f t="array" ref="W8">SUMPRODUCT(raw[[births]:[births]]*raw[bl1_c]*(LEN(raw[bl1_c])&gt;1)*(LEN(raw[[bd_cov]:[bd_cov]])&gt;interactive!$C$6))/SUMPRODUCT(raw[[births]:[births]]*(LEN(raw[bl1_c])&gt;1)*(LEN(raw[[bd_cov]:[bd_cov]])&gt;interactive!$C$6))</f>
        <v>3.5772944112199427</v>
      </c>
      <c r="X8" s="69" cm="1">
        <f t="array" ref="X8">SUMPRODUCT(raw[[births]:[births]]*raw[map_f]*(LEN(raw[map_f])&gt;1)*(LEN(raw[[bd_cov]:[bd_cov]])&gt;interactive!$C$6))/SUMPRODUCT(raw[[births]:[births]]*(LEN(raw[map_f])&gt;1)*(LEN(raw[[bd_cov]:[bd_cov]])&gt;interactive!$C$6))</f>
        <v>1.9729808200739485</v>
      </c>
      <c r="Y8" s="69" cm="1">
        <f t="array" ref="Y8">SUMPRODUCT(raw[[births]:[births]]*raw[map_cq]*(LEN(raw[map_cq])&gt;1)*(LEN(raw[[bd_cov]:[bd_cov]])&gt;interactive!$C$6))/SUMPRODUCT(raw[[births]:[births]]*(LEN(raw[map_cq])&gt;1)*(LEN(raw[[bd_cov]:[bd_cov]])&gt;interactive!$C$6))</f>
        <v>3.1562986148213761</v>
      </c>
      <c r="Z8" s="69" cm="1">
        <f t="array" ref="Z8">SUMPRODUCT(raw[[births]:[births]]*raw[map_cl]*(LEN(raw[map_cl])&gt;1)*(LEN(raw[[bd_cov]:[bd_cov]])&gt;interactive!$C$6))/SUMPRODUCT(raw[[births]:[births]]*(LEN(raw[map_cl])&gt;1)*(LEN(raw[[bd_cov]:[bd_cov]])&gt;interactive!$C$6))</f>
        <v>3.1481674842382823</v>
      </c>
      <c r="AA8" s="69" cm="1">
        <f t="array" ref="AA8">SUMPRODUCT(raw[[births]:[births]]*raw[ctc_f]*(LEN(raw[ctc_f])&gt;1)*(LEN(raw[[bd_cov]:[bd_cov]])&gt;interactive!$C$6))/SUMPRODUCT(raw[[births]:[births]]*(LEN(raw[ctc_f])&gt;1)*(LEN(raw[[bd_cov]:[bd_cov]])&gt;interactive!$C$6))</f>
        <v>2.6028306965517229</v>
      </c>
      <c r="AB8" s="69" cm="1">
        <f t="array" ref="AB8">SUMPRODUCT(raw[[births]:[births]]*raw[ctc_c]*(LEN(raw[ctc_c])&gt;1)*(LEN(raw[[bd_cov]:[bd_cov]])&gt;interactive!$C$6))/SUMPRODUCT(raw[[births]:[births]]*(LEN(raw[ctc_c])&gt;1)*(LEN(raw[[bd_cov]:[bd_cov]])&gt;interactive!$C$6))</f>
        <v>3.7861484912991492</v>
      </c>
      <c r="AC8" s="71" cm="1">
        <f t="array" ref="AC8">SUMPRODUCT(raw[[births]:[births]]*raw[m_01]*(LEN(raw[m_01])&gt;1)*(LEN(raw[[bd_cov]:[bd_cov]])&gt;interactive!$C$6))/SUMPRODUCT(raw[[births]:[births]]*(LEN(raw[m_01])&gt;1)*(LEN(raw[[bd_cov]:[bd_cov]])&gt;interactive!$C$6))</f>
        <v>2.177017789376242E-2</v>
      </c>
      <c r="AD8" s="71" cm="1">
        <f t="array" ref="AD8">SUMPRODUCT(raw[[births]:[births]]*raw[m_14]*(LEN(raw[m_14])&gt;1)*(LEN(raw[[bd_cov]:[bd_cov]])&gt;interactive!$C$6))/SUMPRODUCT(raw[[births]:[births]]*(LEN(raw[m_14])&gt;1)*(LEN(raw[[bd_cov]:[bd_cov]])&gt;interactive!$C$6))</f>
        <v>1.3928905898786764E-3</v>
      </c>
      <c r="AE8" s="71" cm="1">
        <f t="array" ref="AE8">SUMPRODUCT(raw[[births]:[births]]*raw[m_59]*(LEN(raw[m_59])&gt;1)*(LEN(raw[[bd_cov]:[bd_cov]])&gt;interactive!$C$6))/SUMPRODUCT(raw[[births]:[births]]*(LEN(raw[m_59])&gt;1)*(LEN(raw[[bd_cov]:[bd_cov]])&gt;interactive!$C$6))</f>
        <v>5.6489451683980558E-4</v>
      </c>
      <c r="AF8" s="71" cm="1">
        <f t="array" ref="AF8">SUMPRODUCT(raw[[births]:[births]]*raw[m_1014]*(LEN(raw[m_1014])&gt;1)*(LEN(raw[[bd_cov]:[bd_cov]])&gt;interactive!$C$6))/SUMPRODUCT(raw[[births]:[births]]*(LEN(raw[m_1014])&gt;1)*(LEN(raw[[bd_cov]:[bd_cov]])&gt;interactive!$C$6))</f>
        <v>4.7697316178854459E-4</v>
      </c>
      <c r="AG8" s="71" cm="1">
        <f t="array" ref="AG8">SUMPRODUCT(raw[[births]:[births]]*raw[m_1519]*(LEN(raw[m_1519])&gt;1)*(LEN(raw[[bd_cov]:[bd_cov]])&gt;interactive!$C$6))/SUMPRODUCT(raw[[births]:[births]]*(LEN(raw[m_1519])&gt;1)*(LEN(raw[[bd_cov]:[bd_cov]])&gt;interactive!$C$6))</f>
        <v>8.1624442470154578E-4</v>
      </c>
      <c r="AH8" s="71" cm="1">
        <f t="array" ref="AH8">SUMPRODUCT(raw[[births]:[births]]*raw[m_2024]*(LEN(raw[m_2024])&gt;1)*(LEN(raw[[bd_cov]:[bd_cov]])&gt;interactive!$C$6))/SUMPRODUCT(raw[[births]:[births]]*(LEN(raw[m_2024])&gt;1)*(LEN(raw[[bd_cov]:[bd_cov]])&gt;interactive!$C$6))</f>
        <v>1.1792706735959339E-3</v>
      </c>
      <c r="AI8" s="71" cm="1">
        <f t="array" ref="AI8">SUMPRODUCT(raw[[births]:[births]]*raw[m_2529]*(LEN(raw[m_2529])&gt;1)*(LEN(raw[[bd_cov]:[bd_cov]])&gt;interactive!$C$6))/SUMPRODUCT(raw[[births]:[births]]*(LEN(raw[m_2529])&gt;1)*(LEN(raw[[bd_cov]:[bd_cov]])&gt;interactive!$C$6))</f>
        <v>1.3598236767708429E-3</v>
      </c>
      <c r="AJ8" s="71" cm="1">
        <f t="array" ref="AJ8">SUMPRODUCT(raw[[births]:[births]]*raw[m_3034]*(LEN(raw[m_3034])&gt;1)*(LEN(raw[[bd_cov]:[bd_cov]])&gt;interactive!$C$6))/SUMPRODUCT(raw[[births]:[births]]*(LEN(raw[m_3034])&gt;1)*(LEN(raw[[bd_cov]:[bd_cov]])&gt;interactive!$C$6))</f>
        <v>1.6741905199003776E-3</v>
      </c>
      <c r="AK8" s="71" cm="1">
        <f t="array" ref="AK8">SUMPRODUCT(raw[[births]:[births]]*raw[m_3539]*(LEN(raw[m_3539])&gt;1)*(LEN(raw[[bd_cov]:[bd_cov]])&gt;interactive!$C$6))/SUMPRODUCT(raw[[births]:[births]]*(LEN(raw[m_3539])&gt;1)*(LEN(raw[[bd_cov]:[bd_cov]])&gt;interactive!$C$6))</f>
        <v>2.1936180849754464E-3</v>
      </c>
      <c r="AL8" s="71" cm="1">
        <f t="array" ref="AL8">SUMPRODUCT(raw[[births]:[births]]*raw[m_4044]*(LEN(raw[m_4044])&gt;1)*(LEN(raw[[bd_cov]:[bd_cov]])&gt;interactive!$C$6))/SUMPRODUCT(raw[[births]:[births]]*(LEN(raw[m_4044])&gt;1)*(LEN(raw[[bd_cov]:[bd_cov]])&gt;interactive!$C$6))</f>
        <v>2.9566510880776548E-3</v>
      </c>
      <c r="AM8" s="71" cm="1">
        <f t="array" ref="AM8">SUMPRODUCT(raw[[births]:[births]]*raw[m_4549]*(LEN(raw[m_4549])&gt;1)*(LEN(raw[[bd_cov]:[bd_cov]])&gt;interactive!$C$6))/SUMPRODUCT(raw[[births]:[births]]*(LEN(raw[m_4549])&gt;1)*(LEN(raw[[bd_cov]:[bd_cov]])&gt;interactive!$C$6))</f>
        <v>4.2640239266617348E-3</v>
      </c>
      <c r="AN8" s="71" cm="1">
        <f t="array" ref="AN8">SUMPRODUCT(raw[[births]:[births]]*raw[m_5054]*(LEN(raw[m_5054])&gt;1)*(LEN(raw[[bd_cov]:[bd_cov]])&gt;interactive!$C$6))/SUMPRODUCT(raw[[births]:[births]]*(LEN(raw[m_5054])&gt;1)*(LEN(raw[[bd_cov]:[bd_cov]])&gt;interactive!$C$6))</f>
        <v>6.6282185472246163E-3</v>
      </c>
      <c r="AO8" s="71" cm="1">
        <f t="array" ref="AO8">SUMPRODUCT(raw[[births]:[births]]*raw[m_5559]*(LEN(raw[m_5559])&gt;1)*(LEN(raw[[bd_cov]:[bd_cov]])&gt;interactive!$C$6))/SUMPRODUCT(raw[[births]:[births]]*(LEN(raw[m_5559])&gt;1)*(LEN(raw[[bd_cov]:[bd_cov]])&gt;interactive!$C$6))</f>
        <v>9.9404626348159747E-3</v>
      </c>
      <c r="AP8" s="71" cm="1">
        <f t="array" ref="AP8">SUMPRODUCT(raw[[births]:[births]]*raw[m_6064]*(LEN(raw[m_6064])&gt;1)*(LEN(raw[[bd_cov]:[bd_cov]])&gt;interactive!$C$6))/SUMPRODUCT(raw[[births]:[births]]*(LEN(raw[m_6064])&gt;1)*(LEN(raw[[bd_cov]:[bd_cov]])&gt;interactive!$C$6))</f>
        <v>1.5373669919318173E-2</v>
      </c>
      <c r="AQ8" s="71" cm="1">
        <f t="array" ref="AQ8">SUMPRODUCT(raw[[births]:[births]]*raw[m_6569]*(LEN(raw[m_6569])&gt;1)*(LEN(raw[[bd_cov]:[bd_cov]])&gt;interactive!$C$6))/SUMPRODUCT(raw[[births]:[births]]*(LEN(raw[m_6569])&gt;1)*(LEN(raw[[bd_cov]:[bd_cov]])&gt;interactive!$C$6))</f>
        <v>2.3802847841598865E-2</v>
      </c>
      <c r="AR8" s="71" cm="1">
        <f t="array" ref="AR8">SUMPRODUCT(raw[[births]:[births]]*raw[m_7074]*(LEN(raw[m_7074])&gt;1)*(LEN(raw[[bd_cov]:[bd_cov]])&gt;interactive!$C$6))/SUMPRODUCT(raw[[births]:[births]]*(LEN(raw[m_7074])&gt;1)*(LEN(raw[[bd_cov]:[bd_cov]])&gt;interactive!$C$6))</f>
        <v>3.763195626008773E-2</v>
      </c>
      <c r="AS8" s="71" cm="1">
        <f t="array" ref="AS8">SUMPRODUCT(raw[[births]:[births]]*raw[m_7079]*(LEN(raw[m_7079])&gt;1)*(LEN(raw[[bd_cov]:[bd_cov]])&gt;interactive!$C$6))/SUMPRODUCT(raw[[births]:[births]]*(LEN(raw[m_7079])&gt;1)*(LEN(raw[[bd_cov]:[bd_cov]])&gt;interactive!$C$6))</f>
        <v>5.6741127335854707E-2</v>
      </c>
      <c r="AT8" s="71" cm="1">
        <f t="array" ref="AT8">SUMPRODUCT(raw[[births]:[births]]*raw[m_8084]*(LEN(raw[m_8084])&gt;1)*(LEN(raw[[bd_cov]:[bd_cov]])&gt;interactive!$C$6))/SUMPRODUCT(raw[[births]:[births]]*(LEN(raw[m_8084])&gt;1)*(LEN(raw[[bd_cov]:[bd_cov]])&gt;interactive!$C$6))</f>
        <v>8.2047546783119249E-2</v>
      </c>
      <c r="AU8" s="71" cm="1">
        <f t="array" ref="AU8">SUMPRODUCT(raw[[births]:[births]]*raw[m_8589]*(LEN(raw[m_8589])&gt;1)*(LEN(raw[[bd_cov]:[bd_cov]])&gt;interactive!$C$6))/SUMPRODUCT(raw[[births]:[births]]*(LEN(raw[m_8589])&gt;1)*(LEN(raw[[bd_cov]:[bd_cov]])&gt;interactive!$C$6))</f>
        <v>0.11207477313020307</v>
      </c>
      <c r="AV8" s="71" cm="1">
        <f t="array" ref="AV8">SUMPRODUCT(raw[[births]:[births]]*raw[m_9094]*(LEN(raw[m_9094])&gt;1)*(LEN(raw[[bd_cov]:[bd_cov]])&gt;interactive!$C$6))/SUMPRODUCT(raw[[births]:[births]]*(LEN(raw[m_9094])&gt;1)*(LEN(raw[[bd_cov]:[bd_cov]])&gt;interactive!$C$6))</f>
        <v>0.13961540915745835</v>
      </c>
      <c r="AW8" s="71" cm="1">
        <f t="array" ref="AW8">SUMPRODUCT(raw[[births]:[births]]*raw[m_95+]*(LEN(raw[m_95+])&gt;1)*(LEN(raw[[bd_cov]:[bd_cov]])&gt;interactive!$C$6))/SUMPRODUCT(raw[[births]:[births]]*(LEN(raw[m_95+])&gt;1)*(LEN(raw[[bd_cov]:[bd_cov]])&gt;interactive!$C$6))</f>
        <v>0.15402496176358735</v>
      </c>
      <c r="AX8" s="71" cm="1">
        <f t="array" ref="AX8">SUMPRODUCT(raw[[births]:[births]]*raw[av_life]*(LEN(raw[av_life])&gt;1)*(LEN(raw[[bd_cov]:[bd_cov]])&gt;interactive!$C$6))/SUMPRODUCT(raw[[births]:[births]]*(LEN(raw[av_life])&gt;1)*(LEN(raw[[bd_cov]:[bd_cov]])&gt;interactive!$C$6))</f>
        <v>72.321230682963176</v>
      </c>
    </row>
    <row r="10" spans="1:51" x14ac:dyDescent="0.25">
      <c r="A10" s="49" t="s">
        <v>144</v>
      </c>
      <c r="B10" s="49" t="s">
        <v>145</v>
      </c>
      <c r="C10" s="49" t="s">
        <v>146</v>
      </c>
      <c r="D10" s="49" t="s">
        <v>147</v>
      </c>
      <c r="E10" s="49" t="s">
        <v>148</v>
      </c>
      <c r="F10" s="49" t="s">
        <v>149</v>
      </c>
      <c r="G10" s="49" t="s">
        <v>150</v>
      </c>
      <c r="H10" s="49" t="s">
        <v>151</v>
      </c>
      <c r="I10" s="49" t="s">
        <v>152</v>
      </c>
      <c r="J10" s="49" t="s">
        <v>153</v>
      </c>
      <c r="K10" s="49" t="s">
        <v>154</v>
      </c>
      <c r="L10" s="49" t="s">
        <v>155</v>
      </c>
      <c r="M10" s="49" t="s">
        <v>156</v>
      </c>
      <c r="N10" s="49" t="s">
        <v>157</v>
      </c>
      <c r="O10" s="49" t="s">
        <v>158</v>
      </c>
      <c r="P10" s="49" t="s">
        <v>159</v>
      </c>
      <c r="Q10" s="49" t="s">
        <v>160</v>
      </c>
      <c r="R10" s="49" t="s">
        <v>161</v>
      </c>
      <c r="S10" s="49" t="s">
        <v>162</v>
      </c>
      <c r="T10" s="49" t="s">
        <v>163</v>
      </c>
      <c r="U10" s="49" t="s">
        <v>164</v>
      </c>
      <c r="V10" s="49" t="s">
        <v>165</v>
      </c>
      <c r="W10" s="49" t="s">
        <v>166</v>
      </c>
      <c r="X10" s="49" t="s">
        <v>167</v>
      </c>
      <c r="Y10" s="49" t="s">
        <v>168</v>
      </c>
      <c r="Z10" s="49" t="s">
        <v>169</v>
      </c>
      <c r="AA10" s="49" t="s">
        <v>170</v>
      </c>
      <c r="AB10" s="49" t="s">
        <v>171</v>
      </c>
      <c r="AC10" s="49" t="s">
        <v>172</v>
      </c>
      <c r="AD10" s="49" t="s">
        <v>173</v>
      </c>
      <c r="AE10" s="49" t="s">
        <v>174</v>
      </c>
      <c r="AF10" s="49" t="s">
        <v>175</v>
      </c>
      <c r="AG10" s="49" t="s">
        <v>176</v>
      </c>
      <c r="AH10" s="49" t="s">
        <v>177</v>
      </c>
      <c r="AI10" s="49" t="s">
        <v>178</v>
      </c>
      <c r="AJ10" s="49" t="s">
        <v>179</v>
      </c>
      <c r="AK10" s="49" t="s">
        <v>180</v>
      </c>
      <c r="AL10" s="49" t="s">
        <v>181</v>
      </c>
      <c r="AM10" s="49" t="s">
        <v>182</v>
      </c>
      <c r="AN10" s="49" t="s">
        <v>183</v>
      </c>
      <c r="AO10" s="49" t="s">
        <v>184</v>
      </c>
      <c r="AP10" s="49" t="s">
        <v>185</v>
      </c>
      <c r="AQ10" s="49" t="s">
        <v>186</v>
      </c>
      <c r="AR10" s="49" t="s">
        <v>187</v>
      </c>
      <c r="AS10" s="49" t="s">
        <v>188</v>
      </c>
      <c r="AT10" s="49" t="s">
        <v>189</v>
      </c>
      <c r="AU10" s="49" t="s">
        <v>190</v>
      </c>
      <c r="AV10" s="49" t="s">
        <v>191</v>
      </c>
      <c r="AW10" s="49" t="s">
        <v>192</v>
      </c>
      <c r="AX10" s="51" t="s">
        <v>193</v>
      </c>
      <c r="AY10" s="50" t="s">
        <v>504</v>
      </c>
    </row>
    <row r="11" spans="1:51" x14ac:dyDescent="0.25">
      <c r="A11" s="65" t="s">
        <v>207</v>
      </c>
      <c r="J11" s="68" cm="1">
        <f t="array" ref="J11">SUMPRODUCT((raw_lb[[who_region]:[who_region]]=$A11)*raw[[births]:[births]]*raw_lb[fac_birth]*(LEN(raw_lb[fac_birth])&gt;1)*(LEN(raw_lb[[bd_cov]:[bd_cov]])&gt;interactive!$C$6))/SUMPRODUCT((raw_lb[[who_region]:[who_region]]=$A11)*raw[[births]:[births]]*(LEN(raw_lb[fac_birth])&gt;1)*(LEN(raw_lb[[bd_cov]:[bd_cov]])&gt;interactive!$C$6))</f>
        <v>0.79576541742144702</v>
      </c>
      <c r="K11" s="68" cm="1">
        <f t="array" ref="K11">SUMPRODUCT((raw_lb[[who_region]:[who_region]]=$A11)*raw[[births]:[births]]*raw_lb[bd_cov]*(LEN(raw_lb[bd_cov])&gt;1)*(LEN(raw_lb[[bd_cov]:[bd_cov]])&gt;interactive!$C$6))/SUMPRODUCT((raw_lb[[who_region]:[who_region]]=$A11)*raw[[births]:[births]]*(LEN(raw_lb[bd_cov])&gt;1)*(LEN(raw_lb[[bd_cov]:[bd_cov]])&gt;interactive!$C$6))</f>
        <v>0.73674559270991302</v>
      </c>
      <c r="L11" s="68" cm="1">
        <f t="array" ref="L11">SUMPRODUCT((raw_lb[[who_region]:[who_region]]=$A11)*raw[[births]:[births]]*raw_lb[hbv3_cov]*(LEN(raw_lb[hbv3_cov])&gt;1)*(LEN(raw_lb[[bd_cov]:[bd_cov]])&gt;interactive!$C$6))/SUMPRODUCT((raw_lb[[who_region]:[who_region]]=$A11)*raw[[births]:[births]]*(LEN(raw_lb[hbv3_cov])&gt;1)*(LEN(raw_lb[[bd_cov]:[bd_cov]])&gt;interactive!$C$6))</f>
        <v>0.80686191419296982</v>
      </c>
      <c r="M11" s="68" cm="1">
        <f t="array" ref="M11">SUMPRODUCT((raw_lb[[who_region]:[who_region]]=$A11)*raw[[births]:[births]]*raw_lb[hbv_prev]*(LEN(raw_lb[hbv_prev])&gt;1)*(LEN(raw_lb[[bd_cov]:[bd_cov]])&gt;interactive!$C$6))/SUMPRODUCT((raw_lb[[who_region]:[who_region]]=$A11)*raw[[births]:[births]]*(LEN(raw_lb[hbv_prev])&gt;1)*(LEN(raw_lb[[bd_cov]:[bd_cov]])&gt;interactive!$C$6))</f>
        <v>5.763160157545074E-2</v>
      </c>
      <c r="N11" s="68" cm="1">
        <f t="array" ref="N11">SUMPRODUCT((raw_lb[[who_region]:[who_region]]=$A11)*raw[[births]:[births]]*raw_lb[hbe_prev]*(LEN(raw_lb[hbe_prev])&gt;1)*(LEN(raw_lb[[bd_cov]:[bd_cov]])&gt;interactive!$C$6))/SUMPRODUCT((raw_lb[[who_region]:[who_region]]=$A11)*raw[[births]:[births]]*(LEN(raw_lb[hbe_prev])&gt;1)*(LEN(raw_lb[[bd_cov]:[bd_cov]])&gt;interactive!$C$6))</f>
        <v>0.1535499710690435</v>
      </c>
      <c r="O11" s="68" cm="1">
        <f t="array" ref="O11">SUMPRODUCT((raw_lb[[who_region]:[who_region]]=$A11)*raw[[births]:[births]]*raw_lb[epos]*(LEN(raw_lb[epos])&gt;1)*(LEN(raw_lb[[bd_cov]:[bd_cov]])&gt;interactive!$C$6))/SUMPRODUCT((raw_lb[[who_region]:[who_region]]=$A11)*raw[[births]:[births]]*(LEN(raw_lb[epos])&gt;1)*(LEN(raw_lb[[bd_cov]:[bd_cov]])&gt;interactive!$C$6))</f>
        <v>0.24899526450891657</v>
      </c>
      <c r="P11" s="68" cm="1">
        <f t="array" ref="P11">SUMPRODUCT((raw_lb[[who_region]:[who_region]]=$A11)*raw[[births]:[births]]*raw_lb[eneg]*(LEN(raw_lb[eneg])&gt;1)*(LEN(raw_lb[[bd_cov]:[bd_cov]])&gt;interactive!$C$6))/SUMPRODUCT((raw_lb[[who_region]:[who_region]]=$A11)*raw[[births]:[births]]*(LEN(raw_lb[eneg])&gt;1)*(LEN(raw_lb[[bd_cov]:[bd_cov]])&gt;interactive!$C$6))</f>
        <v>1.4921853906249075E-2</v>
      </c>
      <c r="Q11" s="69" cm="1">
        <f t="array" ref="Q11">SUMPRODUCT((raw_lb[[who_region]:[who_region]]=$A11)*raw[[births]:[births]]*raw_lb[c_diag]*(LEN(raw_lb[c_diag])&gt;1)*(LEN(raw_lb[[bd_cov]:[bd_cov]])&gt;interactive!$C$6))/SUMPRODUCT((raw_lb[[who_region]:[who_region]]=$A11)*raw[[births]:[births]]*(LEN(raw_lb[c_diag])&gt;1)*(LEN(raw_lb[[bd_cov]:[bd_cov]])&gt;interactive!$C$6))</f>
        <v>0.9410219132628217</v>
      </c>
      <c r="R11" s="69" cm="1">
        <f t="array" ref="R11">SUMPRODUCT((raw_lb[[who_region]:[who_region]]=$A11)*raw[[births]:[births]]*raw_lb[c_C]*(LEN(raw_lb[c_C])&gt;1)*(LEN(raw_lb[[bd_cov]:[bd_cov]])&gt;interactive!$C$6))/SUMPRODUCT((raw_lb[[who_region]:[who_region]]=$A11)*raw[[births]:[births]]*(LEN(raw_lb[c_C])&gt;1)*(LEN(raw_lb[[bd_cov]:[bd_cov]])&gt;interactive!$C$6))</f>
        <v>8.0019219132628212</v>
      </c>
      <c r="S11" s="69" cm="1">
        <f t="array" ref="S11">SUMPRODUCT((raw_lb[[who_region]:[who_region]]=$A11)*raw[[births]:[births]]*raw_lb[c_CC]*(LEN(raw_lb[c_CC])&gt;1)*(LEN(raw_lb[[bd_cov]:[bd_cov]])&gt;interactive!$C$6))/SUMPRODUCT((raw_lb[[who_region]:[who_region]]=$A11)*raw[[births]:[births]]*(LEN(raw_lb[c_CC])&gt;1)*(LEN(raw_lb[[bd_cov]:[bd_cov]])&gt;interactive!$C$6))</f>
        <v>39.586728264144917</v>
      </c>
      <c r="T11" s="69" cm="1">
        <f t="array" ref="T11">SUMPRODUCT((raw_lb[[who_region]:[who_region]]=$A11)*raw[[births]:[births]]*raw_lb[c_DC]*(LEN(raw_lb[c_DC])&gt;1)*(LEN(raw_lb[[bd_cov]:[bd_cov]])&gt;interactive!$C$6))/SUMPRODUCT((raw_lb[[who_region]:[who_region]]=$A11)*raw[[births]:[births]]*(LEN(raw_lb[c_DC])&gt;1)*(LEN(raw_lb[[bd_cov]:[bd_cov]])&gt;interactive!$C$6))</f>
        <v>40.817527317083545</v>
      </c>
      <c r="U11" s="69" cm="1">
        <f t="array" ref="U11">SUMPRODUCT((raw_lb[[who_region]:[who_region]]=$A11)*raw[[births]:[births]]*raw_lb[c_HCC]*(LEN(raw_lb[c_HCC])&gt;1)*(LEN(raw_lb[[bd_cov]:[bd_cov]])&gt;interactive!$C$6))/SUMPRODUCT((raw_lb[[who_region]:[who_region]]=$A11)*raw[[births]:[births]]*(LEN(raw_lb[c_HCC])&gt;1)*(LEN(raw_lb[[bd_cov]:[bd_cov]])&gt;interactive!$C$6))</f>
        <v>40.252370407751819</v>
      </c>
      <c r="V11" s="69" cm="1">
        <f t="array" ref="V11">SUMPRODUCT((raw_lb[[who_region]:[who_region]]=$A11)*raw[[births]:[births]]*raw_lb[bl1_f]*(LEN(raw_lb[bl1_f])&gt;1)*(LEN(raw_lb[[bd_cov]:[bd_cov]])&gt;interactive!$C$6))/SUMPRODUCT((raw_lb[[who_region]:[who_region]]=$A11)*raw[[births]:[births]]*(LEN(raw_lb[bl1_f])&gt;1)*(LEN(raw_lb[[bd_cov]:[bd_cov]])&gt;interactive!$C$6))</f>
        <v>1.3073920812390603</v>
      </c>
      <c r="W11" s="69" cm="1">
        <f t="array" ref="W11">SUMPRODUCT((raw_lb[[who_region]:[who_region]]=$A11)*raw[[births]:[births]]*raw_lb[bl1_c]*(LEN(raw_lb[bl1_c])&gt;1)*(LEN(raw_lb[[bd_cov]:[bd_cov]])&gt;interactive!$C$6))/SUMPRODUCT((raw_lb[[who_region]:[who_region]]=$A11)*raw[[births]:[births]]*(LEN(raw_lb[bl1_c])&gt;1)*(LEN(raw_lb[[bd_cov]:[bd_cov]])&gt;interactive!$C$6))</f>
        <v>4.7217683819008087</v>
      </c>
      <c r="X11" s="69" cm="1">
        <f t="array" ref="X11">SUMPRODUCT((raw_lb[[who_region]:[who_region]]=$A11)*raw[[births]:[births]]*raw_lb[map_f]*(LEN(raw_lb[map_f])&gt;1)*(LEN(raw_lb[[bd_cov]:[bd_cov]])&gt;interactive!$C$6))/SUMPRODUCT((raw_lb[[who_region]:[who_region]]=$A11)*raw[[births]:[births]]*(LEN(raw_lb[map_f])&gt;1)*(LEN(raw_lb[[bd_cov]:[bd_cov]])&gt;interactive!$C$6))</f>
        <v>0.83424615126454682</v>
      </c>
      <c r="Y11" s="69" cm="1">
        <f t="array" ref="Y11">SUMPRODUCT((raw_lb[[who_region]:[who_region]]=$A11)*raw[[births]:[births]]*raw_lb[map_cq]*(LEN(raw_lb[map_cq])&gt;1)*(LEN(raw_lb[[bd_cov]:[bd_cov]])&gt;interactive!$C$6))/SUMPRODUCT((raw_lb[[who_region]:[who_region]]=$A11)*raw[[births]:[births]]*(LEN(raw_lb[map_cq])&gt;1)*(LEN(raw_lb[[bd_cov]:[bd_cov]])&gt;interactive!$C$6))</f>
        <v>4.2486224519262947</v>
      </c>
      <c r="Z11" s="69" cm="1">
        <f t="array" ref="Z11">SUMPRODUCT((raw_lb[[who_region]:[who_region]]=$A11)*raw[[births]:[births]]*raw_lb[map_cl]*(LEN(raw_lb[map_cl])&gt;1)*(LEN(raw_lb[[bd_cov]:[bd_cov]])&gt;interactive!$C$6))/SUMPRODUCT((raw_lb[[who_region]:[who_region]]=$A11)*raw[[births]:[births]]*(LEN(raw_lb[map_cl])&gt;1)*(LEN(raw_lb[[bd_cov]:[bd_cov]])&gt;interactive!$C$6))</f>
        <v>4.2451182259209768</v>
      </c>
      <c r="AA11" s="69" cm="1">
        <f t="array" ref="AA11">SUMPRODUCT((raw_lb[[who_region]:[who_region]]=$A11)*raw[[births]:[births]]*raw_lb[ctc_f]*(LEN(raw_lb[ctc_f])&gt;1)*(LEN(raw_lb[[bd_cov]:[bd_cov]])&gt;interactive!$C$6))/SUMPRODUCT((raw_lb[[who_region]:[who_region]]=$A11)*raw[[births]:[births]]*(LEN(raw_lb[ctc_f])&gt;1)*(LEN(raw_lb[[bd_cov]:[bd_cov]])&gt;interactive!$C$6))</f>
        <v>1.4582062683350183</v>
      </c>
      <c r="AB11" s="69" cm="1">
        <f t="array" ref="AB11">SUMPRODUCT((raw_lb[[who_region]:[who_region]]=$A11)*raw[[births]:[births]]*raw_lb[ctc_c]*(LEN(raw_lb[ctc_c])&gt;1)*(LEN(raw_lb[[bd_cov]:[bd_cov]])&gt;interactive!$C$6))/SUMPRODUCT((raw_lb[[who_region]:[who_region]]=$A11)*raw[[births]:[births]]*(LEN(raw_lb[ctc_c])&gt;1)*(LEN(raw_lb[[bd_cov]:[bd_cov]])&gt;interactive!$C$6))</f>
        <v>4.8725825689967674</v>
      </c>
      <c r="AC11" s="71" cm="1">
        <f t="array" ref="AC11">SUMPRODUCT((raw_lb[[who_region]:[who_region]]=$A11)*raw[[births]:[births]]*raw_lb[m_01]*(LEN(raw_lb[m_01])&gt;1)*(LEN(raw_lb[[bd_cov]:[bd_cov]])&gt;interactive!$C$6))/SUMPRODUCT((raw_lb[[who_region]:[who_region]]=$A11)*raw[[births]:[births]]*(LEN(raw_lb[m_01])&gt;1)*(LEN(raw_lb[[bd_cov]:[bd_cov]])&gt;interactive!$C$6))</f>
        <v>3.9773891183243287E-2</v>
      </c>
      <c r="AD11" s="71" cm="1">
        <f t="array" ref="AD11">SUMPRODUCT((raw_lb[[who_region]:[who_region]]=$A11)*raw[[births]:[births]]*raw_lb[m_14]*(LEN(raw_lb[m_14])&gt;1)*(LEN(raw_lb[[bd_cov]:[bd_cov]])&gt;interactive!$C$6))/SUMPRODUCT((raw_lb[[who_region]:[who_region]]=$A11)*raw[[births]:[births]]*(LEN(raw_lb[m_14])&gt;1)*(LEN(raw_lb[[bd_cov]:[bd_cov]])&gt;interactive!$C$6))</f>
        <v>4.0807351672025715E-3</v>
      </c>
      <c r="AE11" s="71" cm="1">
        <f t="array" ref="AE11">SUMPRODUCT((raw_lb[[who_region]:[who_region]]=$A11)*raw[[births]:[births]]*raw_lb[m_59]*(LEN(raw_lb[m_59])&gt;1)*(LEN(raw_lb[[bd_cov]:[bd_cov]])&gt;interactive!$C$6))/SUMPRODUCT((raw_lb[[who_region]:[who_region]]=$A11)*raw[[births]:[births]]*(LEN(raw_lb[m_59])&gt;1)*(LEN(raw_lb[[bd_cov]:[bd_cov]])&gt;interactive!$C$6))</f>
        <v>1.4671832734951514E-3</v>
      </c>
      <c r="AF11" s="71" cm="1">
        <f t="array" ref="AF11">SUMPRODUCT((raw_lb[[who_region]:[who_region]]=$A11)*raw[[births]:[births]]*raw_lb[m_1014]*(LEN(raw_lb[m_1014])&gt;1)*(LEN(raw_lb[[bd_cov]:[bd_cov]])&gt;interactive!$C$6))/SUMPRODUCT((raw_lb[[who_region]:[who_region]]=$A11)*raw[[births]:[births]]*(LEN(raw_lb[m_1014])&gt;1)*(LEN(raw_lb[[bd_cov]:[bd_cov]])&gt;interactive!$C$6))</f>
        <v>1.0448538922433062E-3</v>
      </c>
      <c r="AG11" s="71" cm="1">
        <f t="array" ref="AG11">SUMPRODUCT((raw_lb[[who_region]:[who_region]]=$A11)*raw[[births]:[births]]*raw_lb[m_1519]*(LEN(raw_lb[m_1519])&gt;1)*(LEN(raw_lb[[bd_cov]:[bd_cov]])&gt;interactive!$C$6))/SUMPRODUCT((raw_lb[[who_region]:[who_region]]=$A11)*raw[[births]:[births]]*(LEN(raw_lb[m_1519])&gt;1)*(LEN(raw_lb[[bd_cov]:[bd_cov]])&gt;interactive!$C$6))</f>
        <v>1.5623228482641216E-3</v>
      </c>
      <c r="AH11" s="71" cm="1">
        <f t="array" ref="AH11">SUMPRODUCT((raw_lb[[who_region]:[who_region]]=$A11)*raw[[births]:[births]]*raw_lb[m_2024]*(LEN(raw_lb[m_2024])&gt;1)*(LEN(raw_lb[[bd_cov]:[bd_cov]])&gt;interactive!$C$6))/SUMPRODUCT((raw_lb[[who_region]:[who_region]]=$A11)*raw[[births]:[births]]*(LEN(raw_lb[m_2024])&gt;1)*(LEN(raw_lb[[bd_cov]:[bd_cov]])&gt;interactive!$C$6))</f>
        <v>2.2833861656284555E-3</v>
      </c>
      <c r="AI11" s="71" cm="1">
        <f t="array" ref="AI11">SUMPRODUCT((raw_lb[[who_region]:[who_region]]=$A11)*raw[[births]:[births]]*raw_lb[m_2529]*(LEN(raw_lb[m_2529])&gt;1)*(LEN(raw_lb[[bd_cov]:[bd_cov]])&gt;interactive!$C$6))/SUMPRODUCT((raw_lb[[who_region]:[who_region]]=$A11)*raw[[births]:[births]]*(LEN(raw_lb[m_2529])&gt;1)*(LEN(raw_lb[[bd_cov]:[bd_cov]])&gt;interactive!$C$6))</f>
        <v>2.8381519832267744E-3</v>
      </c>
      <c r="AJ11" s="71" cm="1">
        <f t="array" ref="AJ11">SUMPRODUCT((raw_lb[[who_region]:[who_region]]=$A11)*raw[[births]:[births]]*raw_lb[m_3034]*(LEN(raw_lb[m_3034])&gt;1)*(LEN(raw_lb[[bd_cov]:[bd_cov]])&gt;interactive!$C$6))/SUMPRODUCT((raw_lb[[who_region]:[who_region]]=$A11)*raw[[births]:[births]]*(LEN(raw_lb[m_3034])&gt;1)*(LEN(raw_lb[[bd_cov]:[bd_cov]])&gt;interactive!$C$6))</f>
        <v>3.4628311549420197E-3</v>
      </c>
      <c r="AK11" s="71" cm="1">
        <f t="array" ref="AK11">SUMPRODUCT((raw_lb[[who_region]:[who_region]]=$A11)*raw[[births]:[births]]*raw_lb[m_3539]*(LEN(raw_lb[m_3539])&gt;1)*(LEN(raw_lb[[bd_cov]:[bd_cov]])&gt;interactive!$C$6))/SUMPRODUCT((raw_lb[[who_region]:[who_region]]=$A11)*raw[[births]:[births]]*(LEN(raw_lb[m_3539])&gt;1)*(LEN(raw_lb[[bd_cov]:[bd_cov]])&gt;interactive!$C$6))</f>
        <v>4.371893388222494E-3</v>
      </c>
      <c r="AL11" s="71" cm="1">
        <f t="array" ref="AL11">SUMPRODUCT((raw_lb[[who_region]:[who_region]]=$A11)*raw[[births]:[births]]*raw_lb[m_4044]*(LEN(raw_lb[m_4044])&gt;1)*(LEN(raw_lb[[bd_cov]:[bd_cov]])&gt;interactive!$C$6))/SUMPRODUCT((raw_lb[[who_region]:[who_region]]=$A11)*raw[[births]:[births]]*(LEN(raw_lb[m_4044])&gt;1)*(LEN(raw_lb[[bd_cov]:[bd_cov]])&gt;interactive!$C$6))</f>
        <v>5.4372138596120506E-3</v>
      </c>
      <c r="AM11" s="71" cm="1">
        <f t="array" ref="AM11">SUMPRODUCT((raw_lb[[who_region]:[who_region]]=$A11)*raw[[births]:[births]]*raw_lb[m_4549]*(LEN(raw_lb[m_4549])&gt;1)*(LEN(raw_lb[[bd_cov]:[bd_cov]])&gt;interactive!$C$6))/SUMPRODUCT((raw_lb[[who_region]:[who_region]]=$A11)*raw[[births]:[births]]*(LEN(raw_lb[m_4549])&gt;1)*(LEN(raw_lb[[bd_cov]:[bd_cov]])&gt;interactive!$C$6))</f>
        <v>6.795055116242836E-3</v>
      </c>
      <c r="AN11" s="71" cm="1">
        <f t="array" ref="AN11">SUMPRODUCT((raw_lb[[who_region]:[who_region]]=$A11)*raw[[births]:[births]]*raw_lb[m_5054]*(LEN(raw_lb[m_5054])&gt;1)*(LEN(raw_lb[[bd_cov]:[bd_cov]])&gt;interactive!$C$6))/SUMPRODUCT((raw_lb[[who_region]:[who_region]]=$A11)*raw[[births]:[births]]*(LEN(raw_lb[m_5054])&gt;1)*(LEN(raw_lb[[bd_cov]:[bd_cov]])&gt;interactive!$C$6))</f>
        <v>9.1815399592673104E-3</v>
      </c>
      <c r="AO11" s="71" cm="1">
        <f t="array" ref="AO11">SUMPRODUCT((raw_lb[[who_region]:[who_region]]=$A11)*raw[[births]:[births]]*raw_lb[m_5559]*(LEN(raw_lb[m_5559])&gt;1)*(LEN(raw_lb[[bd_cov]:[bd_cov]])&gt;interactive!$C$6))/SUMPRODUCT((raw_lb[[who_region]:[who_region]]=$A11)*raw[[births]:[births]]*(LEN(raw_lb[m_5559])&gt;1)*(LEN(raw_lb[[bd_cov]:[bd_cov]])&gt;interactive!$C$6))</f>
        <v>1.2230873885268313E-2</v>
      </c>
      <c r="AP11" s="71" cm="1">
        <f t="array" ref="AP11">SUMPRODUCT((raw_lb[[who_region]:[who_region]]=$A11)*raw[[births]:[births]]*raw_lb[m_6064]*(LEN(raw_lb[m_6064])&gt;1)*(LEN(raw_lb[[bd_cov]:[bd_cov]])&gt;interactive!$C$6))/SUMPRODUCT((raw_lb[[who_region]:[who_region]]=$A11)*raw[[births]:[births]]*(LEN(raw_lb[m_6064])&gt;1)*(LEN(raw_lb[[bd_cov]:[bd_cov]])&gt;interactive!$C$6))</f>
        <v>1.7866033718559726E-2</v>
      </c>
      <c r="AQ11" s="71" cm="1">
        <f t="array" ref="AQ11">SUMPRODUCT((raw_lb[[who_region]:[who_region]]=$A11)*raw[[births]:[births]]*raw_lb[m_6569]*(LEN(raw_lb[m_6569])&gt;1)*(LEN(raw_lb[[bd_cov]:[bd_cov]])&gt;interactive!$C$6))/SUMPRODUCT((raw_lb[[who_region]:[who_region]]=$A11)*raw[[births]:[births]]*(LEN(raw_lb[m_6569])&gt;1)*(LEN(raw_lb[[bd_cov]:[bd_cov]])&gt;interactive!$C$6))</f>
        <v>2.6639479624663748E-2</v>
      </c>
      <c r="AR11" s="71" cm="1">
        <f t="array" ref="AR11">SUMPRODUCT((raw_lb[[who_region]:[who_region]]=$A11)*raw[[births]:[births]]*raw_lb[m_7074]*(LEN(raw_lb[m_7074])&gt;1)*(LEN(raw_lb[[bd_cov]:[bd_cov]])&gt;interactive!$C$6))/SUMPRODUCT((raw_lb[[who_region]:[who_region]]=$A11)*raw[[births]:[births]]*(LEN(raw_lb[m_7074])&gt;1)*(LEN(raw_lb[[bd_cov]:[bd_cov]])&gt;interactive!$C$6))</f>
        <v>4.092350219965897E-2</v>
      </c>
      <c r="AS11" s="71" cm="1">
        <f t="array" ref="AS11">SUMPRODUCT((raw_lb[[who_region]:[who_region]]=$A11)*raw[[births]:[births]]*raw_lb[m_7079]*(LEN(raw_lb[m_7079])&gt;1)*(LEN(raw_lb[[bd_cov]:[bd_cov]])&gt;interactive!$C$6))/SUMPRODUCT((raw_lb[[who_region]:[who_region]]=$A11)*raw[[births]:[births]]*(LEN(raw_lb[m_7079])&gt;1)*(LEN(raw_lb[[bd_cov]:[bd_cov]])&gt;interactive!$C$6))</f>
        <v>6.2442854947762749E-2</v>
      </c>
      <c r="AT11" s="71" cm="1">
        <f t="array" ref="AT11">SUMPRODUCT((raw_lb[[who_region]:[who_region]]=$A11)*raw[[births]:[births]]*raw_lb[m_8084]*(LEN(raw_lb[m_8084])&gt;1)*(LEN(raw_lb[[bd_cov]:[bd_cov]])&gt;interactive!$C$6))/SUMPRODUCT((raw_lb[[who_region]:[who_region]]=$A11)*raw[[births]:[births]]*(LEN(raw_lb[m_8084])&gt;1)*(LEN(raw_lb[[bd_cov]:[bd_cov]])&gt;interactive!$C$6))</f>
        <v>9.2818077494165749E-2</v>
      </c>
      <c r="AU11" s="71" cm="1">
        <f t="array" ref="AU11">SUMPRODUCT((raw_lb[[who_region]:[who_region]]=$A11)*raw[[births]:[births]]*raw_lb[m_8589]*(LEN(raw_lb[m_8589])&gt;1)*(LEN(raw_lb[[bd_cov]:[bd_cov]])&gt;interactive!$C$6))/SUMPRODUCT((raw_lb[[who_region]:[who_region]]=$A11)*raw[[births]:[births]]*(LEN(raw_lb[m_8589])&gt;1)*(LEN(raw_lb[[bd_cov]:[bd_cov]])&gt;interactive!$C$6))</f>
        <v>0.12677326415230106</v>
      </c>
      <c r="AV11" s="71" cm="1">
        <f t="array" ref="AV11">SUMPRODUCT((raw_lb[[who_region]:[who_region]]=$A11)*raw[[births]:[births]]*raw_lb[m_9094]*(LEN(raw_lb[m_9094])&gt;1)*(LEN(raw_lb[[bd_cov]:[bd_cov]])&gt;interactive!$C$6))/SUMPRODUCT((raw_lb[[who_region]:[who_region]]=$A11)*raw[[births]:[births]]*(LEN(raw_lb[m_9094])&gt;1)*(LEN(raw_lb[[bd_cov]:[bd_cov]])&gt;interactive!$C$6))</f>
        <v>0.15517065511666397</v>
      </c>
      <c r="AW11" s="71" cm="1">
        <f t="array" ref="AW11">SUMPRODUCT((raw_lb[[who_region]:[who_region]]=$A11)*raw[[births]:[births]]*raw_lb[m_95+]*(LEN(raw_lb[m_95+])&gt;1)*(LEN(raw_lb[[bd_cov]:[bd_cov]])&gt;interactive!$C$6))/SUMPRODUCT((raw_lb[[who_region]:[who_region]]=$A11)*raw[[births]:[births]]*(LEN(raw_lb[m_95+])&gt;1)*(LEN(raw_lb[[bd_cov]:[bd_cov]])&gt;interactive!$C$6))</f>
        <v>0.17048069673247815</v>
      </c>
      <c r="AX11" s="71" cm="1">
        <f t="array" ref="AX11">SUMPRODUCT((raw_lb[[who_region]:[who_region]]=$A11)*raw[[births]:[births]]*raw_lb[av_life]*(LEN(raw_lb[av_life])&gt;1)*(LEN(raw_lb[[bd_cov]:[bd_cov]])&gt;interactive!$C$6))/SUMPRODUCT((raw_lb[[who_region]:[who_region]]=$A11)*raw[[births]:[births]]*(LEN(raw_lb[av_life])&gt;1)*(LEN(raw_lb[[bd_cov]:[bd_cov]])&gt;interactive!$C$6))</f>
        <v>62.703975643667548</v>
      </c>
    </row>
    <row r="12" spans="1:51" x14ac:dyDescent="0.25">
      <c r="A12" s="66" t="s">
        <v>215</v>
      </c>
      <c r="J12" s="68" cm="1">
        <f t="array" ref="J12">SUMPRODUCT((raw_lb[[who_region]:[who_region]]=$A12)*raw[[births]:[births]]*raw_lb[fac_birth]*(LEN(raw_lb[fac_birth])&gt;1)*(LEN(raw_lb[[bd_cov]:[bd_cov]])&gt;interactive!$C$6))/SUMPRODUCT((raw_lb[[who_region]:[who_region]]=$A12)*raw[[births]:[births]]*(LEN(raw_lb[fac_birth])&gt;1)*(LEN(raw_lb[[bd_cov]:[bd_cov]])&gt;interactive!$C$6))</f>
        <v>0.91035320956407795</v>
      </c>
      <c r="K12" s="68" cm="1">
        <f t="array" ref="K12">SUMPRODUCT((raw_lb[[who_region]:[who_region]]=$A12)*raw[[births]:[births]]*raw_lb[bd_cov]*(LEN(raw_lb[bd_cov])&gt;1)*(LEN(raw_lb[[bd_cov]:[bd_cov]])&gt;interactive!$C$6))/SUMPRODUCT((raw_lb[[who_region]:[who_region]]=$A12)*raw[[births]:[births]]*(LEN(raw_lb[bd_cov])&gt;1)*(LEN(raw_lb[[bd_cov]:[bd_cov]])&gt;interactive!$C$6))</f>
        <v>0.60311480478944546</v>
      </c>
      <c r="L12" s="68" cm="1">
        <f t="array" ref="L12">SUMPRODUCT((raw_lb[[who_region]:[who_region]]=$A12)*raw[[births]:[births]]*raw_lb[hbv3_cov]*(LEN(raw_lb[hbv3_cov])&gt;1)*(LEN(raw_lb[[bd_cov]:[bd_cov]])&gt;interactive!$C$6))/SUMPRODUCT((raw_lb[[who_region]:[who_region]]=$A12)*raw[[births]:[births]]*(LEN(raw_lb[hbv3_cov])&gt;1)*(LEN(raw_lb[[bd_cov]:[bd_cov]])&gt;interactive!$C$6))</f>
        <v>0.73536273934965501</v>
      </c>
      <c r="M12" s="68" cm="1">
        <f t="array" ref="M12">SUMPRODUCT((raw_lb[[who_region]:[who_region]]=$A12)*raw[[births]:[births]]*raw_lb[hbv_prev]*(LEN(raw_lb[hbv_prev])&gt;1)*(LEN(raw_lb[[bd_cov]:[bd_cov]])&gt;interactive!$C$6))/SUMPRODUCT((raw_lb[[who_region]:[who_region]]=$A12)*raw[[births]:[births]]*(LEN(raw_lb[hbv_prev])&gt;1)*(LEN(raw_lb[[bd_cov]:[bd_cov]])&gt;interactive!$C$6))</f>
        <v>6.1036689969050321E-3</v>
      </c>
      <c r="N12" s="68" cm="1">
        <f t="array" ref="N12">SUMPRODUCT((raw_lb[[who_region]:[who_region]]=$A12)*raw[[births]:[births]]*raw_lb[hbe_prev]*(LEN(raw_lb[hbe_prev])&gt;1)*(LEN(raw_lb[[bd_cov]:[bd_cov]])&gt;interactive!$C$6))/SUMPRODUCT((raw_lb[[who_region]:[who_region]]=$A12)*raw[[births]:[births]]*(LEN(raw_lb[hbe_prev])&gt;1)*(LEN(raw_lb[[bd_cov]:[bd_cov]])&gt;interactive!$C$6))</f>
        <v>0.16696882109103672</v>
      </c>
      <c r="O12" s="68" cm="1">
        <f t="array" ref="O12">SUMPRODUCT((raw_lb[[who_region]:[who_region]]=$A12)*raw[[births]:[births]]*raw_lb[epos]*(LEN(raw_lb[epos])&gt;1)*(LEN(raw_lb[[bd_cov]:[bd_cov]])&gt;interactive!$C$6))/SUMPRODUCT((raw_lb[[who_region]:[who_region]]=$A12)*raw[[births]:[births]]*(LEN(raw_lb[epos])&gt;1)*(LEN(raw_lb[[bd_cov]:[bd_cov]])&gt;interactive!$C$6))</f>
        <v>0.7</v>
      </c>
      <c r="P12" s="68" cm="1">
        <f t="array" ref="P12">SUMPRODUCT((raw_lb[[who_region]:[who_region]]=$A12)*raw[[births]:[births]]*raw_lb[eneg]*(LEN(raw_lb[eneg])&gt;1)*(LEN(raw_lb[[bd_cov]:[bd_cov]])&gt;interactive!$C$6))/SUMPRODUCT((raw_lb[[who_region]:[who_region]]=$A12)*raw[[births]:[births]]*(LEN(raw_lb[eneg])&gt;1)*(LEN(raw_lb[[bd_cov]:[bd_cov]])&gt;interactive!$C$6))</f>
        <v>5.0000000000000017E-2</v>
      </c>
      <c r="Q12" s="69" cm="1">
        <f t="array" ref="Q12">SUMPRODUCT((raw_lb[[who_region]:[who_region]]=$A12)*raw[[births]:[births]]*raw_lb[c_diag]*(LEN(raw_lb[c_diag])&gt;1)*(LEN(raw_lb[[bd_cov]:[bd_cov]])&gt;interactive!$C$6))/SUMPRODUCT((raw_lb[[who_region]:[who_region]]=$A12)*raw[[births]:[births]]*(LEN(raw_lb[c_diag])&gt;1)*(LEN(raw_lb[[bd_cov]:[bd_cov]])&gt;interactive!$C$6))</f>
        <v>2.1174258346342603</v>
      </c>
      <c r="R12" s="69" cm="1">
        <f t="array" ref="R12">SUMPRODUCT((raw_lb[[who_region]:[who_region]]=$A12)*raw[[births]:[births]]*raw_lb[c_C]*(LEN(raw_lb[c_C])&gt;1)*(LEN(raw_lb[[bd_cov]:[bd_cov]])&gt;interactive!$C$6))/SUMPRODUCT((raw_lb[[who_region]:[who_region]]=$A12)*raw[[births]:[births]]*(LEN(raw_lb[c_C])&gt;1)*(LEN(raw_lb[[bd_cov]:[bd_cov]])&gt;interactive!$C$6))</f>
        <v>9.1783258346342613</v>
      </c>
      <c r="S12" s="69" cm="1">
        <f t="array" ref="S12">SUMPRODUCT((raw_lb[[who_region]:[who_region]]=$A12)*raw[[births]:[births]]*raw_lb[c_CC]*(LEN(raw_lb[c_CC])&gt;1)*(LEN(raw_lb[[bd_cov]:[bd_cov]])&gt;interactive!$C$6))/SUMPRODUCT((raw_lb[[who_region]:[who_region]]=$A12)*raw[[births]:[births]]*(LEN(raw_lb[c_CC])&gt;1)*(LEN(raw_lb[[bd_cov]:[bd_cov]])&gt;interactive!$C$6))</f>
        <v>50.331084970063586</v>
      </c>
      <c r="T12" s="69" cm="1">
        <f t="array" ref="T12">SUMPRODUCT((raw_lb[[who_region]:[who_region]]=$A12)*raw[[births]:[births]]*raw_lb[c_DC]*(LEN(raw_lb[c_DC])&gt;1)*(LEN(raw_lb[[bd_cov]:[bd_cov]])&gt;interactive!$C$6))/SUMPRODUCT((raw_lb[[who_region]:[who_region]]=$A12)*raw[[births]:[births]]*(LEN(raw_lb[c_DC])&gt;1)*(LEN(raw_lb[[bd_cov]:[bd_cov]])&gt;interactive!$C$6))</f>
        <v>56.541669036430285</v>
      </c>
      <c r="U12" s="69" cm="1">
        <f t="array" ref="U12">SUMPRODUCT((raw_lb[[who_region]:[who_region]]=$A12)*raw[[births]:[births]]*raw_lb[c_HCC]*(LEN(raw_lb[c_HCC])&gt;1)*(LEN(raw_lb[[bd_cov]:[bd_cov]])&gt;interactive!$C$6))/SUMPRODUCT((raw_lb[[who_region]:[who_region]]=$A12)*raw[[births]:[births]]*(LEN(raw_lb[c_HCC])&gt;1)*(LEN(raw_lb[[bd_cov]:[bd_cov]])&gt;interactive!$C$6))</f>
        <v>53.689900108178044</v>
      </c>
      <c r="V12" s="69" cm="1">
        <f t="array" ref="V12">SUMPRODUCT((raw_lb[[who_region]:[who_region]]=$A12)*raw[[births]:[births]]*raw_lb[bl1_f]*(LEN(raw_lb[bl1_f])&gt;1)*(LEN(raw_lb[[bd_cov]:[bd_cov]])&gt;interactive!$C$6))/SUMPRODUCT((raw_lb[[who_region]:[who_region]]=$A12)*raw[[births]:[births]]*(LEN(raw_lb[bl1_f])&gt;1)*(LEN(raw_lb[[bd_cov]:[bd_cov]])&gt;interactive!$C$6))</f>
        <v>1.3089758346022395</v>
      </c>
      <c r="W12" s="69" cm="1">
        <f t="array" ref="W12">SUMPRODUCT((raw_lb[[who_region]:[who_region]]=$A12)*raw[[births]:[births]]*raw_lb[bl1_c]*(LEN(raw_lb[bl1_c])&gt;1)*(LEN(raw_lb[[bd_cov]:[bd_cov]])&gt;interactive!$C$6))/SUMPRODUCT((raw_lb[[who_region]:[who_region]]=$A12)*raw[[births]:[births]]*(LEN(raw_lb[bl1_c])&gt;1)*(LEN(raw_lb[[bd_cov]:[bd_cov]])&gt;interactive!$C$6))</f>
        <v>1.3279758346022394</v>
      </c>
      <c r="X12" s="69" cm="1">
        <f t="array" ref="X12">SUMPRODUCT((raw_lb[[who_region]:[who_region]]=$A12)*raw[[births]:[births]]*raw_lb[map_f]*(LEN(raw_lb[map_f])&gt;1)*(LEN(raw_lb[[bd_cov]:[bd_cov]])&gt;interactive!$C$6))/SUMPRODUCT((raw_lb[[who_region]:[who_region]]=$A12)*raw[[births]:[births]]*(LEN(raw_lb[map_f])&gt;1)*(LEN(raw_lb[[bd_cov]:[bd_cov]])&gt;interactive!$C$6))</f>
        <v>0.83117089926972987</v>
      </c>
      <c r="Y12" s="69" cm="1">
        <f t="array" ref="Y12">SUMPRODUCT((raw_lb[[who_region]:[who_region]]=$A12)*raw[[births]:[births]]*raw_lb[map_cq]*(LEN(raw_lb[map_cq])&gt;1)*(LEN(raw_lb[[bd_cov]:[bd_cov]])&gt;interactive!$C$6))/SUMPRODUCT((raw_lb[[who_region]:[who_region]]=$A12)*raw[[births]:[births]]*(LEN(raw_lb[map_cq])&gt;1)*(LEN(raw_lb[[bd_cov]:[bd_cov]])&gt;interactive!$C$6))</f>
        <v>0.85017089926973</v>
      </c>
      <c r="Z12" s="69" cm="1">
        <f t="array" ref="Z12">SUMPRODUCT((raw_lb[[who_region]:[who_region]]=$A12)*raw[[births]:[births]]*raw_lb[map_cl]*(LEN(raw_lb[map_cl])&gt;1)*(LEN(raw_lb[[bd_cov]:[bd_cov]])&gt;interactive!$C$6))/SUMPRODUCT((raw_lb[[who_region]:[who_region]]=$A12)*raw[[births]:[births]]*(LEN(raw_lb[map_cl])&gt;1)*(LEN(raw_lb[[bd_cov]:[bd_cov]])&gt;interactive!$C$6))</f>
        <v>0.84364405741198334</v>
      </c>
      <c r="AA12" s="69" cm="1">
        <f t="array" ref="AA12">SUMPRODUCT((raw_lb[[who_region]:[who_region]]=$A12)*raw[[births]:[births]]*raw_lb[ctc_f]*(LEN(raw_lb[ctc_f])&gt;1)*(LEN(raw_lb[[bd_cov]:[bd_cov]])&gt;interactive!$C$6))/SUMPRODUCT((raw_lb[[who_region]:[who_region]]=$A12)*raw[[births]:[births]]*(LEN(raw_lb[ctc_f])&gt;1)*(LEN(raw_lb[[bd_cov]:[bd_cov]])&gt;interactive!$C$6))</f>
        <v>1.4741663810885866</v>
      </c>
      <c r="AB12" s="69" cm="1">
        <f t="array" ref="AB12">SUMPRODUCT((raw_lb[[who_region]:[who_region]]=$A12)*raw[[births]:[births]]*raw_lb[ctc_c]*(LEN(raw_lb[ctc_c])&gt;1)*(LEN(raw_lb[[bd_cov]:[bd_cov]])&gt;interactive!$C$6))/SUMPRODUCT((raw_lb[[who_region]:[who_region]]=$A12)*raw[[births]:[births]]*(LEN(raw_lb[ctc_c])&gt;1)*(LEN(raw_lb[[bd_cov]:[bd_cov]])&gt;interactive!$C$6))</f>
        <v>1.4931663810885862</v>
      </c>
      <c r="AC12" s="71" cm="1">
        <f t="array" ref="AC12">SUMPRODUCT((raw_lb[[who_region]:[who_region]]=$A12)*raw[[births]:[births]]*raw_lb[m_01]*(LEN(raw_lb[m_01])&gt;1)*(LEN(raw_lb[[bd_cov]:[bd_cov]])&gt;interactive!$C$6))/SUMPRODUCT((raw_lb[[who_region]:[who_region]]=$A12)*raw[[births]:[births]]*(LEN(raw_lb[m_01])&gt;1)*(LEN(raw_lb[[bd_cov]:[bd_cov]])&gt;interactive!$C$6))</f>
        <v>1.3458668237832212E-2</v>
      </c>
      <c r="AD12" s="71" cm="1">
        <f t="array" ref="AD12">SUMPRODUCT((raw_lb[[who_region]:[who_region]]=$A12)*raw[[births]:[births]]*raw_lb[m_14]*(LEN(raw_lb[m_14])&gt;1)*(LEN(raw_lb[[bd_cov]:[bd_cov]])&gt;interactive!$C$6))/SUMPRODUCT((raw_lb[[who_region]:[who_region]]=$A12)*raw[[births]:[births]]*(LEN(raw_lb[m_14])&gt;1)*(LEN(raw_lb[[bd_cov]:[bd_cov]])&gt;interactive!$C$6))</f>
        <v>6.3435408495035074E-4</v>
      </c>
      <c r="AE12" s="71" cm="1">
        <f t="array" ref="AE12">SUMPRODUCT((raw_lb[[who_region]:[who_region]]=$A12)*raw[[births]:[births]]*raw_lb[m_59]*(LEN(raw_lb[m_59])&gt;1)*(LEN(raw_lb[[bd_cov]:[bd_cov]])&gt;interactive!$C$6))/SUMPRODUCT((raw_lb[[who_region]:[who_region]]=$A12)*raw[[births]:[births]]*(LEN(raw_lb[m_59])&gt;1)*(LEN(raw_lb[[bd_cov]:[bd_cov]])&gt;interactive!$C$6))</f>
        <v>2.7806894221095392E-4</v>
      </c>
      <c r="AF12" s="71" cm="1">
        <f t="array" ref="AF12">SUMPRODUCT((raw_lb[[who_region]:[who_region]]=$A12)*raw[[births]:[births]]*raw_lb[m_1014]*(LEN(raw_lb[m_1014])&gt;1)*(LEN(raw_lb[[bd_cov]:[bd_cov]])&gt;interactive!$C$6))/SUMPRODUCT((raw_lb[[who_region]:[who_region]]=$A12)*raw[[births]:[births]]*(LEN(raw_lb[m_1014])&gt;1)*(LEN(raw_lb[[bd_cov]:[bd_cov]])&gt;interactive!$C$6))</f>
        <v>3.3677960658365407E-4</v>
      </c>
      <c r="AG12" s="71" cm="1">
        <f t="array" ref="AG12">SUMPRODUCT((raw_lb[[who_region]:[who_region]]=$A12)*raw[[births]:[births]]*raw_lb[m_1519]*(LEN(raw_lb[m_1519])&gt;1)*(LEN(raw_lb[[bd_cov]:[bd_cov]])&gt;interactive!$C$6))/SUMPRODUCT((raw_lb[[who_region]:[who_region]]=$A12)*raw[[births]:[births]]*(LEN(raw_lb[m_1519])&gt;1)*(LEN(raw_lb[[bd_cov]:[bd_cov]])&gt;interactive!$C$6))</f>
        <v>9.0753629405173318E-4</v>
      </c>
      <c r="AH12" s="71" cm="1">
        <f t="array" ref="AH12">SUMPRODUCT((raw_lb[[who_region]:[who_region]]=$A12)*raw[[births]:[births]]*raw_lb[m_2024]*(LEN(raw_lb[m_2024])&gt;1)*(LEN(raw_lb[[bd_cov]:[bd_cov]])&gt;interactive!$C$6))/SUMPRODUCT((raw_lb[[who_region]:[who_region]]=$A12)*raw[[births]:[births]]*(LEN(raw_lb[m_2024])&gt;1)*(LEN(raw_lb[[bd_cov]:[bd_cov]])&gt;interactive!$C$6))</f>
        <v>1.4372331183695466E-3</v>
      </c>
      <c r="AI12" s="71" cm="1">
        <f t="array" ref="AI12">SUMPRODUCT((raw_lb[[who_region]:[who_region]]=$A12)*raw[[births]:[births]]*raw_lb[m_2529]*(LEN(raw_lb[m_2529])&gt;1)*(LEN(raw_lb[[bd_cov]:[bd_cov]])&gt;interactive!$C$6))/SUMPRODUCT((raw_lb[[who_region]:[who_region]]=$A12)*raw[[births]:[births]]*(LEN(raw_lb[m_2529])&gt;1)*(LEN(raw_lb[[bd_cov]:[bd_cov]])&gt;interactive!$C$6))</f>
        <v>1.5833117598352301E-3</v>
      </c>
      <c r="AJ12" s="71" cm="1">
        <f t="array" ref="AJ12">SUMPRODUCT((raw_lb[[who_region]:[who_region]]=$A12)*raw[[births]:[births]]*raw_lb[m_3034]*(LEN(raw_lb[m_3034])&gt;1)*(LEN(raw_lb[[bd_cov]:[bd_cov]])&gt;interactive!$C$6))/SUMPRODUCT((raw_lb[[who_region]:[who_region]]=$A12)*raw[[births]:[births]]*(LEN(raw_lb[m_3034])&gt;1)*(LEN(raw_lb[[bd_cov]:[bd_cov]])&gt;interactive!$C$6))</f>
        <v>1.7705818719047528E-3</v>
      </c>
      <c r="AK12" s="71" cm="1">
        <f t="array" ref="AK12">SUMPRODUCT((raw_lb[[who_region]:[who_region]]=$A12)*raw[[births]:[births]]*raw_lb[m_3539]*(LEN(raw_lb[m_3539])&gt;1)*(LEN(raw_lb[[bd_cov]:[bd_cov]])&gt;interactive!$C$6))/SUMPRODUCT((raw_lb[[who_region]:[who_region]]=$A12)*raw[[births]:[births]]*(LEN(raw_lb[m_3539])&gt;1)*(LEN(raw_lb[[bd_cov]:[bd_cov]])&gt;interactive!$C$6))</f>
        <v>2.0933468740203321E-3</v>
      </c>
      <c r="AL12" s="71" cm="1">
        <f t="array" ref="AL12">SUMPRODUCT((raw_lb[[who_region]:[who_region]]=$A12)*raw[[births]:[births]]*raw_lb[m_4044]*(LEN(raw_lb[m_4044])&gt;1)*(LEN(raw_lb[[bd_cov]:[bd_cov]])&gt;interactive!$C$6))/SUMPRODUCT((raw_lb[[who_region]:[who_region]]=$A12)*raw[[births]:[births]]*(LEN(raw_lb[m_4044])&gt;1)*(LEN(raw_lb[[bd_cov]:[bd_cov]])&gt;interactive!$C$6))</f>
        <v>2.6666279695061355E-3</v>
      </c>
      <c r="AM12" s="71" cm="1">
        <f t="array" ref="AM12">SUMPRODUCT((raw_lb[[who_region]:[who_region]]=$A12)*raw[[births]:[births]]*raw_lb[m_4549]*(LEN(raw_lb[m_4549])&gt;1)*(LEN(raw_lb[[bd_cov]:[bd_cov]])&gt;interactive!$C$6))/SUMPRODUCT((raw_lb[[who_region]:[who_region]]=$A12)*raw[[births]:[births]]*(LEN(raw_lb[m_4549])&gt;1)*(LEN(raw_lb[[bd_cov]:[bd_cov]])&gt;interactive!$C$6))</f>
        <v>3.7306826465588203E-3</v>
      </c>
      <c r="AN12" s="71" cm="1">
        <f t="array" ref="AN12">SUMPRODUCT((raw_lb[[who_region]:[who_region]]=$A12)*raw[[births]:[births]]*raw_lb[m_5054]*(LEN(raw_lb[m_5054])&gt;1)*(LEN(raw_lb[[bd_cov]:[bd_cov]])&gt;interactive!$C$6))/SUMPRODUCT((raw_lb[[who_region]:[who_region]]=$A12)*raw[[births]:[births]]*(LEN(raw_lb[m_5054])&gt;1)*(LEN(raw_lb[[bd_cov]:[bd_cov]])&gt;interactive!$C$6))</f>
        <v>5.4283115898019789E-3</v>
      </c>
      <c r="AO12" s="71" cm="1">
        <f t="array" ref="AO12">SUMPRODUCT((raw_lb[[who_region]:[who_region]]=$A12)*raw[[births]:[births]]*raw_lb[m_5559]*(LEN(raw_lb[m_5559])&gt;1)*(LEN(raw_lb[[bd_cov]:[bd_cov]])&gt;interactive!$C$6))/SUMPRODUCT((raw_lb[[who_region]:[who_region]]=$A12)*raw[[births]:[births]]*(LEN(raw_lb[m_5559])&gt;1)*(LEN(raw_lb[[bd_cov]:[bd_cov]])&gt;interactive!$C$6))</f>
        <v>7.9260924632041947E-3</v>
      </c>
      <c r="AP12" s="71" cm="1">
        <f t="array" ref="AP12">SUMPRODUCT((raw_lb[[who_region]:[who_region]]=$A12)*raw[[births]:[births]]*raw_lb[m_6064]*(LEN(raw_lb[m_6064])&gt;1)*(LEN(raw_lb[[bd_cov]:[bd_cov]])&gt;interactive!$C$6))/SUMPRODUCT((raw_lb[[who_region]:[who_region]]=$A12)*raw[[births]:[births]]*(LEN(raw_lb[m_6064])&gt;1)*(LEN(raw_lb[[bd_cov]:[bd_cov]])&gt;interactive!$C$6))</f>
        <v>1.1854981441840067E-2</v>
      </c>
      <c r="AQ12" s="71" cm="1">
        <f t="array" ref="AQ12">SUMPRODUCT((raw_lb[[who_region]:[who_region]]=$A12)*raw[[births]:[births]]*raw_lb[m_6569]*(LEN(raw_lb[m_6569])&gt;1)*(LEN(raw_lb[[bd_cov]:[bd_cov]])&gt;interactive!$C$6))/SUMPRODUCT((raw_lb[[who_region]:[who_region]]=$A12)*raw[[births]:[births]]*(LEN(raw_lb[m_6569])&gt;1)*(LEN(raw_lb[[bd_cov]:[bd_cov]])&gt;interactive!$C$6))</f>
        <v>1.7700895501278457E-2</v>
      </c>
      <c r="AR12" s="71" cm="1">
        <f t="array" ref="AR12">SUMPRODUCT((raw_lb[[who_region]:[who_region]]=$A12)*raw[[births]:[births]]*raw_lb[m_7074]*(LEN(raw_lb[m_7074])&gt;1)*(LEN(raw_lb[[bd_cov]:[bd_cov]])&gt;interactive!$C$6))/SUMPRODUCT((raw_lb[[who_region]:[who_region]]=$A12)*raw[[births]:[births]]*(LEN(raw_lb[m_7074])&gt;1)*(LEN(raw_lb[[bd_cov]:[bd_cov]])&gt;interactive!$C$6))</f>
        <v>2.6112896865152238E-2</v>
      </c>
      <c r="AS12" s="71" cm="1">
        <f t="array" ref="AS12">SUMPRODUCT((raw_lb[[who_region]:[who_region]]=$A12)*raw[[births]:[births]]*raw_lb[m_7079]*(LEN(raw_lb[m_7079])&gt;1)*(LEN(raw_lb[[bd_cov]:[bd_cov]])&gt;interactive!$C$6))/SUMPRODUCT((raw_lb[[who_region]:[who_region]]=$A12)*raw[[births]:[births]]*(LEN(raw_lb[m_7079])&gt;1)*(LEN(raw_lb[[bd_cov]:[bd_cov]])&gt;interactive!$C$6))</f>
        <v>3.907513850639855E-2</v>
      </c>
      <c r="AT12" s="71" cm="1">
        <f t="array" ref="AT12">SUMPRODUCT((raw_lb[[who_region]:[who_region]]=$A12)*raw[[births]:[births]]*raw_lb[m_8084]*(LEN(raw_lb[m_8084])&gt;1)*(LEN(raw_lb[[bd_cov]:[bd_cov]])&gt;interactive!$C$6))/SUMPRODUCT((raw_lb[[who_region]:[who_region]]=$A12)*raw[[births]:[births]]*(LEN(raw_lb[m_8084])&gt;1)*(LEN(raw_lb[[bd_cov]:[bd_cov]])&gt;interactive!$C$6))</f>
        <v>5.7368798640359861E-2</v>
      </c>
      <c r="AU12" s="71" cm="1">
        <f t="array" ref="AU12">SUMPRODUCT((raw_lb[[who_region]:[who_region]]=$A12)*raw[[births]:[births]]*raw_lb[m_8589]*(LEN(raw_lb[m_8589])&gt;1)*(LEN(raw_lb[[bd_cov]:[bd_cov]])&gt;interactive!$C$6))/SUMPRODUCT((raw_lb[[who_region]:[who_region]]=$A12)*raw[[births]:[births]]*(LEN(raw_lb[m_8589])&gt;1)*(LEN(raw_lb[[bd_cov]:[bd_cov]])&gt;interactive!$C$6))</f>
        <v>8.1934837481490372E-2</v>
      </c>
      <c r="AV12" s="71" cm="1">
        <f t="array" ref="AV12">SUMPRODUCT((raw_lb[[who_region]:[who_region]]=$A12)*raw[[births]:[births]]*raw_lb[m_9094]*(LEN(raw_lb[m_9094])&gt;1)*(LEN(raw_lb[[bd_cov]:[bd_cov]])&gt;interactive!$C$6))/SUMPRODUCT((raw_lb[[who_region]:[who_region]]=$A12)*raw[[births]:[births]]*(LEN(raw_lb[m_9094])&gt;1)*(LEN(raw_lb[[bd_cov]:[bd_cov]])&gt;interactive!$C$6))</f>
        <v>0.10776636086498405</v>
      </c>
      <c r="AW12" s="71" cm="1">
        <f t="array" ref="AW12">SUMPRODUCT((raw_lb[[who_region]:[who_region]]=$A12)*raw[[births]:[births]]*raw_lb[m_95+]*(LEN(raw_lb[m_95+])&gt;1)*(LEN(raw_lb[[bd_cov]:[bd_cov]])&gt;interactive!$C$6))/SUMPRODUCT((raw_lb[[who_region]:[who_region]]=$A12)*raw[[births]:[births]]*(LEN(raw_lb[m_95+])&gt;1)*(LEN(raw_lb[[bd_cov]:[bd_cov]])&gt;interactive!$C$6))</f>
        <v>0.13870627685052614</v>
      </c>
      <c r="AX12" s="71" cm="1">
        <f t="array" ref="AX12">SUMPRODUCT((raw_lb[[who_region]:[who_region]]=$A12)*raw[[births]:[births]]*raw_lb[av_life]*(LEN(raw_lb[av_life])&gt;1)*(LEN(raw_lb[[bd_cov]:[bd_cov]])&gt;interactive!$C$6))/SUMPRODUCT((raw_lb[[who_region]:[who_region]]=$A12)*raw[[births]:[births]]*(LEN(raw_lb[av_life])&gt;1)*(LEN(raw_lb[[bd_cov]:[bd_cov]])&gt;interactive!$C$6))</f>
        <v>71.644023597506688</v>
      </c>
    </row>
    <row r="13" spans="1:51" x14ac:dyDescent="0.25">
      <c r="A13" s="65" t="s">
        <v>196</v>
      </c>
      <c r="J13" s="68" cm="1">
        <f t="array" ref="J13">SUMPRODUCT((raw_lb[[who_region]:[who_region]]=$A13)*raw[[births]:[births]]*raw_lb[fac_birth]*(LEN(raw_lb[fac_birth])&gt;1)*(LEN(raw_lb[[bd_cov]:[bd_cov]])&gt;interactive!$C$6))/SUMPRODUCT((raw_lb[[who_region]:[who_region]]=$A13)*raw[[births]:[births]]*(LEN(raw_lb[fac_birth])&gt;1)*(LEN(raw_lb[[bd_cov]:[bd_cov]])&gt;interactive!$C$6))</f>
        <v>0.80050185102441429</v>
      </c>
      <c r="K13" s="68" cm="1">
        <f t="array" ref="K13">SUMPRODUCT((raw_lb[[who_region]:[who_region]]=$A13)*raw[[births]:[births]]*raw_lb[bd_cov]*(LEN(raw_lb[bd_cov])&gt;1)*(LEN(raw_lb[[bd_cov]:[bd_cov]])&gt;interactive!$C$6))/SUMPRODUCT((raw_lb[[who_region]:[who_region]]=$A13)*raw[[births]:[births]]*(LEN(raw_lb[bd_cov])&gt;1)*(LEN(raw_lb[[bd_cov]:[bd_cov]])&gt;interactive!$C$6))</f>
        <v>0.68615005472099766</v>
      </c>
      <c r="L13" s="68" cm="1">
        <f t="array" ref="L13">SUMPRODUCT((raw_lb[[who_region]:[who_region]]=$A13)*raw[[births]:[births]]*raw_lb[hbv3_cov]*(LEN(raw_lb[hbv3_cov])&gt;1)*(LEN(raw_lb[[bd_cov]:[bd_cov]])&gt;interactive!$C$6))/SUMPRODUCT((raw_lb[[who_region]:[who_region]]=$A13)*raw[[births]:[births]]*(LEN(raw_lb[hbv3_cov])&gt;1)*(LEN(raw_lb[[bd_cov]:[bd_cov]])&gt;interactive!$C$6))</f>
        <v>0.83875452610929135</v>
      </c>
      <c r="M13" s="68" cm="1">
        <f t="array" ref="M13">SUMPRODUCT((raw_lb[[who_region]:[who_region]]=$A13)*raw[[births]:[births]]*raw_lb[hbv_prev]*(LEN(raw_lb[hbv_prev])&gt;1)*(LEN(raw_lb[[bd_cov]:[bd_cov]])&gt;interactive!$C$6))/SUMPRODUCT((raw_lb[[who_region]:[who_region]]=$A13)*raw[[births]:[births]]*(LEN(raw_lb[hbv_prev])&gt;1)*(LEN(raw_lb[[bd_cov]:[bd_cov]])&gt;interactive!$C$6))</f>
        <v>1.2018602180419433E-2</v>
      </c>
      <c r="N13" s="68" cm="1">
        <f t="array" ref="N13">SUMPRODUCT((raw_lb[[who_region]:[who_region]]=$A13)*raw[[births]:[births]]*raw_lb[hbe_prev]*(LEN(raw_lb[hbe_prev])&gt;1)*(LEN(raw_lb[[bd_cov]:[bd_cov]])&gt;interactive!$C$6))/SUMPRODUCT((raw_lb[[who_region]:[who_region]]=$A13)*raw[[births]:[births]]*(LEN(raw_lb[hbe_prev])&gt;1)*(LEN(raw_lb[[bd_cov]:[bd_cov]])&gt;interactive!$C$6))</f>
        <v>0.14981588877751942</v>
      </c>
      <c r="O13" s="68" cm="1">
        <f t="array" ref="O13">SUMPRODUCT((raw_lb[[who_region]:[who_region]]=$A13)*raw[[births]:[births]]*raw_lb[epos]*(LEN(raw_lb[epos])&gt;1)*(LEN(raw_lb[[bd_cov]:[bd_cov]])&gt;interactive!$C$6))/SUMPRODUCT((raw_lb[[who_region]:[who_region]]=$A13)*raw[[births]:[births]]*(LEN(raw_lb[epos])&gt;1)*(LEN(raw_lb[[bd_cov]:[bd_cov]])&gt;interactive!$C$6))</f>
        <v>0.69830663757364475</v>
      </c>
      <c r="P13" s="68" cm="1">
        <f t="array" ref="P13">SUMPRODUCT((raw_lb[[who_region]:[who_region]]=$A13)*raw[[births]:[births]]*raw_lb[eneg]*(LEN(raw_lb[eneg])&gt;1)*(LEN(raw_lb[[bd_cov]:[bd_cov]])&gt;interactive!$C$6))/SUMPRODUCT((raw_lb[[who_region]:[who_region]]=$A13)*raw[[births]:[births]]*(LEN(raw_lb[eneg])&gt;1)*(LEN(raw_lb[[bd_cov]:[bd_cov]])&gt;interactive!$C$6))</f>
        <v>4.9868294033505699E-2</v>
      </c>
      <c r="Q13" s="69" cm="1">
        <f t="array" ref="Q13">SUMPRODUCT((raw_lb[[who_region]:[who_region]]=$A13)*raw[[births]:[births]]*raw_lb[c_diag]*(LEN(raw_lb[c_diag])&gt;1)*(LEN(raw_lb[[bd_cov]:[bd_cov]])&gt;interactive!$C$6))/SUMPRODUCT((raw_lb[[who_region]:[who_region]]=$A13)*raw[[births]:[births]]*(LEN(raw_lb[c_diag])&gt;1)*(LEN(raw_lb[[bd_cov]:[bd_cov]])&gt;interactive!$C$6))</f>
        <v>1.3020815871657816</v>
      </c>
      <c r="R13" s="69" cm="1">
        <f t="array" ref="R13">SUMPRODUCT((raw_lb[[who_region]:[who_region]]=$A13)*raw[[births]:[births]]*raw_lb[c_C]*(LEN(raw_lb[c_C])&gt;1)*(LEN(raw_lb[[bd_cov]:[bd_cov]])&gt;interactive!$C$6))/SUMPRODUCT((raw_lb[[who_region]:[who_region]]=$A13)*raw[[births]:[births]]*(LEN(raw_lb[c_C])&gt;1)*(LEN(raw_lb[[bd_cov]:[bd_cov]])&gt;interactive!$C$6))</f>
        <v>8.362981587165784</v>
      </c>
      <c r="S13" s="69" cm="1">
        <f t="array" ref="S13">SUMPRODUCT((raw_lb[[who_region]:[who_region]]=$A13)*raw[[births]:[births]]*raw_lb[c_CC]*(LEN(raw_lb[c_CC])&gt;1)*(LEN(raw_lb[[bd_cov]:[bd_cov]])&gt;interactive!$C$6))/SUMPRODUCT((raw_lb[[who_region]:[who_region]]=$A13)*raw[[births]:[births]]*(LEN(raw_lb[c_CC])&gt;1)*(LEN(raw_lb[[bd_cov]:[bd_cov]])&gt;interactive!$C$6))</f>
        <v>43.296947842982554</v>
      </c>
      <c r="T13" s="69" cm="1">
        <f t="array" ref="T13">SUMPRODUCT((raw_lb[[who_region]:[who_region]]=$A13)*raw[[births]:[births]]*raw_lb[c_DC]*(LEN(raw_lb[c_DC])&gt;1)*(LEN(raw_lb[[bd_cov]:[bd_cov]])&gt;interactive!$C$6))/SUMPRODUCT((raw_lb[[who_region]:[who_region]]=$A13)*raw[[births]:[births]]*(LEN(raw_lb[c_DC])&gt;1)*(LEN(raw_lb[[bd_cov]:[bd_cov]])&gt;interactive!$C$6))</f>
        <v>46.258018491038726</v>
      </c>
      <c r="U13" s="69" cm="1">
        <f t="array" ref="U13">SUMPRODUCT((raw_lb[[who_region]:[who_region]]=$A13)*raw[[births]:[births]]*raw_lb[c_HCC]*(LEN(raw_lb[c_HCC])&gt;1)*(LEN(raw_lb[[bd_cov]:[bd_cov]])&gt;interactive!$C$6))/SUMPRODUCT((raw_lb[[who_region]:[who_region]]=$A13)*raw[[births]:[births]]*(LEN(raw_lb[c_HCC])&gt;1)*(LEN(raw_lb[[bd_cov]:[bd_cov]])&gt;interactive!$C$6))</f>
        <v>44.905306491715322</v>
      </c>
      <c r="V13" s="69" cm="1">
        <f t="array" ref="V13">SUMPRODUCT((raw_lb[[who_region]:[who_region]]=$A13)*raw[[births]:[births]]*raw_lb[bl1_f]*(LEN(raw_lb[bl1_f])&gt;1)*(LEN(raw_lb[[bd_cov]:[bd_cov]])&gt;interactive!$C$6))/SUMPRODUCT((raw_lb[[who_region]:[who_region]]=$A13)*raw[[births]:[births]]*(LEN(raw_lb[bl1_f])&gt;1)*(LEN(raw_lb[[bd_cov]:[bd_cov]])&gt;interactive!$C$6))</f>
        <v>1.3760681281021352</v>
      </c>
      <c r="W13" s="69" cm="1">
        <f t="array" ref="W13">SUMPRODUCT((raw_lb[[who_region]:[who_region]]=$A13)*raw[[births]:[births]]*raw_lb[bl1_c]*(LEN(raw_lb[bl1_c])&gt;1)*(LEN(raw_lb[[bd_cov]:[bd_cov]])&gt;interactive!$C$6))/SUMPRODUCT((raw_lb[[who_region]:[who_region]]=$A13)*raw[[births]:[births]]*(LEN(raw_lb[bl1_c])&gt;1)*(LEN(raw_lb[[bd_cov]:[bd_cov]])&gt;interactive!$C$6))</f>
        <v>1.8433888820847169</v>
      </c>
      <c r="X13" s="69" cm="1">
        <f t="array" ref="X13">SUMPRODUCT((raw_lb[[who_region]:[who_region]]=$A13)*raw[[births]:[births]]*raw_lb[map_f]*(LEN(raw_lb[map_f])&gt;1)*(LEN(raw_lb[[bd_cov]:[bd_cov]])&gt;interactive!$C$6))/SUMPRODUCT((raw_lb[[who_region]:[who_region]]=$A13)*raw[[births]:[births]]*(LEN(raw_lb[map_f])&gt;1)*(LEN(raw_lb[[bd_cov]:[bd_cov]])&gt;interactive!$C$6))</f>
        <v>0.90176573897669143</v>
      </c>
      <c r="Y13" s="69" cm="1">
        <f t="array" ref="Y13">SUMPRODUCT((raw_lb[[who_region]:[who_region]]=$A13)*raw[[births]:[births]]*raw_lb[map_cq]*(LEN(raw_lb[map_cq])&gt;1)*(LEN(raw_lb[[bd_cov]:[bd_cov]])&gt;interactive!$C$6))/SUMPRODUCT((raw_lb[[who_region]:[who_region]]=$A13)*raw[[births]:[births]]*(LEN(raw_lb[map_cq])&gt;1)*(LEN(raw_lb[[bd_cov]:[bd_cov]])&gt;interactive!$C$6))</f>
        <v>1.369086492959273</v>
      </c>
      <c r="Z13" s="69" cm="1">
        <f t="array" ref="Z13">SUMPRODUCT((raw_lb[[who_region]:[who_region]]=$A13)*raw[[births]:[births]]*raw_lb[map_cl]*(LEN(raw_lb[map_cl])&gt;1)*(LEN(raw_lb[[bd_cov]:[bd_cov]])&gt;interactive!$C$6))/SUMPRODUCT((raw_lb[[who_region]:[who_region]]=$A13)*raw[[births]:[births]]*(LEN(raw_lb[map_cl])&gt;1)*(LEN(raw_lb[[bd_cov]:[bd_cov]])&gt;interactive!$C$6))</f>
        <v>1.3648455924767617</v>
      </c>
      <c r="AA13" s="69" cm="1">
        <f t="array" ref="AA13">SUMPRODUCT((raw_lb[[who_region]:[who_region]]=$A13)*raw[[births]:[births]]*raw_lb[ctc_f]*(LEN(raw_lb[ctc_f])&gt;1)*(LEN(raw_lb[[bd_cov]:[bd_cov]])&gt;interactive!$C$6))/SUMPRODUCT((raw_lb[[who_region]:[who_region]]=$A13)*raw[[births]:[births]]*(LEN(raw_lb[ctc_f])&gt;1)*(LEN(raw_lb[[bd_cov]:[bd_cov]])&gt;interactive!$C$6))</f>
        <v>1.5304508177209653</v>
      </c>
      <c r="AB13" s="69" cm="1">
        <f t="array" ref="AB13">SUMPRODUCT((raw_lb[[who_region]:[who_region]]=$A13)*raw[[births]:[births]]*raw_lb[ctc_c]*(LEN(raw_lb[ctc_c])&gt;1)*(LEN(raw_lb[[bd_cov]:[bd_cov]])&gt;interactive!$C$6))/SUMPRODUCT((raw_lb[[who_region]:[who_region]]=$A13)*raw[[births]:[births]]*(LEN(raw_lb[ctc_c])&gt;1)*(LEN(raw_lb[[bd_cov]:[bd_cov]])&gt;interactive!$C$6))</f>
        <v>1.9977715717035467</v>
      </c>
      <c r="AC13" s="71" cm="1">
        <f t="array" ref="AC13">SUMPRODUCT((raw_lb[[who_region]:[who_region]]=$A13)*raw[[births]:[births]]*raw_lb[m_01]*(LEN(raw_lb[m_01])&gt;1)*(LEN(raw_lb[[bd_cov]:[bd_cov]])&gt;interactive!$C$6))/SUMPRODUCT((raw_lb[[who_region]:[who_region]]=$A13)*raw[[births]:[births]]*(LEN(raw_lb[m_01])&gt;1)*(LEN(raw_lb[[bd_cov]:[bd_cov]])&gt;interactive!$C$6))</f>
        <v>2.1254423826022981E-2</v>
      </c>
      <c r="AD13" s="71" cm="1">
        <f t="array" ref="AD13">SUMPRODUCT((raw_lb[[who_region]:[who_region]]=$A13)*raw[[births]:[births]]*raw_lb[m_14]*(LEN(raw_lb[m_14])&gt;1)*(LEN(raw_lb[[bd_cov]:[bd_cov]])&gt;interactive!$C$6))/SUMPRODUCT((raw_lb[[who_region]:[who_region]]=$A13)*raw[[births]:[births]]*(LEN(raw_lb[m_14])&gt;1)*(LEN(raw_lb[[bd_cov]:[bd_cov]])&gt;interactive!$C$6))</f>
        <v>1.3673833366817567E-3</v>
      </c>
      <c r="AE13" s="71" cm="1">
        <f t="array" ref="AE13">SUMPRODUCT((raw_lb[[who_region]:[who_region]]=$A13)*raw[[births]:[births]]*raw_lb[m_59]*(LEN(raw_lb[m_59])&gt;1)*(LEN(raw_lb[[bd_cov]:[bd_cov]])&gt;interactive!$C$6))/SUMPRODUCT((raw_lb[[who_region]:[who_region]]=$A13)*raw[[births]:[births]]*(LEN(raw_lb[m_59])&gt;1)*(LEN(raw_lb[[bd_cov]:[bd_cov]])&gt;interactive!$C$6))</f>
        <v>5.1206211521849672E-4</v>
      </c>
      <c r="AF13" s="71" cm="1">
        <f t="array" ref="AF13">SUMPRODUCT((raw_lb[[who_region]:[who_region]]=$A13)*raw[[births]:[births]]*raw_lb[m_1014]*(LEN(raw_lb[m_1014])&gt;1)*(LEN(raw_lb[[bd_cov]:[bd_cov]])&gt;interactive!$C$6))/SUMPRODUCT((raw_lb[[who_region]:[who_region]]=$A13)*raw[[births]:[births]]*(LEN(raw_lb[m_1014])&gt;1)*(LEN(raw_lb[[bd_cov]:[bd_cov]])&gt;interactive!$C$6))</f>
        <v>4.2203648954142772E-4</v>
      </c>
      <c r="AG13" s="71" cm="1">
        <f t="array" ref="AG13">SUMPRODUCT((raw_lb[[who_region]:[who_region]]=$A13)*raw[[births]:[births]]*raw_lb[m_1519]*(LEN(raw_lb[m_1519])&gt;1)*(LEN(raw_lb[[bd_cov]:[bd_cov]])&gt;interactive!$C$6))/SUMPRODUCT((raw_lb[[who_region]:[who_region]]=$A13)*raw[[births]:[births]]*(LEN(raw_lb[m_1519])&gt;1)*(LEN(raw_lb[[bd_cov]:[bd_cov]])&gt;interactive!$C$6))</f>
        <v>6.9696390285522373E-4</v>
      </c>
      <c r="AH13" s="71" cm="1">
        <f t="array" ref="AH13">SUMPRODUCT((raw_lb[[who_region]:[who_region]]=$A13)*raw[[births]:[births]]*raw_lb[m_2024]*(LEN(raw_lb[m_2024])&gt;1)*(LEN(raw_lb[[bd_cov]:[bd_cov]])&gt;interactive!$C$6))/SUMPRODUCT((raw_lb[[who_region]:[who_region]]=$A13)*raw[[births]:[births]]*(LEN(raw_lb[m_2024])&gt;1)*(LEN(raw_lb[[bd_cov]:[bd_cov]])&gt;interactive!$C$6))</f>
        <v>1.0243163814736282E-3</v>
      </c>
      <c r="AI13" s="71" cm="1">
        <f t="array" ref="AI13">SUMPRODUCT((raw_lb[[who_region]:[who_region]]=$A13)*raw[[births]:[births]]*raw_lb[m_2529]*(LEN(raw_lb[m_2529])&gt;1)*(LEN(raw_lb[[bd_cov]:[bd_cov]])&gt;interactive!$C$6))/SUMPRODUCT((raw_lb[[who_region]:[who_region]]=$A13)*raw[[births]:[births]]*(LEN(raw_lb[m_2529])&gt;1)*(LEN(raw_lb[[bd_cov]:[bd_cov]])&gt;interactive!$C$6))</f>
        <v>1.1046057539457095E-3</v>
      </c>
      <c r="AJ13" s="71" cm="1">
        <f t="array" ref="AJ13">SUMPRODUCT((raw_lb[[who_region]:[who_region]]=$A13)*raw[[births]:[births]]*raw_lb[m_3034]*(LEN(raw_lb[m_3034])&gt;1)*(LEN(raw_lb[[bd_cov]:[bd_cov]])&gt;interactive!$C$6))/SUMPRODUCT((raw_lb[[who_region]:[who_region]]=$A13)*raw[[births]:[births]]*(LEN(raw_lb[m_3034])&gt;1)*(LEN(raw_lb[[bd_cov]:[bd_cov]])&gt;interactive!$C$6))</f>
        <v>1.309558124677567E-3</v>
      </c>
      <c r="AK13" s="71" cm="1">
        <f t="array" ref="AK13">SUMPRODUCT((raw_lb[[who_region]:[who_region]]=$A13)*raw[[births]:[births]]*raw_lb[m_3539]*(LEN(raw_lb[m_3539])&gt;1)*(LEN(raw_lb[[bd_cov]:[bd_cov]])&gt;interactive!$C$6))/SUMPRODUCT((raw_lb[[who_region]:[who_region]]=$A13)*raw[[births]:[births]]*(LEN(raw_lb[m_3539])&gt;1)*(LEN(raw_lb[[bd_cov]:[bd_cov]])&gt;interactive!$C$6))</f>
        <v>1.6095582084517911E-3</v>
      </c>
      <c r="AL13" s="71" cm="1">
        <f t="array" ref="AL13">SUMPRODUCT((raw_lb[[who_region]:[who_region]]=$A13)*raw[[births]:[births]]*raw_lb[m_4044]*(LEN(raw_lb[m_4044])&gt;1)*(LEN(raw_lb[[bd_cov]:[bd_cov]])&gt;interactive!$C$6))/SUMPRODUCT((raw_lb[[who_region]:[who_region]]=$A13)*raw[[births]:[births]]*(LEN(raw_lb[m_4044])&gt;1)*(LEN(raw_lb[[bd_cov]:[bd_cov]])&gt;interactive!$C$6))</f>
        <v>2.26623128260011E-3</v>
      </c>
      <c r="AM13" s="71" cm="1">
        <f t="array" ref="AM13">SUMPRODUCT((raw_lb[[who_region]:[who_region]]=$A13)*raw[[births]:[births]]*raw_lb[m_4549]*(LEN(raw_lb[m_4549])&gt;1)*(LEN(raw_lb[[bd_cov]:[bd_cov]])&gt;interactive!$C$6))/SUMPRODUCT((raw_lb[[who_region]:[who_region]]=$A13)*raw[[births]:[births]]*(LEN(raw_lb[m_4549])&gt;1)*(LEN(raw_lb[[bd_cov]:[bd_cov]])&gt;interactive!$C$6))</f>
        <v>3.7794583184999836E-3</v>
      </c>
      <c r="AN13" s="71" cm="1">
        <f t="array" ref="AN13">SUMPRODUCT((raw_lb[[who_region]:[who_region]]=$A13)*raw[[births]:[births]]*raw_lb[m_5054]*(LEN(raw_lb[m_5054])&gt;1)*(LEN(raw_lb[[bd_cov]:[bd_cov]])&gt;interactive!$C$6))/SUMPRODUCT((raw_lb[[who_region]:[who_region]]=$A13)*raw[[births]:[births]]*(LEN(raw_lb[m_5054])&gt;1)*(LEN(raw_lb[[bd_cov]:[bd_cov]])&gt;interactive!$C$6))</f>
        <v>6.2791021804574345E-3</v>
      </c>
      <c r="AO13" s="71" cm="1">
        <f t="array" ref="AO13">SUMPRODUCT((raw_lb[[who_region]:[who_region]]=$A13)*raw[[births]:[births]]*raw_lb[m_5559]*(LEN(raw_lb[m_5559])&gt;1)*(LEN(raw_lb[[bd_cov]:[bd_cov]])&gt;interactive!$C$6))/SUMPRODUCT((raw_lb[[who_region]:[who_region]]=$A13)*raw[[births]:[births]]*(LEN(raw_lb[m_5559])&gt;1)*(LEN(raw_lb[[bd_cov]:[bd_cov]])&gt;interactive!$C$6))</f>
        <v>9.1463247734303726E-3</v>
      </c>
      <c r="AP13" s="71" cm="1">
        <f t="array" ref="AP13">SUMPRODUCT((raw_lb[[who_region]:[who_region]]=$A13)*raw[[births]:[births]]*raw_lb[m_6064]*(LEN(raw_lb[m_6064])&gt;1)*(LEN(raw_lb[[bd_cov]:[bd_cov]])&gt;interactive!$C$6))/SUMPRODUCT((raw_lb[[who_region]:[who_region]]=$A13)*raw[[births]:[births]]*(LEN(raw_lb[m_6064])&gt;1)*(LEN(raw_lb[[bd_cov]:[bd_cov]])&gt;interactive!$C$6))</f>
        <v>1.4668207936333401E-2</v>
      </c>
      <c r="AQ13" s="71" cm="1">
        <f t="array" ref="AQ13">SUMPRODUCT((raw_lb[[who_region]:[who_region]]=$A13)*raw[[births]:[births]]*raw_lb[m_6569]*(LEN(raw_lb[m_6569])&gt;1)*(LEN(raw_lb[[bd_cov]:[bd_cov]])&gt;interactive!$C$6))/SUMPRODUCT((raw_lb[[who_region]:[who_region]]=$A13)*raw[[births]:[births]]*(LEN(raw_lb[m_6569])&gt;1)*(LEN(raw_lb[[bd_cov]:[bd_cov]])&gt;interactive!$C$6))</f>
        <v>2.3234811727951638E-2</v>
      </c>
      <c r="AR13" s="71" cm="1">
        <f t="array" ref="AR13">SUMPRODUCT((raw_lb[[who_region]:[who_region]]=$A13)*raw[[births]:[births]]*raw_lb[m_7074]*(LEN(raw_lb[m_7074])&gt;1)*(LEN(raw_lb[[bd_cov]:[bd_cov]])&gt;interactive!$C$6))/SUMPRODUCT((raw_lb[[who_region]:[who_region]]=$A13)*raw[[births]:[births]]*(LEN(raw_lb[m_7074])&gt;1)*(LEN(raw_lb[[bd_cov]:[bd_cov]])&gt;interactive!$C$6))</f>
        <v>3.8171287883759522E-2</v>
      </c>
      <c r="AS13" s="71" cm="1">
        <f t="array" ref="AS13">SUMPRODUCT((raw_lb[[who_region]:[who_region]]=$A13)*raw[[births]:[births]]*raw_lb[m_7079]*(LEN(raw_lb[m_7079])&gt;1)*(LEN(raw_lb[[bd_cov]:[bd_cov]])&gt;interactive!$C$6))/SUMPRODUCT((raw_lb[[who_region]:[who_region]]=$A13)*raw[[births]:[births]]*(LEN(raw_lb[m_7079])&gt;1)*(LEN(raw_lb[[bd_cov]:[bd_cov]])&gt;interactive!$C$6))</f>
        <v>6.1513469238387061E-2</v>
      </c>
      <c r="AT13" s="71" cm="1">
        <f t="array" ref="AT13">SUMPRODUCT((raw_lb[[who_region]:[who_region]]=$A13)*raw[[births]:[births]]*raw_lb[m_8084]*(LEN(raw_lb[m_8084])&gt;1)*(LEN(raw_lb[[bd_cov]:[bd_cov]])&gt;interactive!$C$6))/SUMPRODUCT((raw_lb[[who_region]:[who_region]]=$A13)*raw[[births]:[births]]*(LEN(raw_lb[m_8084])&gt;1)*(LEN(raw_lb[[bd_cov]:[bd_cov]])&gt;interactive!$C$6))</f>
        <v>9.0341391341502195E-2</v>
      </c>
      <c r="AU13" s="71" cm="1">
        <f t="array" ref="AU13">SUMPRODUCT((raw_lb[[who_region]:[who_region]]=$A13)*raw[[births]:[births]]*raw_lb[m_8589]*(LEN(raw_lb[m_8589])&gt;1)*(LEN(raw_lb[[bd_cov]:[bd_cov]])&gt;interactive!$C$6))/SUMPRODUCT((raw_lb[[who_region]:[who_region]]=$A13)*raw[[births]:[births]]*(LEN(raw_lb[m_8589])&gt;1)*(LEN(raw_lb[[bd_cov]:[bd_cov]])&gt;interactive!$C$6))</f>
        <v>0.12201884377103711</v>
      </c>
      <c r="AV13" s="71" cm="1">
        <f t="array" ref="AV13">SUMPRODUCT((raw_lb[[who_region]:[who_region]]=$A13)*raw[[births]:[births]]*raw_lb[m_9094]*(LEN(raw_lb[m_9094])&gt;1)*(LEN(raw_lb[[bd_cov]:[bd_cov]])&gt;interactive!$C$6))/SUMPRODUCT((raw_lb[[who_region]:[who_region]]=$A13)*raw[[births]:[births]]*(LEN(raw_lb[m_9094])&gt;1)*(LEN(raw_lb[[bd_cov]:[bd_cov]])&gt;interactive!$C$6))</f>
        <v>0.14896658235643692</v>
      </c>
      <c r="AW13" s="71" cm="1">
        <f t="array" ref="AW13">SUMPRODUCT((raw_lb[[who_region]:[who_region]]=$A13)*raw[[births]:[births]]*raw_lb[m_95+]*(LEN(raw_lb[m_95+])&gt;1)*(LEN(raw_lb[[bd_cov]:[bd_cov]])&gt;interactive!$C$6))/SUMPRODUCT((raw_lb[[who_region]:[who_region]]=$A13)*raw[[births]:[births]]*(LEN(raw_lb[m_95+])&gt;1)*(LEN(raw_lb[[bd_cov]:[bd_cov]])&gt;interactive!$C$6))</f>
        <v>0.16751233780167959</v>
      </c>
      <c r="AX13" s="71" cm="1">
        <f t="array" ref="AX13">SUMPRODUCT((raw_lb[[who_region]:[who_region]]=$A13)*raw[[births]:[births]]*raw_lb[av_life]*(LEN(raw_lb[av_life])&gt;1)*(LEN(raw_lb[[bd_cov]:[bd_cov]])&gt;interactive!$C$6))/SUMPRODUCT((raw_lb[[who_region]:[who_region]]=$A13)*raw[[births]:[births]]*(LEN(raw_lb[av_life])&gt;1)*(LEN(raw_lb[[bd_cov]:[bd_cov]])&gt;interactive!$C$6))</f>
        <v>68.332176019385429</v>
      </c>
    </row>
    <row r="14" spans="1:51" x14ac:dyDescent="0.25">
      <c r="A14" s="66" t="s">
        <v>201</v>
      </c>
      <c r="J14" s="68" cm="1">
        <f t="array" ref="J14">SUMPRODUCT((raw_lb[[who_region]:[who_region]]=$A14)*raw[[births]:[births]]*raw_lb[fac_birth]*(LEN(raw_lb[fac_birth])&gt;1)*(LEN(raw_lb[[bd_cov]:[bd_cov]])&gt;interactive!$C$6))/SUMPRODUCT((raw_lb[[who_region]:[who_region]]=$A14)*raw[[births]:[births]]*(LEN(raw_lb[fac_birth])&gt;1)*(LEN(raw_lb[[bd_cov]:[bd_cov]])&gt;interactive!$C$6))</f>
        <v>0.9270091386843391</v>
      </c>
      <c r="K14" s="68" cm="1">
        <f t="array" ref="K14">SUMPRODUCT((raw_lb[[who_region]:[who_region]]=$A14)*raw[[births]:[births]]*raw_lb[bd_cov]*(LEN(raw_lb[bd_cov])&gt;1)*(LEN(raw_lb[[bd_cov]:[bd_cov]])&gt;interactive!$C$6))/SUMPRODUCT((raw_lb[[who_region]:[who_region]]=$A14)*raw[[births]:[births]]*(LEN(raw_lb[bd_cov])&gt;1)*(LEN(raw_lb[[bd_cov]:[bd_cov]])&gt;interactive!$C$6))</f>
        <v>0.90025614106937979</v>
      </c>
      <c r="L14" s="68" cm="1">
        <f t="array" ref="L14">SUMPRODUCT((raw_lb[[who_region]:[who_region]]=$A14)*raw[[births]:[births]]*raw_lb[hbv3_cov]*(LEN(raw_lb[hbv3_cov])&gt;1)*(LEN(raw_lb[[bd_cov]:[bd_cov]])&gt;interactive!$C$6))/SUMPRODUCT((raw_lb[[who_region]:[who_region]]=$A14)*raw[[births]:[births]]*(LEN(raw_lb[hbv3_cov])&gt;1)*(LEN(raw_lb[[bd_cov]:[bd_cov]])&gt;interactive!$C$6))</f>
        <v>0.87875423549959442</v>
      </c>
      <c r="M14" s="68" cm="1">
        <f t="array" ref="M14">SUMPRODUCT((raw_lb[[who_region]:[who_region]]=$A14)*raw[[births]:[births]]*raw_lb[hbv_prev]*(LEN(raw_lb[hbv_prev])&gt;1)*(LEN(raw_lb[[bd_cov]:[bd_cov]])&gt;interactive!$C$6))/SUMPRODUCT((raw_lb[[who_region]:[who_region]]=$A14)*raw[[births]:[births]]*(LEN(raw_lb[hbv_prev])&gt;1)*(LEN(raw_lb[[bd_cov]:[bd_cov]])&gt;interactive!$C$6))</f>
        <v>2.7883356201246184E-2</v>
      </c>
      <c r="N14" s="68" cm="1">
        <f t="array" ref="N14">SUMPRODUCT((raw_lb[[who_region]:[who_region]]=$A14)*raw[[births]:[births]]*raw_lb[hbe_prev]*(LEN(raw_lb[hbe_prev])&gt;1)*(LEN(raw_lb[[bd_cov]:[bd_cov]])&gt;interactive!$C$6))/SUMPRODUCT((raw_lb[[who_region]:[who_region]]=$A14)*raw[[births]:[births]]*(LEN(raw_lb[hbe_prev])&gt;1)*(LEN(raw_lb[[bd_cov]:[bd_cov]])&gt;interactive!$C$6))</f>
        <v>0.1589696702460148</v>
      </c>
      <c r="O14" s="68" cm="1">
        <f t="array" ref="O14">SUMPRODUCT((raw_lb[[who_region]:[who_region]]=$A14)*raw[[births]:[births]]*raw_lb[epos]*(LEN(raw_lb[epos])&gt;1)*(LEN(raw_lb[[bd_cov]:[bd_cov]])&gt;interactive!$C$6))/SUMPRODUCT((raw_lb[[who_region]:[who_region]]=$A14)*raw[[births]:[births]]*(LEN(raw_lb[epos])&gt;1)*(LEN(raw_lb[[bd_cov]:[bd_cov]])&gt;interactive!$C$6))</f>
        <v>0.70000000000000007</v>
      </c>
      <c r="P14" s="68" cm="1">
        <f t="array" ref="P14">SUMPRODUCT((raw_lb[[who_region]:[who_region]]=$A14)*raw[[births]:[births]]*raw_lb[eneg]*(LEN(raw_lb[eneg])&gt;1)*(LEN(raw_lb[[bd_cov]:[bd_cov]])&gt;interactive!$C$6))/SUMPRODUCT((raw_lb[[who_region]:[who_region]]=$A14)*raw[[births]:[births]]*(LEN(raw_lb[eneg])&gt;1)*(LEN(raw_lb[[bd_cov]:[bd_cov]])&gt;interactive!$C$6))</f>
        <v>5.000000000000001E-2</v>
      </c>
      <c r="Q14" s="69" cm="1">
        <f t="array" ref="Q14">SUMPRODUCT((raw_lb[[who_region]:[who_region]]=$A14)*raw[[births]:[births]]*raw_lb[c_diag]*(LEN(raw_lb[c_diag])&gt;1)*(LEN(raw_lb[[bd_cov]:[bd_cov]])&gt;interactive!$C$6))/SUMPRODUCT((raw_lb[[who_region]:[who_region]]=$A14)*raw[[births]:[births]]*(LEN(raw_lb[c_diag])&gt;1)*(LEN(raw_lb[[bd_cov]:[bd_cov]])&gt;interactive!$C$6))</f>
        <v>1.9406708167984812</v>
      </c>
      <c r="R14" s="69" cm="1">
        <f t="array" ref="R14">SUMPRODUCT((raw_lb[[who_region]:[who_region]]=$A14)*raw[[births]:[births]]*raw_lb[c_C]*(LEN(raw_lb[c_C])&gt;1)*(LEN(raw_lb[[bd_cov]:[bd_cov]])&gt;interactive!$C$6))/SUMPRODUCT((raw_lb[[who_region]:[who_region]]=$A14)*raw[[births]:[births]]*(LEN(raw_lb[c_C])&gt;1)*(LEN(raw_lb[[bd_cov]:[bd_cov]])&gt;interactive!$C$6))</f>
        <v>9.0015708167984823</v>
      </c>
      <c r="S14" s="69" cm="1">
        <f t="array" ref="S14">SUMPRODUCT((raw_lb[[who_region]:[who_region]]=$A14)*raw[[births]:[births]]*raw_lb[c_CC]*(LEN(raw_lb[c_CC])&gt;1)*(LEN(raw_lb[[bd_cov]:[bd_cov]])&gt;interactive!$C$6))/SUMPRODUCT((raw_lb[[who_region]:[who_region]]=$A14)*raw[[births]:[births]]*(LEN(raw_lb[c_CC])&gt;1)*(LEN(raw_lb[[bd_cov]:[bd_cov]])&gt;interactive!$C$6))</f>
        <v>49.472366474957482</v>
      </c>
      <c r="T14" s="69" cm="1">
        <f t="array" ref="T14">SUMPRODUCT((raw_lb[[who_region]:[who_region]]=$A14)*raw[[births]:[births]]*raw_lb[c_DC]*(LEN(raw_lb[c_DC])&gt;1)*(LEN(raw_lb[[bd_cov]:[bd_cov]])&gt;interactive!$C$6))/SUMPRODUCT((raw_lb[[who_region]:[who_region]]=$A14)*raw[[births]:[births]]*(LEN(raw_lb[c_DC])&gt;1)*(LEN(raw_lb[[bd_cov]:[bd_cov]])&gt;interactive!$C$6))</f>
        <v>55.328012386811046</v>
      </c>
      <c r="U14" s="69" cm="1">
        <f t="array" ref="U14">SUMPRODUCT((raw_lb[[who_region]:[who_region]]=$A14)*raw[[births]:[births]]*raw_lb[c_HCC]*(LEN(raw_lb[c_HCC])&gt;1)*(LEN(raw_lb[[bd_cov]:[bd_cov]])&gt;interactive!$C$6))/SUMPRODUCT((raw_lb[[who_region]:[who_region]]=$A14)*raw[[births]:[births]]*(LEN(raw_lb[c_HCC])&gt;1)*(LEN(raw_lb[[bd_cov]:[bd_cov]])&gt;interactive!$C$6))</f>
        <v>52.639223556674416</v>
      </c>
      <c r="V14" s="69" cm="1">
        <f t="array" ref="V14">SUMPRODUCT((raw_lb[[who_region]:[who_region]]=$A14)*raw[[births]:[births]]*raw_lb[bl1_f]*(LEN(raw_lb[bl1_f])&gt;1)*(LEN(raw_lb[[bd_cov]:[bd_cov]])&gt;interactive!$C$6))/SUMPRODUCT((raw_lb[[who_region]:[who_region]]=$A14)*raw[[births]:[births]]*(LEN(raw_lb[bl1_f])&gt;1)*(LEN(raw_lb[[bd_cov]:[bd_cov]])&gt;interactive!$C$6))</f>
        <v>1.7646959121762791</v>
      </c>
      <c r="W14" s="69" cm="1">
        <f t="array" ref="W14">SUMPRODUCT((raw_lb[[who_region]:[who_region]]=$A14)*raw[[births]:[births]]*raw_lb[bl1_c]*(LEN(raw_lb[bl1_c])&gt;1)*(LEN(raw_lb[[bd_cov]:[bd_cov]])&gt;interactive!$C$6))/SUMPRODUCT((raw_lb[[who_region]:[who_region]]=$A14)*raw[[births]:[births]]*(LEN(raw_lb[bl1_c])&gt;1)*(LEN(raw_lb[[bd_cov]:[bd_cov]])&gt;interactive!$C$6))</f>
        <v>4.5572682942293774</v>
      </c>
      <c r="X14" s="69" cm="1">
        <f t="array" ref="X14">SUMPRODUCT((raw_lb[[who_region]:[who_region]]=$A14)*raw[[births]:[births]]*raw_lb[map_f]*(LEN(raw_lb[map_f])&gt;1)*(LEN(raw_lb[[bd_cov]:[bd_cov]])&gt;interactive!$C$6))/SUMPRODUCT((raw_lb[[who_region]:[who_region]]=$A14)*raw[[births]:[births]]*(LEN(raw_lb[map_f])&gt;1)*(LEN(raw_lb[[bd_cov]:[bd_cov]])&gt;interactive!$C$6))</f>
        <v>1.2882466279997877</v>
      </c>
      <c r="Y14" s="69" cm="1">
        <f t="array" ref="Y14">SUMPRODUCT((raw_lb[[who_region]:[who_region]]=$A14)*raw[[births]:[births]]*raw_lb[map_cq]*(LEN(raw_lb[map_cq])&gt;1)*(LEN(raw_lb[[bd_cov]:[bd_cov]])&gt;interactive!$C$6))/SUMPRODUCT((raw_lb[[who_region]:[who_region]]=$A14)*raw[[births]:[births]]*(LEN(raw_lb[map_cq])&gt;1)*(LEN(raw_lb[[bd_cov]:[bd_cov]])&gt;interactive!$C$6))</f>
        <v>4.0808190100528856</v>
      </c>
      <c r="Z14" s="69" cm="1">
        <f t="array" ref="Z14">SUMPRODUCT((raw_lb[[who_region]:[who_region]]=$A14)*raw[[births]:[births]]*raw_lb[map_cl]*(LEN(raw_lb[map_cl])&gt;1)*(LEN(raw_lb[[bd_cov]:[bd_cov]])&gt;interactive!$C$6))/SUMPRODUCT((raw_lb[[who_region]:[who_region]]=$A14)*raw[[births]:[births]]*(LEN(raw_lb[map_cl])&gt;1)*(LEN(raw_lb[[bd_cov]:[bd_cov]])&gt;interactive!$C$6))</f>
        <v>4.0752762713616546</v>
      </c>
      <c r="AA14" s="69" cm="1">
        <f t="array" ref="AA14">SUMPRODUCT((raw_lb[[who_region]:[who_region]]=$A14)*raw[[births]:[births]]*raw_lb[ctc_f]*(LEN(raw_lb[ctc_f])&gt;1)*(LEN(raw_lb[[bd_cov]:[bd_cov]])&gt;interactive!$C$6))/SUMPRODUCT((raw_lb[[who_region]:[who_region]]=$A14)*raw[[births]:[births]]*(LEN(raw_lb[ctc_f])&gt;1)*(LEN(raw_lb[[bd_cov]:[bd_cov]])&gt;interactive!$C$6))</f>
        <v>1.9257033065240545</v>
      </c>
      <c r="AB14" s="69" cm="1">
        <f t="array" ref="AB14">SUMPRODUCT((raw_lb[[who_region]:[who_region]]=$A14)*raw[[births]:[births]]*raw_lb[ctc_c]*(LEN(raw_lb[ctc_c])&gt;1)*(LEN(raw_lb[[bd_cov]:[bd_cov]])&gt;interactive!$C$6))/SUMPRODUCT((raw_lb[[who_region]:[who_region]]=$A14)*raw[[births]:[births]]*(LEN(raw_lb[ctc_c])&gt;1)*(LEN(raw_lb[[bd_cov]:[bd_cov]])&gt;interactive!$C$6))</f>
        <v>4.7182756885771528</v>
      </c>
      <c r="AC14" s="71" cm="1">
        <f t="array" ref="AC14">SUMPRODUCT((raw_lb[[who_region]:[who_region]]=$A14)*raw[[births]:[births]]*raw_lb[m_01]*(LEN(raw_lb[m_01])&gt;1)*(LEN(raw_lb[[bd_cov]:[bd_cov]])&gt;interactive!$C$6))/SUMPRODUCT((raw_lb[[who_region]:[who_region]]=$A14)*raw[[births]:[births]]*(LEN(raw_lb[m_01])&gt;1)*(LEN(raw_lb[[bd_cov]:[bd_cov]])&gt;interactive!$C$6))</f>
        <v>1.2919872253012474E-2</v>
      </c>
      <c r="AD14" s="71" cm="1">
        <f t="array" ref="AD14">SUMPRODUCT((raw_lb[[who_region]:[who_region]]=$A14)*raw[[births]:[births]]*raw_lb[m_14]*(LEN(raw_lb[m_14])&gt;1)*(LEN(raw_lb[[bd_cov]:[bd_cov]])&gt;interactive!$C$6))/SUMPRODUCT((raw_lb[[who_region]:[who_region]]=$A14)*raw[[births]:[births]]*(LEN(raw_lb[m_14])&gt;1)*(LEN(raw_lb[[bd_cov]:[bd_cov]])&gt;interactive!$C$6))</f>
        <v>8.3640184170305086E-4</v>
      </c>
      <c r="AE14" s="71" cm="1">
        <f t="array" ref="AE14">SUMPRODUCT((raw_lb[[who_region]:[who_region]]=$A14)*raw[[births]:[births]]*raw_lb[m_59]*(LEN(raw_lb[m_59])&gt;1)*(LEN(raw_lb[[bd_cov]:[bd_cov]])&gt;interactive!$C$6))/SUMPRODUCT((raw_lb[[who_region]:[who_region]]=$A14)*raw[[births]:[births]]*(LEN(raw_lb[m_59])&gt;1)*(LEN(raw_lb[[bd_cov]:[bd_cov]])&gt;interactive!$C$6))</f>
        <v>3.6465017482942226E-4</v>
      </c>
      <c r="AF14" s="71" cm="1">
        <f t="array" ref="AF14">SUMPRODUCT((raw_lb[[who_region]:[who_region]]=$A14)*raw[[births]:[births]]*raw_lb[m_1014]*(LEN(raw_lb[m_1014])&gt;1)*(LEN(raw_lb[[bd_cov]:[bd_cov]])&gt;interactive!$C$6))/SUMPRODUCT((raw_lb[[who_region]:[who_region]]=$A14)*raw[[births]:[births]]*(LEN(raw_lb[m_1014])&gt;1)*(LEN(raw_lb[[bd_cov]:[bd_cov]])&gt;interactive!$C$6))</f>
        <v>3.4791777665717639E-4</v>
      </c>
      <c r="AG14" s="71" cm="1">
        <f t="array" ref="AG14">SUMPRODUCT((raw_lb[[who_region]:[who_region]]=$A14)*raw[[births]:[births]]*raw_lb[m_1519]*(LEN(raw_lb[m_1519])&gt;1)*(LEN(raw_lb[[bd_cov]:[bd_cov]])&gt;interactive!$C$6))/SUMPRODUCT((raw_lb[[who_region]:[who_region]]=$A14)*raw[[births]:[births]]*(LEN(raw_lb[m_1519])&gt;1)*(LEN(raw_lb[[bd_cov]:[bd_cov]])&gt;interactive!$C$6))</f>
        <v>5.3430432214140967E-4</v>
      </c>
      <c r="AH14" s="71" cm="1">
        <f t="array" ref="AH14">SUMPRODUCT((raw_lb[[who_region]:[who_region]]=$A14)*raw[[births]:[births]]*raw_lb[m_2024]*(LEN(raw_lb[m_2024])&gt;1)*(LEN(raw_lb[[bd_cov]:[bd_cov]])&gt;interactive!$C$6))/SUMPRODUCT((raw_lb[[who_region]:[who_region]]=$A14)*raw[[births]:[births]]*(LEN(raw_lb[m_2024])&gt;1)*(LEN(raw_lb[[bd_cov]:[bd_cov]])&gt;interactive!$C$6))</f>
        <v>7.6761308892661401E-4</v>
      </c>
      <c r="AI14" s="71" cm="1">
        <f t="array" ref="AI14">SUMPRODUCT((raw_lb[[who_region]:[who_region]]=$A14)*raw[[births]:[births]]*raw_lb[m_2529]*(LEN(raw_lb[m_2529])&gt;1)*(LEN(raw_lb[[bd_cov]:[bd_cov]])&gt;interactive!$C$6))/SUMPRODUCT((raw_lb[[who_region]:[who_region]]=$A14)*raw[[births]:[births]]*(LEN(raw_lb[m_2529])&gt;1)*(LEN(raw_lb[[bd_cov]:[bd_cov]])&gt;interactive!$C$6))</f>
        <v>1.0116888837729575E-3</v>
      </c>
      <c r="AJ14" s="71" cm="1">
        <f t="array" ref="AJ14">SUMPRODUCT((raw_lb[[who_region]:[who_region]]=$A14)*raw[[births]:[births]]*raw_lb[m_3034]*(LEN(raw_lb[m_3034])&gt;1)*(LEN(raw_lb[[bd_cov]:[bd_cov]])&gt;interactive!$C$6))/SUMPRODUCT((raw_lb[[who_region]:[who_region]]=$A14)*raw[[births]:[births]]*(LEN(raw_lb[m_3034])&gt;1)*(LEN(raw_lb[[bd_cov]:[bd_cov]])&gt;interactive!$C$6))</f>
        <v>1.3919618487944142E-3</v>
      </c>
      <c r="AK14" s="71" cm="1">
        <f t="array" ref="AK14">SUMPRODUCT((raw_lb[[who_region]:[who_region]]=$A14)*raw[[births]:[births]]*raw_lb[m_3539]*(LEN(raw_lb[m_3539])&gt;1)*(LEN(raw_lb[[bd_cov]:[bd_cov]])&gt;interactive!$C$6))/SUMPRODUCT((raw_lb[[who_region]:[who_region]]=$A14)*raw[[births]:[births]]*(LEN(raw_lb[m_3539])&gt;1)*(LEN(raw_lb[[bd_cov]:[bd_cov]])&gt;interactive!$C$6))</f>
        <v>1.9247394867962463E-3</v>
      </c>
      <c r="AL14" s="71" cm="1">
        <f t="array" ref="AL14">SUMPRODUCT((raw_lb[[who_region]:[who_region]]=$A14)*raw[[births]:[births]]*raw_lb[m_4044]*(LEN(raw_lb[m_4044])&gt;1)*(LEN(raw_lb[[bd_cov]:[bd_cov]])&gt;interactive!$C$6))/SUMPRODUCT((raw_lb[[who_region]:[who_region]]=$A14)*raw[[births]:[births]]*(LEN(raw_lb[m_4044])&gt;1)*(LEN(raw_lb[[bd_cov]:[bd_cov]])&gt;interactive!$C$6))</f>
        <v>2.614453703080926E-3</v>
      </c>
      <c r="AM14" s="71" cm="1">
        <f t="array" ref="AM14">SUMPRODUCT((raw_lb[[who_region]:[who_region]]=$A14)*raw[[births]:[births]]*raw_lb[m_4549]*(LEN(raw_lb[m_4549])&gt;1)*(LEN(raw_lb[[bd_cov]:[bd_cov]])&gt;interactive!$C$6))/SUMPRODUCT((raw_lb[[who_region]:[who_region]]=$A14)*raw[[births]:[births]]*(LEN(raw_lb[m_4549])&gt;1)*(LEN(raw_lb[[bd_cov]:[bd_cov]])&gt;interactive!$C$6))</f>
        <v>3.7041344978729716E-3</v>
      </c>
      <c r="AN14" s="71" cm="1">
        <f t="array" ref="AN14">SUMPRODUCT((raw_lb[[who_region]:[who_region]]=$A14)*raw[[births]:[births]]*raw_lb[m_5054]*(LEN(raw_lb[m_5054])&gt;1)*(LEN(raw_lb[[bd_cov]:[bd_cov]])&gt;interactive!$C$6))/SUMPRODUCT((raw_lb[[who_region]:[who_region]]=$A14)*raw[[births]:[births]]*(LEN(raw_lb[m_5054])&gt;1)*(LEN(raw_lb[[bd_cov]:[bd_cov]])&gt;interactive!$C$6))</f>
        <v>5.5455680974469236E-3</v>
      </c>
      <c r="AO14" s="71" cm="1">
        <f t="array" ref="AO14">SUMPRODUCT((raw_lb[[who_region]:[who_region]]=$A14)*raw[[births]:[births]]*raw_lb[m_5559]*(LEN(raw_lb[m_5559])&gt;1)*(LEN(raw_lb[[bd_cov]:[bd_cov]])&gt;interactive!$C$6))/SUMPRODUCT((raw_lb[[who_region]:[who_region]]=$A14)*raw[[births]:[births]]*(LEN(raw_lb[m_5559])&gt;1)*(LEN(raw_lb[[bd_cov]:[bd_cov]])&gt;interactive!$C$6))</f>
        <v>8.6291352139727315E-3</v>
      </c>
      <c r="AP14" s="71" cm="1">
        <f t="array" ref="AP14">SUMPRODUCT((raw_lb[[who_region]:[who_region]]=$A14)*raw[[births]:[births]]*raw_lb[m_6064]*(LEN(raw_lb[m_6064])&gt;1)*(LEN(raw_lb[[bd_cov]:[bd_cov]])&gt;interactive!$C$6))/SUMPRODUCT((raw_lb[[who_region]:[who_region]]=$A14)*raw[[births]:[births]]*(LEN(raw_lb[m_6064])&gt;1)*(LEN(raw_lb[[bd_cov]:[bd_cov]])&gt;interactive!$C$6))</f>
        <v>1.3675460944952039E-2</v>
      </c>
      <c r="AQ14" s="71" cm="1">
        <f t="array" ref="AQ14">SUMPRODUCT((raw_lb[[who_region]:[who_region]]=$A14)*raw[[births]:[births]]*raw_lb[m_6569]*(LEN(raw_lb[m_6569])&gt;1)*(LEN(raw_lb[[bd_cov]:[bd_cov]])&gt;interactive!$C$6))/SUMPRODUCT((raw_lb[[who_region]:[who_region]]=$A14)*raw[[births]:[births]]*(LEN(raw_lb[m_6569])&gt;1)*(LEN(raw_lb[[bd_cov]:[bd_cov]])&gt;interactive!$C$6))</f>
        <v>2.0551329467012693E-2</v>
      </c>
      <c r="AR14" s="71" cm="1">
        <f t="array" ref="AR14">SUMPRODUCT((raw_lb[[who_region]:[who_region]]=$A14)*raw[[births]:[births]]*raw_lb[m_7074]*(LEN(raw_lb[m_7074])&gt;1)*(LEN(raw_lb[[bd_cov]:[bd_cov]])&gt;interactive!$C$6))/SUMPRODUCT((raw_lb[[who_region]:[who_region]]=$A14)*raw[[births]:[births]]*(LEN(raw_lb[m_7074])&gt;1)*(LEN(raw_lb[[bd_cov]:[bd_cov]])&gt;interactive!$C$6))</f>
        <v>3.3148066687206504E-2</v>
      </c>
      <c r="AS14" s="71" cm="1">
        <f t="array" ref="AS14">SUMPRODUCT((raw_lb[[who_region]:[who_region]]=$A14)*raw[[births]:[births]]*raw_lb[m_7079]*(LEN(raw_lb[m_7079])&gt;1)*(LEN(raw_lb[[bd_cov]:[bd_cov]])&gt;interactive!$C$6))/SUMPRODUCT((raw_lb[[who_region]:[who_region]]=$A14)*raw[[births]:[births]]*(LEN(raw_lb[m_7079])&gt;1)*(LEN(raw_lb[[bd_cov]:[bd_cov]])&gt;interactive!$C$6))</f>
        <v>5.2372489287188913E-2</v>
      </c>
      <c r="AT14" s="71" cm="1">
        <f t="array" ref="AT14">SUMPRODUCT((raw_lb[[who_region]:[who_region]]=$A14)*raw[[births]:[births]]*raw_lb[m_8084]*(LEN(raw_lb[m_8084])&gt;1)*(LEN(raw_lb[[bd_cov]:[bd_cov]])&gt;interactive!$C$6))/SUMPRODUCT((raw_lb[[who_region]:[who_region]]=$A14)*raw[[births]:[births]]*(LEN(raw_lb[m_8084])&gt;1)*(LEN(raw_lb[[bd_cov]:[bd_cov]])&gt;interactive!$C$6))</f>
        <v>7.9024019543669249E-2</v>
      </c>
      <c r="AU14" s="71" cm="1">
        <f t="array" ref="AU14">SUMPRODUCT((raw_lb[[who_region]:[who_region]]=$A14)*raw[[births]:[births]]*raw_lb[m_8589]*(LEN(raw_lb[m_8589])&gt;1)*(LEN(raw_lb[[bd_cov]:[bd_cov]])&gt;interactive!$C$6))/SUMPRODUCT((raw_lb[[who_region]:[who_region]]=$A14)*raw[[births]:[births]]*(LEN(raw_lb[m_8589])&gt;1)*(LEN(raw_lb[[bd_cov]:[bd_cov]])&gt;interactive!$C$6))</f>
        <v>0.11000278516661115</v>
      </c>
      <c r="AV14" s="71" cm="1">
        <f t="array" ref="AV14">SUMPRODUCT((raw_lb[[who_region]:[who_region]]=$A14)*raw[[births]:[births]]*raw_lb[m_9094]*(LEN(raw_lb[m_9094])&gt;1)*(LEN(raw_lb[[bd_cov]:[bd_cov]])&gt;interactive!$C$6))/SUMPRODUCT((raw_lb[[who_region]:[who_region]]=$A14)*raw[[births]:[births]]*(LEN(raw_lb[m_9094])&gt;1)*(LEN(raw_lb[[bd_cov]:[bd_cov]])&gt;interactive!$C$6))</f>
        <v>0.14011886871876592</v>
      </c>
      <c r="AW14" s="71" cm="1">
        <f t="array" ref="AW14">SUMPRODUCT((raw_lb[[who_region]:[who_region]]=$A14)*raw[[births]:[births]]*raw_lb[m_95+]*(LEN(raw_lb[m_95+])&gt;1)*(LEN(raw_lb[[bd_cov]:[bd_cov]])&gt;interactive!$C$6))/SUMPRODUCT((raw_lb[[who_region]:[who_region]]=$A14)*raw[[births]:[births]]*(LEN(raw_lb[m_95+])&gt;1)*(LEN(raw_lb[[bd_cov]:[bd_cov]])&gt;interactive!$C$6))</f>
        <v>0.16294025308632354</v>
      </c>
      <c r="AX14" s="71" cm="1">
        <f t="array" ref="AX14">SUMPRODUCT((raw_lb[[who_region]:[who_region]]=$A14)*raw[[births]:[births]]*raw_lb[av_life]*(LEN(raw_lb[av_life])&gt;1)*(LEN(raw_lb[[bd_cov]:[bd_cov]])&gt;interactive!$C$6))/SUMPRODUCT((raw_lb[[who_region]:[who_region]]=$A14)*raw[[births]:[births]]*(LEN(raw_lb[av_life])&gt;1)*(LEN(raw_lb[[bd_cov]:[bd_cov]])&gt;interactive!$C$6))</f>
        <v>70.231638893724778</v>
      </c>
    </row>
    <row r="15" spans="1:51" x14ac:dyDescent="0.25">
      <c r="A15" s="65" t="s">
        <v>225</v>
      </c>
      <c r="J15" s="68" cm="1">
        <f t="array" ref="J15">SUMPRODUCT((raw_lb[[who_region]:[who_region]]=$A15)*raw[[births]:[births]]*raw_lb[fac_birth]*(LEN(raw_lb[fac_birth])&gt;1)*(LEN(raw_lb[[bd_cov]:[bd_cov]])&gt;interactive!$C$6))/SUMPRODUCT((raw_lb[[who_region]:[who_region]]=$A15)*raw[[births]:[births]]*(LEN(raw_lb[fac_birth])&gt;1)*(LEN(raw_lb[[bd_cov]:[bd_cov]])&gt;interactive!$C$6))</f>
        <v>0.74309092105992769</v>
      </c>
      <c r="K15" s="68" cm="1">
        <f t="array" ref="K15">SUMPRODUCT((raw_lb[[who_region]:[who_region]]=$A15)*raw[[births]:[births]]*raw_lb[bd_cov]*(LEN(raw_lb[bd_cov])&gt;1)*(LEN(raw_lb[[bd_cov]:[bd_cov]])&gt;interactive!$C$6))/SUMPRODUCT((raw_lb[[who_region]:[who_region]]=$A15)*raw[[births]:[births]]*(LEN(raw_lb[bd_cov])&gt;1)*(LEN(raw_lb[[bd_cov]:[bd_cov]])&gt;interactive!$C$6))</f>
        <v>0.54668878055090542</v>
      </c>
      <c r="L15" s="68" cm="1">
        <f t="array" ref="L15">SUMPRODUCT((raw_lb[[who_region]:[who_region]]=$A15)*raw[[births]:[births]]*raw_lb[hbv3_cov]*(LEN(raw_lb[hbv3_cov])&gt;1)*(LEN(raw_lb[[bd_cov]:[bd_cov]])&gt;interactive!$C$6))/SUMPRODUCT((raw_lb[[who_region]:[who_region]]=$A15)*raw[[births]:[births]]*(LEN(raw_lb[hbv3_cov])&gt;1)*(LEN(raw_lb[[bd_cov]:[bd_cov]])&gt;interactive!$C$6))</f>
        <v>0.79934736873624535</v>
      </c>
      <c r="M15" s="68" cm="1">
        <f t="array" ref="M15">SUMPRODUCT((raw_lb[[who_region]:[who_region]]=$A15)*raw[[births]:[births]]*raw_lb[hbv_prev]*(LEN(raw_lb[hbv_prev])&gt;1)*(LEN(raw_lb[[bd_cov]:[bd_cov]])&gt;interactive!$C$6))/SUMPRODUCT((raw_lb[[who_region]:[who_region]]=$A15)*raw[[births]:[births]]*(LEN(raw_lb[hbv_prev])&gt;1)*(LEN(raw_lb[[bd_cov]:[bd_cov]])&gt;interactive!$C$6))</f>
        <v>2.3432965694399586E-2</v>
      </c>
      <c r="N15" s="68" cm="1">
        <f t="array" ref="N15">SUMPRODUCT((raw_lb[[who_region]:[who_region]]=$A15)*raw[[births]:[births]]*raw_lb[hbe_prev]*(LEN(raw_lb[hbe_prev])&gt;1)*(LEN(raw_lb[[bd_cov]:[bd_cov]])&gt;interactive!$C$6))/SUMPRODUCT((raw_lb[[who_region]:[who_region]]=$A15)*raw[[births]:[births]]*(LEN(raw_lb[hbe_prev])&gt;1)*(LEN(raw_lb[[bd_cov]:[bd_cov]])&gt;interactive!$C$6))</f>
        <v>0.15549318056334632</v>
      </c>
      <c r="O15" s="68" cm="1">
        <f t="array" ref="O15">SUMPRODUCT((raw_lb[[who_region]:[who_region]]=$A15)*raw[[births]:[births]]*raw_lb[epos]*(LEN(raw_lb[epos])&gt;1)*(LEN(raw_lb[[bd_cov]:[bd_cov]])&gt;interactive!$C$6))/SUMPRODUCT((raw_lb[[who_region]:[who_region]]=$A15)*raw[[births]:[births]]*(LEN(raw_lb[epos])&gt;1)*(LEN(raw_lb[[bd_cov]:[bd_cov]])&gt;interactive!$C$6))</f>
        <v>0.70000000000000007</v>
      </c>
      <c r="P15" s="68" cm="1">
        <f t="array" ref="P15">SUMPRODUCT((raw_lb[[who_region]:[who_region]]=$A15)*raw[[births]:[births]]*raw_lb[eneg]*(LEN(raw_lb[eneg])&gt;1)*(LEN(raw_lb[[bd_cov]:[bd_cov]])&gt;interactive!$C$6))/SUMPRODUCT((raw_lb[[who_region]:[who_region]]=$A15)*raw[[births]:[births]]*(LEN(raw_lb[eneg])&gt;1)*(LEN(raw_lb[[bd_cov]:[bd_cov]])&gt;interactive!$C$6))</f>
        <v>5.000000000000001E-2</v>
      </c>
      <c r="Q15" s="69" cm="1">
        <f t="array" ref="Q15">SUMPRODUCT((raw_lb[[who_region]:[who_region]]=$A15)*raw[[births]:[births]]*raw_lb[c_diag]*(LEN(raw_lb[c_diag])&gt;1)*(LEN(raw_lb[[bd_cov]:[bd_cov]])&gt;interactive!$C$6))/SUMPRODUCT((raw_lb[[who_region]:[who_region]]=$A15)*raw[[births]:[births]]*(LEN(raw_lb[c_diag])&gt;1)*(LEN(raw_lb[[bd_cov]:[bd_cov]])&gt;interactive!$C$6))</f>
        <v>0.87296720072689904</v>
      </c>
      <c r="R15" s="69" cm="1">
        <f t="array" ref="R15">SUMPRODUCT((raw_lb[[who_region]:[who_region]]=$A15)*raw[[births]:[births]]*raw_lb[c_C]*(LEN(raw_lb[c_C])&gt;1)*(LEN(raw_lb[[bd_cov]:[bd_cov]])&gt;interactive!$C$6))/SUMPRODUCT((raw_lb[[who_region]:[who_region]]=$A15)*raw[[births]:[births]]*(LEN(raw_lb[c_C])&gt;1)*(LEN(raw_lb[[bd_cov]:[bd_cov]])&gt;interactive!$C$6))</f>
        <v>7.9338672007268993</v>
      </c>
      <c r="S15" s="69" cm="1">
        <f t="array" ref="S15">SUMPRODUCT((raw_lb[[who_region]:[who_region]]=$A15)*raw[[births]:[births]]*raw_lb[c_CC]*(LEN(raw_lb[c_CC])&gt;1)*(LEN(raw_lb[[bd_cov]:[bd_cov]])&gt;interactive!$C$6))/SUMPRODUCT((raw_lb[[who_region]:[who_region]]=$A15)*raw[[births]:[births]]*(LEN(raw_lb[c_CC])&gt;1)*(LEN(raw_lb[[bd_cov]:[bd_cov]])&gt;interactive!$C$6))</f>
        <v>39.1706580270655</v>
      </c>
      <c r="T15" s="69" cm="1">
        <f t="array" ref="T15">SUMPRODUCT((raw_lb[[who_region]:[who_region]]=$A15)*raw[[births]:[births]]*raw_lb[c_DC]*(LEN(raw_lb[c_DC])&gt;1)*(LEN(raw_lb[[bd_cov]:[bd_cov]])&gt;interactive!$C$6))/SUMPRODUCT((raw_lb[[who_region]:[who_region]]=$A15)*raw[[births]:[births]]*(LEN(raw_lb[c_DC])&gt;1)*(LEN(raw_lb[[bd_cov]:[bd_cov]])&gt;interactive!$C$6))</f>
        <v>40.22032716302116</v>
      </c>
      <c r="U15" s="69" cm="1">
        <f t="array" ref="U15">SUMPRODUCT((raw_lb[[who_region]:[who_region]]=$A15)*raw[[births]:[births]]*raw_lb[c_HCC]*(LEN(raw_lb[c_HCC])&gt;1)*(LEN(raw_lb[[bd_cov]:[bd_cov]])&gt;interactive!$C$6))/SUMPRODUCT((raw_lb[[who_region]:[who_region]]=$A15)*raw[[births]:[births]]*(LEN(raw_lb[c_HCC])&gt;1)*(LEN(raw_lb[[bd_cov]:[bd_cov]])&gt;interactive!$C$6))</f>
        <v>39.738341282969316</v>
      </c>
      <c r="V15" s="69" cm="1">
        <f t="array" ref="V15">SUMPRODUCT((raw_lb[[who_region]:[who_region]]=$A15)*raw[[births]:[births]]*raw_lb[bl1_f]*(LEN(raw_lb[bl1_f])&gt;1)*(LEN(raw_lb[[bd_cov]:[bd_cov]])&gt;interactive!$C$6))/SUMPRODUCT((raw_lb[[who_region]:[who_region]]=$A15)*raw[[births]:[births]]*(LEN(raw_lb[bl1_f])&gt;1)*(LEN(raw_lb[[bd_cov]:[bd_cov]])&gt;interactive!$C$6))</f>
        <v>0.78465776302228241</v>
      </c>
      <c r="W15" s="69" cm="1">
        <f t="array" ref="W15">SUMPRODUCT((raw_lb[[who_region]:[who_region]]=$A15)*raw[[births]:[births]]*raw_lb[bl1_c]*(LEN(raw_lb[bl1_c])&gt;1)*(LEN(raw_lb[[bd_cov]:[bd_cov]])&gt;interactive!$C$6))/SUMPRODUCT((raw_lb[[who_region]:[who_region]]=$A15)*raw[[births]:[births]]*(LEN(raw_lb[bl1_c])&gt;1)*(LEN(raw_lb[[bd_cov]:[bd_cov]])&gt;interactive!$C$6))</f>
        <v>2.2656699269000695</v>
      </c>
      <c r="X15" s="69" cm="1">
        <f t="array" ref="X15">SUMPRODUCT((raw_lb[[who_region]:[who_region]]=$A15)*raw[[births]:[births]]*raw_lb[map_f]*(LEN(raw_lb[map_f])&gt;1)*(LEN(raw_lb[[bd_cov]:[bd_cov]])&gt;interactive!$C$6))/SUMPRODUCT((raw_lb[[who_region]:[who_region]]=$A15)*raw[[births]:[births]]*(LEN(raw_lb[map_f])&gt;1)*(LEN(raw_lb[[bd_cov]:[bd_cov]])&gt;interactive!$C$6))</f>
        <v>0.3112724390549218</v>
      </c>
      <c r="Y15" s="69" cm="1">
        <f t="array" ref="Y15">SUMPRODUCT((raw_lb[[who_region]:[who_region]]=$A15)*raw[[births]:[births]]*raw_lb[map_cq]*(LEN(raw_lb[map_cq])&gt;1)*(LEN(raw_lb[[bd_cov]:[bd_cov]])&gt;interactive!$C$6))/SUMPRODUCT((raw_lb[[who_region]:[who_region]]=$A15)*raw[[births]:[births]]*(LEN(raw_lb[map_cq])&gt;1)*(LEN(raw_lb[[bd_cov]:[bd_cov]])&gt;interactive!$C$6))</f>
        <v>1.7922846029327082</v>
      </c>
      <c r="Z15" s="69" cm="1">
        <f t="array" ref="Z15">SUMPRODUCT((raw_lb[[who_region]:[who_region]]=$A15)*raw[[births]:[births]]*raw_lb[map_cl]*(LEN(raw_lb[map_cl])&gt;1)*(LEN(raw_lb[[bd_cov]:[bd_cov]])&gt;interactive!$C$6))/SUMPRODUCT((raw_lb[[who_region]:[who_region]]=$A15)*raw[[births]:[births]]*(LEN(raw_lb[map_cl])&gt;1)*(LEN(raw_lb[[bd_cov]:[bd_cov]])&gt;interactive!$C$6))</f>
        <v>1.7887070945104573</v>
      </c>
      <c r="AA15" s="69" cm="1">
        <f t="array" ref="AA15">SUMPRODUCT((raw_lb[[who_region]:[who_region]]=$A15)*raw[[births]:[births]]*raw_lb[ctc_f]*(LEN(raw_lb[ctc_f])&gt;1)*(LEN(raw_lb[[bd_cov]:[bd_cov]])&gt;interactive!$C$6))/SUMPRODUCT((raw_lb[[who_region]:[who_region]]=$A15)*raw[[births]:[births]]*(LEN(raw_lb[ctc_f])&gt;1)*(LEN(raw_lb[[bd_cov]:[bd_cov]])&gt;interactive!$C$6))</f>
        <v>0.93621065158188432</v>
      </c>
      <c r="AB15" s="69" cm="1">
        <f t="array" ref="AB15">SUMPRODUCT((raw_lb[[who_region]:[who_region]]=$A15)*raw[[births]:[births]]*raw_lb[ctc_c]*(LEN(raw_lb[ctc_c])&gt;1)*(LEN(raw_lb[[bd_cov]:[bd_cov]])&gt;interactive!$C$6))/SUMPRODUCT((raw_lb[[who_region]:[who_region]]=$A15)*raw[[births]:[births]]*(LEN(raw_lb[ctc_c])&gt;1)*(LEN(raw_lb[[bd_cov]:[bd_cov]])&gt;interactive!$C$6))</f>
        <v>2.4172228154596702</v>
      </c>
      <c r="AC15" s="71" cm="1">
        <f t="array" ref="AC15">SUMPRODUCT((raw_lb[[who_region]:[who_region]]=$A15)*raw[[births]:[births]]*raw_lb[m_01]*(LEN(raw_lb[m_01])&gt;1)*(LEN(raw_lb[[bd_cov]:[bd_cov]])&gt;interactive!$C$6))/SUMPRODUCT((raw_lb[[who_region]:[who_region]]=$A15)*raw[[births]:[births]]*(LEN(raw_lb[m_01])&gt;1)*(LEN(raw_lb[[bd_cov]:[bd_cov]])&gt;interactive!$C$6))</f>
        <v>2.7925794925474503E-2</v>
      </c>
      <c r="AD15" s="71" cm="1">
        <f t="array" ref="AD15">SUMPRODUCT((raw_lb[[who_region]:[who_region]]=$A15)*raw[[births]:[births]]*raw_lb[m_14]*(LEN(raw_lb[m_14])&gt;1)*(LEN(raw_lb[[bd_cov]:[bd_cov]])&gt;interactive!$C$6))/SUMPRODUCT((raw_lb[[who_region]:[who_region]]=$A15)*raw[[births]:[births]]*(LEN(raw_lb[m_14])&gt;1)*(LEN(raw_lb[[bd_cov]:[bd_cov]])&gt;interactive!$C$6))</f>
        <v>1.7335375221038056E-3</v>
      </c>
      <c r="AE15" s="71" cm="1">
        <f t="array" ref="AE15">SUMPRODUCT((raw_lb[[who_region]:[who_region]]=$A15)*raw[[births]:[births]]*raw_lb[m_59]*(LEN(raw_lb[m_59])&gt;1)*(LEN(raw_lb[[bd_cov]:[bd_cov]])&gt;interactive!$C$6))/SUMPRODUCT((raw_lb[[who_region]:[who_region]]=$A15)*raw[[births]:[births]]*(LEN(raw_lb[m_59])&gt;1)*(LEN(raw_lb[[bd_cov]:[bd_cov]])&gt;interactive!$C$6))</f>
        <v>6.4832854227104555E-4</v>
      </c>
      <c r="AF15" s="71" cm="1">
        <f t="array" ref="AF15">SUMPRODUCT((raw_lb[[who_region]:[who_region]]=$A15)*raw[[births]:[births]]*raw_lb[m_1014]*(LEN(raw_lb[m_1014])&gt;1)*(LEN(raw_lb[[bd_cov]:[bd_cov]])&gt;interactive!$C$6))/SUMPRODUCT((raw_lb[[who_region]:[who_region]]=$A15)*raw[[births]:[births]]*(LEN(raw_lb[m_1014])&gt;1)*(LEN(raw_lb[[bd_cov]:[bd_cov]])&gt;interactive!$C$6))</f>
        <v>5.5223194156690087E-4</v>
      </c>
      <c r="AG15" s="71" cm="1">
        <f t="array" ref="AG15">SUMPRODUCT((raw_lb[[who_region]:[who_region]]=$A15)*raw[[births]:[births]]*raw_lb[m_1519]*(LEN(raw_lb[m_1519])&gt;1)*(LEN(raw_lb[[bd_cov]:[bd_cov]])&gt;interactive!$C$6))/SUMPRODUCT((raw_lb[[who_region]:[who_region]]=$A15)*raw[[births]:[births]]*(LEN(raw_lb[m_1519])&gt;1)*(LEN(raw_lb[[bd_cov]:[bd_cov]])&gt;interactive!$C$6))</f>
        <v>9.130460627340142E-4</v>
      </c>
      <c r="AH15" s="71" cm="1">
        <f t="array" ref="AH15">SUMPRODUCT((raw_lb[[who_region]:[who_region]]=$A15)*raw[[births]:[births]]*raw_lb[m_2024]*(LEN(raw_lb[m_2024])&gt;1)*(LEN(raw_lb[[bd_cov]:[bd_cov]])&gt;interactive!$C$6))/SUMPRODUCT((raw_lb[[who_region]:[who_region]]=$A15)*raw[[births]:[births]]*(LEN(raw_lb[m_2024])&gt;1)*(LEN(raw_lb[[bd_cov]:[bd_cov]])&gt;interactive!$C$6))</f>
        <v>1.2924089606254174E-3</v>
      </c>
      <c r="AI15" s="71" cm="1">
        <f t="array" ref="AI15">SUMPRODUCT((raw_lb[[who_region]:[who_region]]=$A15)*raw[[births]:[births]]*raw_lb[m_2529]*(LEN(raw_lb[m_2529])&gt;1)*(LEN(raw_lb[[bd_cov]:[bd_cov]])&gt;interactive!$C$6))/SUMPRODUCT((raw_lb[[who_region]:[who_region]]=$A15)*raw[[births]:[births]]*(LEN(raw_lb[m_2529])&gt;1)*(LEN(raw_lb[[bd_cov]:[bd_cov]])&gt;interactive!$C$6))</f>
        <v>1.446263693964717E-3</v>
      </c>
      <c r="AJ15" s="71" cm="1">
        <f t="array" ref="AJ15">SUMPRODUCT((raw_lb[[who_region]:[who_region]]=$A15)*raw[[births]:[births]]*raw_lb[m_3034]*(LEN(raw_lb[m_3034])&gt;1)*(LEN(raw_lb[[bd_cov]:[bd_cov]])&gt;interactive!$C$6))/SUMPRODUCT((raw_lb[[who_region]:[who_region]]=$A15)*raw[[births]:[births]]*(LEN(raw_lb[m_3034])&gt;1)*(LEN(raw_lb[[bd_cov]:[bd_cov]])&gt;interactive!$C$6))</f>
        <v>1.8224583470131104E-3</v>
      </c>
      <c r="AK15" s="71" cm="1">
        <f t="array" ref="AK15">SUMPRODUCT((raw_lb[[who_region]:[who_region]]=$A15)*raw[[births]:[births]]*raw_lb[m_3539]*(LEN(raw_lb[m_3539])&gt;1)*(LEN(raw_lb[[bd_cov]:[bd_cov]])&gt;interactive!$C$6))/SUMPRODUCT((raw_lb[[who_region]:[who_region]]=$A15)*raw[[births]:[births]]*(LEN(raw_lb[m_3539])&gt;1)*(LEN(raw_lb[[bd_cov]:[bd_cov]])&gt;interactive!$C$6))</f>
        <v>2.5059854831687581E-3</v>
      </c>
      <c r="AL15" s="71" cm="1">
        <f t="array" ref="AL15">SUMPRODUCT((raw_lb[[who_region]:[who_region]]=$A15)*raw[[births]:[births]]*raw_lb[m_4044]*(LEN(raw_lb[m_4044])&gt;1)*(LEN(raw_lb[[bd_cov]:[bd_cov]])&gt;interactive!$C$6))/SUMPRODUCT((raw_lb[[who_region]:[who_region]]=$A15)*raw[[births]:[births]]*(LEN(raw_lb[m_4044])&gt;1)*(LEN(raw_lb[[bd_cov]:[bd_cov]])&gt;interactive!$C$6))</f>
        <v>3.3965600096466505E-3</v>
      </c>
      <c r="AM15" s="71" cm="1">
        <f t="array" ref="AM15">SUMPRODUCT((raw_lb[[who_region]:[who_region]]=$A15)*raw[[births]:[births]]*raw_lb[m_4549]*(LEN(raw_lb[m_4549])&gt;1)*(LEN(raw_lb[[bd_cov]:[bd_cov]])&gt;interactive!$C$6))/SUMPRODUCT((raw_lb[[who_region]:[who_region]]=$A15)*raw[[births]:[births]]*(LEN(raw_lb[m_4549])&gt;1)*(LEN(raw_lb[[bd_cov]:[bd_cov]])&gt;interactive!$C$6))</f>
        <v>4.9086200368763985E-3</v>
      </c>
      <c r="AN15" s="71" cm="1">
        <f t="array" ref="AN15">SUMPRODUCT((raw_lb[[who_region]:[who_region]]=$A15)*raw[[births]:[births]]*raw_lb[m_5054]*(LEN(raw_lb[m_5054])&gt;1)*(LEN(raw_lb[[bd_cov]:[bd_cov]])&gt;interactive!$C$6))/SUMPRODUCT((raw_lb[[who_region]:[who_region]]=$A15)*raw[[births]:[births]]*(LEN(raw_lb[m_5054])&gt;1)*(LEN(raw_lb[[bd_cov]:[bd_cov]])&gt;interactive!$C$6))</f>
        <v>7.7617957097434959E-3</v>
      </c>
      <c r="AO15" s="71" cm="1">
        <f t="array" ref="AO15">SUMPRODUCT((raw_lb[[who_region]:[who_region]]=$A15)*raw[[births]:[births]]*raw_lb[m_5559]*(LEN(raw_lb[m_5559])&gt;1)*(LEN(raw_lb[[bd_cov]:[bd_cov]])&gt;interactive!$C$6))/SUMPRODUCT((raw_lb[[who_region]:[who_region]]=$A15)*raw[[births]:[births]]*(LEN(raw_lb[m_5559])&gt;1)*(LEN(raw_lb[[bd_cov]:[bd_cov]])&gt;interactive!$C$6))</f>
        <v>1.1612057576512739E-2</v>
      </c>
      <c r="AP15" s="71" cm="1">
        <f t="array" ref="AP15">SUMPRODUCT((raw_lb[[who_region]:[who_region]]=$A15)*raw[[births]:[births]]*raw_lb[m_6064]*(LEN(raw_lb[m_6064])&gt;1)*(LEN(raw_lb[[bd_cov]:[bd_cov]])&gt;interactive!$C$6))/SUMPRODUCT((raw_lb[[who_region]:[who_region]]=$A15)*raw[[births]:[births]]*(LEN(raw_lb[m_6064])&gt;1)*(LEN(raw_lb[[bd_cov]:[bd_cov]])&gt;interactive!$C$6))</f>
        <v>1.7317307314443312E-2</v>
      </c>
      <c r="AQ15" s="71" cm="1">
        <f t="array" ref="AQ15">SUMPRODUCT((raw_lb[[who_region]:[who_region]]=$A15)*raw[[births]:[births]]*raw_lb[m_6569]*(LEN(raw_lb[m_6569])&gt;1)*(LEN(raw_lb[[bd_cov]:[bd_cov]])&gt;interactive!$C$6))/SUMPRODUCT((raw_lb[[who_region]:[who_region]]=$A15)*raw[[births]:[births]]*(LEN(raw_lb[m_6569])&gt;1)*(LEN(raw_lb[[bd_cov]:[bd_cov]])&gt;interactive!$C$6))</f>
        <v>2.6003620388226983E-2</v>
      </c>
      <c r="AR15" s="71" cm="1">
        <f t="array" ref="AR15">SUMPRODUCT((raw_lb[[who_region]:[who_region]]=$A15)*raw[[births]:[births]]*raw_lb[m_7074]*(LEN(raw_lb[m_7074])&gt;1)*(LEN(raw_lb[[bd_cov]:[bd_cov]])&gt;interactive!$C$6))/SUMPRODUCT((raw_lb[[who_region]:[who_region]]=$A15)*raw[[births]:[births]]*(LEN(raw_lb[m_7074])&gt;1)*(LEN(raw_lb[[bd_cov]:[bd_cov]])&gt;interactive!$C$6))</f>
        <v>3.9897054703500176E-2</v>
      </c>
      <c r="AS15" s="71" cm="1">
        <f t="array" ref="AS15">SUMPRODUCT((raw_lb[[who_region]:[who_region]]=$A15)*raw[[births]:[births]]*raw_lb[m_7079]*(LEN(raw_lb[m_7079])&gt;1)*(LEN(raw_lb[[bd_cov]:[bd_cov]])&gt;interactive!$C$6))/SUMPRODUCT((raw_lb[[who_region]:[who_region]]=$A15)*raw[[births]:[births]]*(LEN(raw_lb[m_7079])&gt;1)*(LEN(raw_lb[[bd_cov]:[bd_cov]])&gt;interactive!$C$6))</f>
        <v>5.7528294351811567E-2</v>
      </c>
      <c r="AT15" s="71" cm="1">
        <f t="array" ref="AT15">SUMPRODUCT((raw_lb[[who_region]:[who_region]]=$A15)*raw[[births]:[births]]*raw_lb[m_8084]*(LEN(raw_lb[m_8084])&gt;1)*(LEN(raw_lb[[bd_cov]:[bd_cov]])&gt;interactive!$C$6))/SUMPRODUCT((raw_lb[[who_region]:[who_region]]=$A15)*raw[[births]:[births]]*(LEN(raw_lb[m_8084])&gt;1)*(LEN(raw_lb[[bd_cov]:[bd_cov]])&gt;interactive!$C$6))</f>
        <v>8.2547903542808554E-2</v>
      </c>
      <c r="AU15" s="71" cm="1">
        <f t="array" ref="AU15">SUMPRODUCT((raw_lb[[who_region]:[who_region]]=$A15)*raw[[births]:[births]]*raw_lb[m_8589]*(LEN(raw_lb[m_8589])&gt;1)*(LEN(raw_lb[[bd_cov]:[bd_cov]])&gt;interactive!$C$6))/SUMPRODUCT((raw_lb[[who_region]:[who_region]]=$A15)*raw[[births]:[births]]*(LEN(raw_lb[m_8589])&gt;1)*(LEN(raw_lb[[bd_cov]:[bd_cov]])&gt;interactive!$C$6))</f>
        <v>0.11111907211864699</v>
      </c>
      <c r="AV15" s="71" cm="1">
        <f t="array" ref="AV15">SUMPRODUCT((raw_lb[[who_region]:[who_region]]=$A15)*raw[[births]:[births]]*raw_lb[m_9094]*(LEN(raw_lb[m_9094])&gt;1)*(LEN(raw_lb[[bd_cov]:[bd_cov]])&gt;interactive!$C$6))/SUMPRODUCT((raw_lb[[who_region]:[who_region]]=$A15)*raw[[births]:[births]]*(LEN(raw_lb[m_9094])&gt;1)*(LEN(raw_lb[[bd_cov]:[bd_cov]])&gt;interactive!$C$6))</f>
        <v>0.13727838048126384</v>
      </c>
      <c r="AW15" s="71" cm="1">
        <f t="array" ref="AW15">SUMPRODUCT((raw_lb[[who_region]:[who_region]]=$A15)*raw[[births]:[births]]*raw_lb[m_95+]*(LEN(raw_lb[m_95+])&gt;1)*(LEN(raw_lb[[bd_cov]:[bd_cov]])&gt;interactive!$C$6))/SUMPRODUCT((raw_lb[[who_region]:[who_region]]=$A15)*raw[[births]:[births]]*(LEN(raw_lb[m_95+])&gt;1)*(LEN(raw_lb[[bd_cov]:[bd_cov]])&gt;interactive!$C$6))</f>
        <v>0.13809357213871978</v>
      </c>
      <c r="AX15" s="71" cm="1">
        <f t="array" ref="AX15">SUMPRODUCT((raw_lb[[who_region]:[who_region]]=$A15)*raw[[births]:[births]]*raw_lb[av_life]*(LEN(raw_lb[av_life])&gt;1)*(LEN(raw_lb[[bd_cov]:[bd_cov]])&gt;interactive!$C$6))/SUMPRODUCT((raw_lb[[who_region]:[who_region]]=$A15)*raw[[births]:[births]]*(LEN(raw_lb[av_life])&gt;1)*(LEN(raw_lb[[bd_cov]:[bd_cov]])&gt;interactive!$C$6))</f>
        <v>66.248416755397002</v>
      </c>
    </row>
    <row r="16" spans="1:51" x14ac:dyDescent="0.25">
      <c r="A16" s="66" t="s">
        <v>260</v>
      </c>
      <c r="J16" s="68" cm="1">
        <f t="array" ref="J16">SUMPRODUCT((raw_lb[[who_region]:[who_region]]=$A16)*raw[[births]:[births]]*raw_lb[fac_birth]*(LEN(raw_lb[fac_birth])&gt;1)*(LEN(raw_lb[[bd_cov]:[bd_cov]])&gt;interactive!$C$6))/SUMPRODUCT((raw_lb[[who_region]:[who_region]]=$A16)*raw[[births]:[births]]*(LEN(raw_lb[fac_birth])&gt;1)*(LEN(raw_lb[[bd_cov]:[bd_cov]])&gt;interactive!$C$6))</f>
        <v>0.91314511230154438</v>
      </c>
      <c r="K16" s="68" cm="1">
        <f t="array" ref="K16">SUMPRODUCT((raw_lb[[who_region]:[who_region]]=$A16)*raw[[births]:[births]]*raw_lb[bd_cov]*(LEN(raw_lb[bd_cov])&gt;1)*(LEN(raw_lb[[bd_cov]:[bd_cov]])&gt;interactive!$C$6))/SUMPRODUCT((raw_lb[[who_region]:[who_region]]=$A16)*raw[[births]:[births]]*(LEN(raw_lb[bd_cov])&gt;1)*(LEN(raw_lb[[bd_cov]:[bd_cov]])&gt;interactive!$C$6))</f>
        <v>0.844068727676065</v>
      </c>
      <c r="L16" s="68" cm="1">
        <f t="array" ref="L16">SUMPRODUCT((raw_lb[[who_region]:[who_region]]=$A16)*raw[[births]:[births]]*raw_lb[hbv3_cov]*(LEN(raw_lb[hbv3_cov])&gt;1)*(LEN(raw_lb[[bd_cov]:[bd_cov]])&gt;interactive!$C$6))/SUMPRODUCT((raw_lb[[who_region]:[who_region]]=$A16)*raw[[births]:[births]]*(LEN(raw_lb[hbv3_cov])&gt;1)*(LEN(raw_lb[[bd_cov]:[bd_cov]])&gt;interactive!$C$6))</f>
        <v>0.90139305368172196</v>
      </c>
      <c r="M16" s="68" cm="1">
        <f t="array" ref="M16">SUMPRODUCT((raw_lb[[who_region]:[who_region]]=$A16)*raw[[births]:[births]]*raw_lb[hbv_prev]*(LEN(raw_lb[hbv_prev])&gt;1)*(LEN(raw_lb[[bd_cov]:[bd_cov]])&gt;interactive!$C$6))/SUMPRODUCT((raw_lb[[who_region]:[who_region]]=$A16)*raw[[births]:[births]]*(LEN(raw_lb[hbv_prev])&gt;1)*(LEN(raw_lb[[bd_cov]:[bd_cov]])&gt;interactive!$C$6))</f>
        <v>5.3956995690456366E-2</v>
      </c>
      <c r="N16" s="68" cm="1">
        <f t="array" ref="N16">SUMPRODUCT((raw_lb[[who_region]:[who_region]]=$A16)*raw[[births]:[births]]*raw_lb[hbe_prev]*(LEN(raw_lb[hbe_prev])&gt;1)*(LEN(raw_lb[[bd_cov]:[bd_cov]])&gt;interactive!$C$6))/SUMPRODUCT((raw_lb[[who_region]:[who_region]]=$A16)*raw[[births]:[births]]*(LEN(raw_lb[hbe_prev])&gt;1)*(LEN(raw_lb[[bd_cov]:[bd_cov]])&gt;interactive!$C$6))</f>
        <v>0.18286915583064589</v>
      </c>
      <c r="O16" s="68" cm="1">
        <f t="array" ref="O16">SUMPRODUCT((raw_lb[[who_region]:[who_region]]=$A16)*raw[[births]:[births]]*raw_lb[epos]*(LEN(raw_lb[epos])&gt;1)*(LEN(raw_lb[[bd_cov]:[bd_cov]])&gt;interactive!$C$6))/SUMPRODUCT((raw_lb[[who_region]:[who_region]]=$A16)*raw[[births]:[births]]*(LEN(raw_lb[epos])&gt;1)*(LEN(raw_lb[[bd_cov]:[bd_cov]])&gt;interactive!$C$6))</f>
        <v>0.70000000000000007</v>
      </c>
      <c r="P16" s="68" cm="1">
        <f t="array" ref="P16">SUMPRODUCT((raw_lb[[who_region]:[who_region]]=$A16)*raw[[births]:[births]]*raw_lb[eneg]*(LEN(raw_lb[eneg])&gt;1)*(LEN(raw_lb[[bd_cov]:[bd_cov]])&gt;interactive!$C$6))/SUMPRODUCT((raw_lb[[who_region]:[who_region]]=$A16)*raw[[births]:[births]]*(LEN(raw_lb[eneg])&gt;1)*(LEN(raw_lb[[bd_cov]:[bd_cov]])&gt;interactive!$C$6))</f>
        <v>0.05</v>
      </c>
      <c r="Q16" s="69" cm="1">
        <f t="array" ref="Q16">SUMPRODUCT((raw_lb[[who_region]:[who_region]]=$A16)*raw[[births]:[births]]*raw_lb[c_diag]*(LEN(raw_lb[c_diag])&gt;1)*(LEN(raw_lb[[bd_cov]:[bd_cov]])&gt;interactive!$C$6))/SUMPRODUCT((raw_lb[[who_region]:[who_region]]=$A16)*raw[[births]:[births]]*(LEN(raw_lb[c_diag])&gt;1)*(LEN(raw_lb[[bd_cov]:[bd_cov]])&gt;interactive!$C$6))</f>
        <v>1.4657678480610949</v>
      </c>
      <c r="R16" s="69" cm="1">
        <f t="array" ref="R16">SUMPRODUCT((raw_lb[[who_region]:[who_region]]=$A16)*raw[[births]:[births]]*raw_lb[c_C]*(LEN(raw_lb[c_C])&gt;1)*(LEN(raw_lb[[bd_cov]:[bd_cov]])&gt;interactive!$C$6))/SUMPRODUCT((raw_lb[[who_region]:[who_region]]=$A16)*raw[[births]:[births]]*(LEN(raw_lb[c_C])&gt;1)*(LEN(raw_lb[[bd_cov]:[bd_cov]])&gt;interactive!$C$6))</f>
        <v>8.5266678480611002</v>
      </c>
      <c r="S16" s="69" cm="1">
        <f t="array" ref="S16">SUMPRODUCT((raw_lb[[who_region]:[who_region]]=$A16)*raw[[births]:[births]]*raw_lb[c_CC]*(LEN(raw_lb[c_CC])&gt;1)*(LEN(raw_lb[[bd_cov]:[bd_cov]])&gt;interactive!$C$6))/SUMPRODUCT((raw_lb[[who_region]:[who_region]]=$A16)*raw[[births]:[births]]*(LEN(raw_lb[c_CC])&gt;1)*(LEN(raw_lb[[bd_cov]:[bd_cov]])&gt;interactive!$C$6))</f>
        <v>43.895753407346618</v>
      </c>
      <c r="T16" s="69" cm="1">
        <f t="array" ref="T16">SUMPRODUCT((raw_lb[[who_region]:[who_region]]=$A16)*raw[[births]:[births]]*raw_lb[c_DC]*(LEN(raw_lb[c_DC])&gt;1)*(LEN(raw_lb[[bd_cov]:[bd_cov]])&gt;interactive!$C$6))/SUMPRODUCT((raw_lb[[who_region]:[who_region]]=$A16)*raw[[births]:[births]]*(LEN(raw_lb[c_DC])&gt;1)*(LEN(raw_lb[[bd_cov]:[bd_cov]])&gt;interactive!$C$6))</f>
        <v>47.096137523358543</v>
      </c>
      <c r="U16" s="69" cm="1">
        <f t="array" ref="U16">SUMPRODUCT((raw_lb[[who_region]:[who_region]]=$A16)*raw[[births]:[births]]*raw_lb[c_HCC]*(LEN(raw_lb[c_HCC])&gt;1)*(LEN(raw_lb[[bd_cov]:[bd_cov]])&gt;interactive!$C$6))/SUMPRODUCT((raw_lb[[who_region]:[who_region]]=$A16)*raw[[births]:[births]]*(LEN(raw_lb[c_HCC])&gt;1)*(LEN(raw_lb[[bd_cov]:[bd_cov]])&gt;interactive!$C$6))</f>
        <v>45.626588784788105</v>
      </c>
      <c r="V16" s="69" cm="1">
        <f t="array" ref="V16">SUMPRODUCT((raw_lb[[who_region]:[who_region]]=$A16)*raw[[births]:[births]]*raw_lb[bl1_f]*(LEN(raw_lb[bl1_f])&gt;1)*(LEN(raw_lb[[bd_cov]:[bd_cov]])&gt;interactive!$C$6))/SUMPRODUCT((raw_lb[[who_region]:[who_region]]=$A16)*raw[[births]:[births]]*(LEN(raw_lb[bl1_f])&gt;1)*(LEN(raw_lb[[bd_cov]:[bd_cov]])&gt;interactive!$C$6))</f>
        <v>1.0645160375442027</v>
      </c>
      <c r="W16" s="69" cm="1">
        <f t="array" ref="W16">SUMPRODUCT((raw_lb[[who_region]:[who_region]]=$A16)*raw[[births]:[births]]*raw_lb[bl1_c]*(LEN(raw_lb[bl1_c])&gt;1)*(LEN(raw_lb[[bd_cov]:[bd_cov]])&gt;interactive!$C$6))/SUMPRODUCT((raw_lb[[who_region]:[who_region]]=$A16)*raw[[births]:[births]]*(LEN(raw_lb[bl1_c])&gt;1)*(LEN(raw_lb[[bd_cov]:[bd_cov]])&gt;interactive!$C$6))</f>
        <v>1.6746209445622606</v>
      </c>
      <c r="X16" s="69" cm="1">
        <f t="array" ref="X16">SUMPRODUCT((raw_lb[[who_region]:[who_region]]=$A16)*raw[[births]:[births]]*raw_lb[map_f]*(LEN(raw_lb[map_f])&gt;1)*(LEN(raw_lb[[bd_cov]:[bd_cov]])&gt;interactive!$C$6))/SUMPRODUCT((raw_lb[[who_region]:[who_region]]=$A16)*raw[[births]:[births]]*(LEN(raw_lb[map_f])&gt;1)*(LEN(raw_lb[[bd_cov]:[bd_cov]])&gt;interactive!$C$6))</f>
        <v>0.58440458218590385</v>
      </c>
      <c r="Y16" s="69" cm="1">
        <f t="array" ref="Y16">SUMPRODUCT((raw_lb[[who_region]:[who_region]]=$A16)*raw[[births]:[births]]*raw_lb[map_cq]*(LEN(raw_lb[map_cq])&gt;1)*(LEN(raw_lb[[bd_cov]:[bd_cov]])&gt;interactive!$C$6))/SUMPRODUCT((raw_lb[[who_region]:[who_region]]=$A16)*raw[[births]:[births]]*(LEN(raw_lb[map_cq])&gt;1)*(LEN(raw_lb[[bd_cov]:[bd_cov]])&gt;interactive!$C$6))</f>
        <v>1.1945094892039627</v>
      </c>
      <c r="Z16" s="69" cm="1">
        <f t="array" ref="Z16">SUMPRODUCT((raw_lb[[who_region]:[who_region]]=$A16)*raw[[births]:[births]]*raw_lb[map_cl]*(LEN(raw_lb[map_cl])&gt;1)*(LEN(raw_lb[[bd_cov]:[bd_cov]])&gt;interactive!$C$6))/SUMPRODUCT((raw_lb[[who_region]:[who_region]]=$A16)*raw[[births]:[births]]*(LEN(raw_lb[map_cl])&gt;1)*(LEN(raw_lb[[bd_cov]:[bd_cov]])&gt;interactive!$C$6))</f>
        <v>1.1865151191840915</v>
      </c>
      <c r="AA16" s="69" cm="1">
        <f t="array" ref="AA16">SUMPRODUCT((raw_lb[[who_region]:[who_region]]=$A16)*raw[[births]:[births]]*raw_lb[ctc_f]*(LEN(raw_lb[ctc_f])&gt;1)*(LEN(raw_lb[[bd_cov]:[bd_cov]])&gt;interactive!$C$6))/SUMPRODUCT((raw_lb[[who_region]:[who_region]]=$A16)*raw[[births]:[births]]*(LEN(raw_lb[ctc_f])&gt;1)*(LEN(raw_lb[[bd_cov]:[bd_cov]])&gt;interactive!$C$6))</f>
        <v>1.236823845824413</v>
      </c>
      <c r="AB16" s="69" cm="1">
        <f t="array" ref="AB16">SUMPRODUCT((raw_lb[[who_region]:[who_region]]=$A16)*raw[[births]:[births]]*raw_lb[ctc_c]*(LEN(raw_lb[ctc_c])&gt;1)*(LEN(raw_lb[[bd_cov]:[bd_cov]])&gt;interactive!$C$6))/SUMPRODUCT((raw_lb[[who_region]:[who_region]]=$A16)*raw[[births]:[births]]*(LEN(raw_lb[ctc_c])&gt;1)*(LEN(raw_lb[[bd_cov]:[bd_cov]])&gt;interactive!$C$6))</f>
        <v>1.8469287528424716</v>
      </c>
      <c r="AC16" s="71" cm="1">
        <f t="array" ref="AC16">SUMPRODUCT((raw_lb[[who_region]:[who_region]]=$A16)*raw[[births]:[births]]*raw_lb[m_01]*(LEN(raw_lb[m_01])&gt;1)*(LEN(raw_lb[[bd_cov]:[bd_cov]])&gt;interactive!$C$6))/SUMPRODUCT((raw_lb[[who_region]:[who_region]]=$A16)*raw[[births]:[births]]*(LEN(raw_lb[m_01])&gt;1)*(LEN(raw_lb[[bd_cov]:[bd_cov]])&gt;interactive!$C$6))</f>
        <v>1.1523742726354593E-2</v>
      </c>
      <c r="AD16" s="71" cm="1">
        <f t="array" ref="AD16">SUMPRODUCT((raw_lb[[who_region]:[who_region]]=$A16)*raw[[births]:[births]]*raw_lb[m_14]*(LEN(raw_lb[m_14])&gt;1)*(LEN(raw_lb[[bd_cov]:[bd_cov]])&gt;interactive!$C$6))/SUMPRODUCT((raw_lb[[who_region]:[who_region]]=$A16)*raw[[births]:[births]]*(LEN(raw_lb[m_14])&gt;1)*(LEN(raw_lb[[bd_cov]:[bd_cov]])&gt;interactive!$C$6))</f>
        <v>6.4416826181326646E-4</v>
      </c>
      <c r="AE16" s="71" cm="1">
        <f t="array" ref="AE16">SUMPRODUCT((raw_lb[[who_region]:[who_region]]=$A16)*raw[[births]:[births]]*raw_lb[m_59]*(LEN(raw_lb[m_59])&gt;1)*(LEN(raw_lb[[bd_cov]:[bd_cov]])&gt;interactive!$C$6))/SUMPRODUCT((raw_lb[[who_region]:[who_region]]=$A16)*raw[[births]:[births]]*(LEN(raw_lb[m_59])&gt;1)*(LEN(raw_lb[[bd_cov]:[bd_cov]])&gt;interactive!$C$6))</f>
        <v>3.7184834738016075E-4</v>
      </c>
      <c r="AF16" s="71" cm="1">
        <f t="array" ref="AF16">SUMPRODUCT((raw_lb[[who_region]:[who_region]]=$A16)*raw[[births]:[births]]*raw_lb[m_1014]*(LEN(raw_lb[m_1014])&gt;1)*(LEN(raw_lb[[bd_cov]:[bd_cov]])&gt;interactive!$C$6))/SUMPRODUCT((raw_lb[[who_region]:[who_region]]=$A16)*raw[[births]:[births]]*(LEN(raw_lb[m_1014])&gt;1)*(LEN(raw_lb[[bd_cov]:[bd_cov]])&gt;interactive!$C$6))</f>
        <v>2.9295441530775515E-4</v>
      </c>
      <c r="AG16" s="71" cm="1">
        <f t="array" ref="AG16">SUMPRODUCT((raw_lb[[who_region]:[who_region]]=$A16)*raw[[births]:[births]]*raw_lb[m_1519]*(LEN(raw_lb[m_1519])&gt;1)*(LEN(raw_lb[[bd_cov]:[bd_cov]])&gt;interactive!$C$6))/SUMPRODUCT((raw_lb[[who_region]:[who_region]]=$A16)*raw[[births]:[births]]*(LEN(raw_lb[m_1519])&gt;1)*(LEN(raw_lb[[bd_cov]:[bd_cov]])&gt;interactive!$C$6))</f>
        <v>4.6602766282551099E-4</v>
      </c>
      <c r="AH16" s="71" cm="1">
        <f t="array" ref="AH16">SUMPRODUCT((raw_lb[[who_region]:[who_region]]=$A16)*raw[[births]:[births]]*raw_lb[m_2024]*(LEN(raw_lb[m_2024])&gt;1)*(LEN(raw_lb[[bd_cov]:[bd_cov]])&gt;interactive!$C$6))/SUMPRODUCT((raw_lb[[who_region]:[who_region]]=$A16)*raw[[births]:[births]]*(LEN(raw_lb[m_2024])&gt;1)*(LEN(raw_lb[[bd_cov]:[bd_cov]])&gt;interactive!$C$6))</f>
        <v>6.483356200326166E-4</v>
      </c>
      <c r="AI16" s="71" cm="1">
        <f t="array" ref="AI16">SUMPRODUCT((raw_lb[[who_region]:[who_region]]=$A16)*raw[[births]:[births]]*raw_lb[m_2529]*(LEN(raw_lb[m_2529])&gt;1)*(LEN(raw_lb[[bd_cov]:[bd_cov]])&gt;interactive!$C$6))/SUMPRODUCT((raw_lb[[who_region]:[who_region]]=$A16)*raw[[births]:[births]]*(LEN(raw_lb[m_2529])&gt;1)*(LEN(raw_lb[[bd_cov]:[bd_cov]])&gt;interactive!$C$6))</f>
        <v>8.0918790417641435E-4</v>
      </c>
      <c r="AJ16" s="71" cm="1">
        <f t="array" ref="AJ16">SUMPRODUCT((raw_lb[[who_region]:[who_region]]=$A16)*raw[[births]:[births]]*raw_lb[m_3034]*(LEN(raw_lb[m_3034])&gt;1)*(LEN(raw_lb[[bd_cov]:[bd_cov]])&gt;interactive!$C$6))/SUMPRODUCT((raw_lb[[who_region]:[who_region]]=$A16)*raw[[births]:[births]]*(LEN(raw_lb[m_3034])&gt;1)*(LEN(raw_lb[[bd_cov]:[bd_cov]])&gt;interactive!$C$6))</f>
        <v>1.0072409527763799E-3</v>
      </c>
      <c r="AK16" s="71" cm="1">
        <f t="array" ref="AK16">SUMPRODUCT((raw_lb[[who_region]:[who_region]]=$A16)*raw[[births]:[births]]*raw_lb[m_3539]*(LEN(raw_lb[m_3539])&gt;1)*(LEN(raw_lb[[bd_cov]:[bd_cov]])&gt;interactive!$C$6))/SUMPRODUCT((raw_lb[[who_region]:[who_region]]=$A16)*raw[[births]:[births]]*(LEN(raw_lb[m_3539])&gt;1)*(LEN(raw_lb[[bd_cov]:[bd_cov]])&gt;interactive!$C$6))</f>
        <v>1.2939239518039061E-3</v>
      </c>
      <c r="AL16" s="71" cm="1">
        <f t="array" ref="AL16">SUMPRODUCT((raw_lb[[who_region]:[who_region]]=$A16)*raw[[births]:[births]]*raw_lb[m_4044]*(LEN(raw_lb[m_4044])&gt;1)*(LEN(raw_lb[[bd_cov]:[bd_cov]])&gt;interactive!$C$6))/SUMPRODUCT((raw_lb[[who_region]:[who_region]]=$A16)*raw[[births]:[births]]*(LEN(raw_lb[m_4044])&gt;1)*(LEN(raw_lb[[bd_cov]:[bd_cov]])&gt;interactive!$C$6))</f>
        <v>1.8212620564475456E-3</v>
      </c>
      <c r="AM16" s="71" cm="1">
        <f t="array" ref="AM16">SUMPRODUCT((raw_lb[[who_region]:[who_region]]=$A16)*raw[[births]:[births]]*raw_lb[m_4549]*(LEN(raw_lb[m_4549])&gt;1)*(LEN(raw_lb[[bd_cov]:[bd_cov]])&gt;interactive!$C$6))/SUMPRODUCT((raw_lb[[who_region]:[who_region]]=$A16)*raw[[births]:[births]]*(LEN(raw_lb[m_4549])&gt;1)*(LEN(raw_lb[[bd_cov]:[bd_cov]])&gt;interactive!$C$6))</f>
        <v>2.6694380894867909E-3</v>
      </c>
      <c r="AN16" s="71" cm="1">
        <f t="array" ref="AN16">SUMPRODUCT((raw_lb[[who_region]:[who_region]]=$A16)*raw[[births]:[births]]*raw_lb[m_5054]*(LEN(raw_lb[m_5054])&gt;1)*(LEN(raw_lb[[bd_cov]:[bd_cov]])&gt;interactive!$C$6))/SUMPRODUCT((raw_lb[[who_region]:[who_region]]=$A16)*raw[[births]:[births]]*(LEN(raw_lb[m_5054])&gt;1)*(LEN(raw_lb[[bd_cov]:[bd_cov]])&gt;interactive!$C$6))</f>
        <v>4.250414821637633E-3</v>
      </c>
      <c r="AO16" s="71" cm="1">
        <f t="array" ref="AO16">SUMPRODUCT((raw_lb[[who_region]:[who_region]]=$A16)*raw[[births]:[births]]*raw_lb[m_5559]*(LEN(raw_lb[m_5559])&gt;1)*(LEN(raw_lb[[bd_cov]:[bd_cov]])&gt;interactive!$C$6))/SUMPRODUCT((raw_lb[[who_region]:[who_region]]=$A16)*raw[[births]:[births]]*(LEN(raw_lb[m_5559])&gt;1)*(LEN(raw_lb[[bd_cov]:[bd_cov]])&gt;interactive!$C$6))</f>
        <v>6.8007185670634117E-3</v>
      </c>
      <c r="AP16" s="71" cm="1">
        <f t="array" ref="AP16">SUMPRODUCT((raw_lb[[who_region]:[who_region]]=$A16)*raw[[births]:[births]]*raw_lb[m_6064]*(LEN(raw_lb[m_6064])&gt;1)*(LEN(raw_lb[[bd_cov]:[bd_cov]])&gt;interactive!$C$6))/SUMPRODUCT((raw_lb[[who_region]:[who_region]]=$A16)*raw[[births]:[births]]*(LEN(raw_lb[m_6064])&gt;1)*(LEN(raw_lb[[bd_cov]:[bd_cov]])&gt;interactive!$C$6))</f>
        <v>1.152568966710163E-2</v>
      </c>
      <c r="AQ16" s="71" cm="1">
        <f t="array" ref="AQ16">SUMPRODUCT((raw_lb[[who_region]:[who_region]]=$A16)*raw[[births]:[births]]*raw_lb[m_6569]*(LEN(raw_lb[m_6569])&gt;1)*(LEN(raw_lb[[bd_cov]:[bd_cov]])&gt;interactive!$C$6))/SUMPRODUCT((raw_lb[[who_region]:[who_region]]=$A16)*raw[[births]:[births]]*(LEN(raw_lb[m_6569])&gt;1)*(LEN(raw_lb[[bd_cov]:[bd_cov]])&gt;interactive!$C$6))</f>
        <v>1.9372590142895035E-2</v>
      </c>
      <c r="AR16" s="71" cm="1">
        <f t="array" ref="AR16">SUMPRODUCT((raw_lb[[who_region]:[who_region]]=$A16)*raw[[births]:[births]]*raw_lb[m_7074]*(LEN(raw_lb[m_7074])&gt;1)*(LEN(raw_lb[[bd_cov]:[bd_cov]])&gt;interactive!$C$6))/SUMPRODUCT((raw_lb[[who_region]:[who_region]]=$A16)*raw[[births]:[births]]*(LEN(raw_lb[m_7074])&gt;1)*(LEN(raw_lb[[bd_cov]:[bd_cov]])&gt;interactive!$C$6))</f>
        <v>3.2703199461531267E-2</v>
      </c>
      <c r="AS16" s="71" cm="1">
        <f t="array" ref="AS16">SUMPRODUCT((raw_lb[[who_region]:[who_region]]=$A16)*raw[[births]:[births]]*raw_lb[m_7079]*(LEN(raw_lb[m_7079])&gt;1)*(LEN(raw_lb[[bd_cov]:[bd_cov]])&gt;interactive!$C$6))/SUMPRODUCT((raw_lb[[who_region]:[who_region]]=$A16)*raw[[births]:[births]]*(LEN(raw_lb[m_7079])&gt;1)*(LEN(raw_lb[[bd_cov]:[bd_cov]])&gt;interactive!$C$6))</f>
        <v>5.1174212083972055E-2</v>
      </c>
      <c r="AT16" s="71" cm="1">
        <f t="array" ref="AT16">SUMPRODUCT((raw_lb[[who_region]:[who_region]]=$A16)*raw[[births]:[births]]*raw_lb[m_8084]*(LEN(raw_lb[m_8084])&gt;1)*(LEN(raw_lb[[bd_cov]:[bd_cov]])&gt;interactive!$C$6))/SUMPRODUCT((raw_lb[[who_region]:[who_region]]=$A16)*raw[[births]:[births]]*(LEN(raw_lb[m_8084])&gt;1)*(LEN(raw_lb[[bd_cov]:[bd_cov]])&gt;interactive!$C$6))</f>
        <v>7.2985218965190946E-2</v>
      </c>
      <c r="AU16" s="71" cm="1">
        <f t="array" ref="AU16">SUMPRODUCT((raw_lb[[who_region]:[who_region]]=$A16)*raw[[births]:[births]]*raw_lb[m_8589]*(LEN(raw_lb[m_8589])&gt;1)*(LEN(raw_lb[[bd_cov]:[bd_cov]])&gt;interactive!$C$6))/SUMPRODUCT((raw_lb[[who_region]:[who_region]]=$A16)*raw[[births]:[births]]*(LEN(raw_lb[m_8589])&gt;1)*(LEN(raw_lb[[bd_cov]:[bd_cov]])&gt;interactive!$C$6))</f>
        <v>0.10061158165397555</v>
      </c>
      <c r="AV16" s="71" cm="1">
        <f t="array" ref="AV16">SUMPRODUCT((raw_lb[[who_region]:[who_region]]=$A16)*raw[[births]:[births]]*raw_lb[m_9094]*(LEN(raw_lb[m_9094])&gt;1)*(LEN(raw_lb[[bd_cov]:[bd_cov]])&gt;interactive!$C$6))/SUMPRODUCT((raw_lb[[who_region]:[who_region]]=$A16)*raw[[births]:[births]]*(LEN(raw_lb[m_9094])&gt;1)*(LEN(raw_lb[[bd_cov]:[bd_cov]])&gt;interactive!$C$6))</f>
        <v>0.12550745881240277</v>
      </c>
      <c r="AW16" s="71" cm="1">
        <f t="array" ref="AW16">SUMPRODUCT((raw_lb[[who_region]:[who_region]]=$A16)*raw[[births]:[births]]*raw_lb[m_95+]*(LEN(raw_lb[m_95+])&gt;1)*(LEN(raw_lb[[bd_cov]:[bd_cov]])&gt;interactive!$C$6))/SUMPRODUCT((raw_lb[[who_region]:[who_region]]=$A16)*raw[[births]:[births]]*(LEN(raw_lb[m_95+])&gt;1)*(LEN(raw_lb[[bd_cov]:[bd_cov]])&gt;interactive!$C$6))</f>
        <v>0.14642775941331135</v>
      </c>
      <c r="AX16" s="71" cm="1">
        <f t="array" ref="AX16">SUMPRODUCT((raw_lb[[who_region]:[who_region]]=$A16)*raw[[births]:[births]]*raw_lb[av_life]*(LEN(raw_lb[av_life])&gt;1)*(LEN(raw_lb[[bd_cov]:[bd_cov]])&gt;interactive!$C$6))/SUMPRODUCT((raw_lb[[who_region]:[who_region]]=$A16)*raw[[births]:[births]]*(LEN(raw_lb[av_life])&gt;1)*(LEN(raw_lb[[bd_cov]:[bd_cov]])&gt;interactive!$C$6))</f>
        <v>71.800592147312173</v>
      </c>
    </row>
    <row r="17" spans="1:51" x14ac:dyDescent="0.25">
      <c r="A17" s="65" t="s">
        <v>505</v>
      </c>
      <c r="J17" s="68" cm="1">
        <f t="array" ref="J17">SUMPRODUCT(raw[[births]:[births]]*raw_lb[fac_birth]*(LEN(raw_lb[fac_birth])&gt;1)*(LEN(raw_lb[[bd_cov]:[bd_cov]])&gt;interactive!$C$6))/SUMPRODUCT(raw[[births]:[births]]*(LEN(raw_lb[fac_birth])&gt;1)*(LEN(raw_lb[[bd_cov]:[bd_cov]])&gt;interactive!$C$6))</f>
        <v>0.82895075986894617</v>
      </c>
      <c r="K17" s="68" cm="1">
        <f t="array" ref="K17">SUMPRODUCT(raw[[births]:[births]]*raw_lb[bd_cov]*(LEN(raw_lb[bd_cov])&gt;1)*(LEN(raw_lb[[bd_cov]:[bd_cov]])&gt;interactive!$C$6))/SUMPRODUCT(raw[[births]:[births]]*(LEN(raw_lb[bd_cov])&gt;1)*(LEN(raw_lb[[bd_cov]:[bd_cov]])&gt;interactive!$C$6))</f>
        <v>0.6791372784661972</v>
      </c>
      <c r="L17" s="68" cm="1">
        <f t="array" ref="L17">SUMPRODUCT(raw[[births]:[births]]*raw_lb[hbv3_cov]*(LEN(raw_lb[hbv3_cov])&gt;1)*(LEN(raw_lb[[bd_cov]:[bd_cov]])&gt;interactive!$C$6))/SUMPRODUCT(raw[[births]:[births]]*(LEN(raw_lb[hbv3_cov])&gt;1)*(LEN(raw_lb[[bd_cov]:[bd_cov]])&gt;interactive!$C$6))</f>
        <v>0.8290682149115266</v>
      </c>
      <c r="M17" s="68" cm="1">
        <f t="array" ref="M17">SUMPRODUCT(raw[[births]:[births]]*raw_lb[hbv_prev]*(LEN(raw_lb[hbv_prev])&gt;1)*(LEN(raw_lb[[bd_cov]:[bd_cov]])&gt;interactive!$C$6))/SUMPRODUCT(raw[[births]:[births]]*(LEN(raw_lb[hbv_prev])&gt;1)*(LEN(raw_lb[[bd_cov]:[bd_cov]])&gt;interactive!$C$6))</f>
        <v>3.0739450673342182E-2</v>
      </c>
      <c r="N17" s="68" cm="1">
        <f t="array" ref="N17">SUMPRODUCT(raw[[births]:[births]]*raw_lb[hbe_prev]*(LEN(raw_lb[hbe_prev])&gt;1)*(LEN(raw_lb[[bd_cov]:[bd_cov]])&gt;interactive!$C$6))/SUMPRODUCT(raw[[births]:[births]]*(LEN(raw_lb[hbe_prev])&gt;1)*(LEN(raw_lb[[bd_cov]:[bd_cov]])&gt;interactive!$C$6))</f>
        <v>0.16411878913328912</v>
      </c>
      <c r="O17" s="68" cm="1">
        <f t="array" ref="O17">SUMPRODUCT(raw[[births]:[births]]*raw_lb[epos]*(LEN(raw_lb[epos])&gt;1)*(LEN(raw_lb[[bd_cov]:[bd_cov]])&gt;interactive!$C$6))/SUMPRODUCT(raw[[births]:[births]]*(LEN(raw_lb[epos])&gt;1)*(LEN(raw_lb[[bd_cov]:[bd_cov]])&gt;interactive!$C$6))</f>
        <v>0.67838623225514638</v>
      </c>
      <c r="P17" s="68" cm="1">
        <f t="array" ref="P17">SUMPRODUCT(raw[[births]:[births]]*raw_lb[eneg]*(LEN(raw_lb[eneg])&gt;1)*(LEN(raw_lb[[bd_cov]:[bd_cov]])&gt;interactive!$C$6))/SUMPRODUCT(raw[[births]:[births]]*(LEN(raw_lb[eneg])&gt;1)*(LEN(raw_lb[[bd_cov]:[bd_cov]])&gt;interactive!$C$6))</f>
        <v>4.8318929175400302E-2</v>
      </c>
      <c r="Q17" s="69" cm="1">
        <f t="array" ref="Q17">SUMPRODUCT(raw[[births]:[births]]*raw_lb[c_diag]*(LEN(raw_lb[c_diag])&gt;1)*(LEN(raw_lb[[bd_cov]:[bd_cov]])&gt;interactive!$C$6))/SUMPRODUCT(raw[[births]:[births]]*(LEN(raw_lb[c_diag])&gt;1)*(LEN(raw_lb[[bd_cov]:[bd_cov]])&gt;interactive!$C$6))</f>
        <v>1.2854983889411522</v>
      </c>
      <c r="R17" s="69" cm="1">
        <f t="array" ref="R17">SUMPRODUCT(raw[[births]:[births]]*raw_lb[c_C]*(LEN(raw_lb[c_C])&gt;1)*(LEN(raw_lb[[bd_cov]:[bd_cov]])&gt;interactive!$C$6))/SUMPRODUCT(raw[[births]:[births]]*(LEN(raw_lb[c_C])&gt;1)*(LEN(raw_lb[[bd_cov]:[bd_cov]])&gt;interactive!$C$6))</f>
        <v>8.3463983889411519</v>
      </c>
      <c r="S17" s="69" cm="1">
        <f t="array" ref="S17">SUMPRODUCT(raw[[births]:[births]]*raw_lb[c_CC]*(LEN(raw_lb[c_CC])&gt;1)*(LEN(raw_lb[[bd_cov]:[bd_cov]])&gt;interactive!$C$6))/SUMPRODUCT(raw[[births]:[births]]*(LEN(raw_lb[c_CC])&gt;1)*(LEN(raw_lb[[bd_cov]:[bd_cov]])&gt;interactive!$C$6))</f>
        <v>42.744437982703481</v>
      </c>
      <c r="T17" s="69" cm="1">
        <f t="array" ref="T17">SUMPRODUCT(raw[[births]:[births]]*raw_lb[c_DC]*(LEN(raw_lb[c_DC])&gt;1)*(LEN(raw_lb[[bd_cov]:[bd_cov]])&gt;interactive!$C$6))/SUMPRODUCT(raw[[births]:[births]]*(LEN(raw_lb[c_DC])&gt;1)*(LEN(raw_lb[[bd_cov]:[bd_cov]])&gt;interactive!$C$6))</f>
        <v>45.438563010626822</v>
      </c>
      <c r="U17" s="69" cm="1">
        <f t="array" ref="U17">SUMPRODUCT(raw[[births]:[births]]*raw_lb[c_HCC]*(LEN(raw_lb[c_HCC])&gt;1)*(LEN(raw_lb[[bd_cov]:[bd_cov]])&gt;interactive!$C$6))/SUMPRODUCT(raw[[births]:[births]]*(LEN(raw_lb[c_HCC])&gt;1)*(LEN(raw_lb[[bd_cov]:[bd_cov]])&gt;interactive!$C$6))</f>
        <v>44.201944798679186</v>
      </c>
      <c r="V17" s="69" cm="1">
        <f t="array" ref="V17">SUMPRODUCT(raw[[births]:[births]]*raw_lb[bl1_f]*(LEN(raw_lb[bl1_f])&gt;1)*(LEN(raw_lb[[bd_cov]:[bd_cov]])&gt;interactive!$C$6))/SUMPRODUCT(raw[[births]:[births]]*(LEN(raw_lb[bl1_f])&gt;1)*(LEN(raw_lb[[bd_cov]:[bd_cov]])&gt;interactive!$C$6))</f>
        <v>1.0629505927701888</v>
      </c>
      <c r="W17" s="69" cm="1">
        <f t="array" ref="W17">SUMPRODUCT(raw[[births]:[births]]*raw_lb[bl1_c]*(LEN(raw_lb[bl1_c])&gt;1)*(LEN(raw_lb[[bd_cov]:[bd_cov]])&gt;interactive!$C$6))/SUMPRODUCT(raw[[births]:[births]]*(LEN(raw_lb[bl1_c])&gt;1)*(LEN(raw_lb[[bd_cov]:[bd_cov]])&gt;interactive!$C$6))</f>
        <v>2.1871024977802445</v>
      </c>
      <c r="X17" s="69" cm="1">
        <f t="array" ref="X17">SUMPRODUCT(raw[[births]:[births]]*raw_lb[map_f]*(LEN(raw_lb[map_f])&gt;1)*(LEN(raw_lb[[bd_cov]:[bd_cov]])&gt;interactive!$C$6))/SUMPRODUCT(raw[[births]:[births]]*(LEN(raw_lb[map_f])&gt;1)*(LEN(raw_lb[[bd_cov]:[bd_cov]])&gt;interactive!$C$6))</f>
        <v>0.58688688328253458</v>
      </c>
      <c r="Y17" s="69" cm="1">
        <f t="array" ref="Y17">SUMPRODUCT(raw[[births]:[births]]*raw_lb[map_cq]*(LEN(raw_lb[map_cq])&gt;1)*(LEN(raw_lb[[bd_cov]:[bd_cov]])&gt;interactive!$C$6))/SUMPRODUCT(raw[[births]:[births]]*(LEN(raw_lb[map_cq])&gt;1)*(LEN(raw_lb[[bd_cov]:[bd_cov]])&gt;interactive!$C$6))</f>
        <v>1.7110387882925899</v>
      </c>
      <c r="Z17" s="69" cm="1">
        <f t="array" ref="Z17">SUMPRODUCT(raw[[births]:[births]]*raw_lb[map_cl]*(LEN(raw_lb[map_cl])&gt;1)*(LEN(raw_lb[[bd_cov]:[bd_cov]])&gt;interactive!$C$6))/SUMPRODUCT(raw[[births]:[births]]*(LEN(raw_lb[map_cl])&gt;1)*(LEN(raw_lb[[bd_cov]:[bd_cov]])&gt;interactive!$C$6))</f>
        <v>1.7056893602773977</v>
      </c>
      <c r="AA17" s="69" cm="1">
        <f t="array" ref="AA17">SUMPRODUCT(raw[[births]:[births]]*raw_lb[ctc_f]*(LEN(raw_lb[ctc_f])&gt;1)*(LEN(raw_lb[[bd_cov]:[bd_cov]])&gt;interactive!$C$6))/SUMPRODUCT(raw[[births]:[births]]*(LEN(raw_lb[ctc_f])&gt;1)*(LEN(raw_lb[[bd_cov]:[bd_cov]])&gt;interactive!$C$6))</f>
        <v>1.2227682137924083</v>
      </c>
      <c r="AB17" s="69" cm="1">
        <f t="array" ref="AB17">SUMPRODUCT(raw[[births]:[births]]*raw_lb[ctc_c]*(LEN(raw_lb[ctc_c])&gt;1)*(LEN(raw_lb[[bd_cov]:[bd_cov]])&gt;interactive!$C$6))/SUMPRODUCT(raw[[births]:[births]]*(LEN(raw_lb[ctc_c])&gt;1)*(LEN(raw_lb[[bd_cov]:[bd_cov]])&gt;interactive!$C$6))</f>
        <v>2.3469201188024642</v>
      </c>
      <c r="AC17" s="71" cm="1">
        <f t="array" ref="AC17">SUMPRODUCT(raw[[births]:[births]]*raw_lb[m_01]*(LEN(raw_lb[m_01])&gt;1)*(LEN(raw_lb[[bd_cov]:[bd_cov]])&gt;interactive!$C$6))/SUMPRODUCT(raw[[births]:[births]]*(LEN(raw_lb[m_01])&gt;1)*(LEN(raw_lb[[bd_cov]:[bd_cov]])&gt;interactive!$C$6))</f>
        <v>2.0681668999074306E-2</v>
      </c>
      <c r="AD17" s="71" cm="1">
        <f t="array" ref="AD17">SUMPRODUCT(raw[[births]:[births]]*raw_lb[m_14]*(LEN(raw_lb[m_14])&gt;1)*(LEN(raw_lb[[bd_cov]:[bd_cov]])&gt;interactive!$C$6))/SUMPRODUCT(raw[[births]:[births]]*(LEN(raw_lb[m_14])&gt;1)*(LEN(raw_lb[[bd_cov]:[bd_cov]])&gt;interactive!$C$6))</f>
        <v>1.3232460603847421E-3</v>
      </c>
      <c r="AE17" s="71" cm="1">
        <f t="array" ref="AE17">SUMPRODUCT(raw[[births]:[births]]*raw_lb[m_59]*(LEN(raw_lb[m_59])&gt;1)*(LEN(raw_lb[[bd_cov]:[bd_cov]])&gt;interactive!$C$6))/SUMPRODUCT(raw[[births]:[births]]*(LEN(raw_lb[m_59])&gt;1)*(LEN(raw_lb[[bd_cov]:[bd_cov]])&gt;interactive!$C$6))</f>
        <v>5.3664979099781536E-4</v>
      </c>
      <c r="AF17" s="71" cm="1">
        <f t="array" ref="AF17">SUMPRODUCT(raw[[births]:[births]]*raw_lb[m_1014]*(LEN(raw_lb[m_1014])&gt;1)*(LEN(raw_lb[[bd_cov]:[bd_cov]])&gt;interactive!$C$6))/SUMPRODUCT(raw[[births]:[births]]*(LEN(raw_lb[m_1014])&gt;1)*(LEN(raw_lb[[bd_cov]:[bd_cov]])&gt;interactive!$C$6))</f>
        <v>4.531245036991172E-4</v>
      </c>
      <c r="AG17" s="71" cm="1">
        <f t="array" ref="AG17">SUMPRODUCT(raw[[births]:[births]]*raw_lb[m_1519]*(LEN(raw_lb[m_1519])&gt;1)*(LEN(raw_lb[[bd_cov]:[bd_cov]])&gt;interactive!$C$6))/SUMPRODUCT(raw[[births]:[births]]*(LEN(raw_lb[m_1519])&gt;1)*(LEN(raw_lb[[bd_cov]:[bd_cov]])&gt;interactive!$C$6))</f>
        <v>7.7543220346646855E-4</v>
      </c>
      <c r="AH17" s="71" cm="1">
        <f t="array" ref="AH17">SUMPRODUCT(raw[[births]:[births]]*raw_lb[m_2024]*(LEN(raw_lb[m_2024])&gt;1)*(LEN(raw_lb[[bd_cov]:[bd_cov]])&gt;interactive!$C$6))/SUMPRODUCT(raw[[births]:[births]]*(LEN(raw_lb[m_2024])&gt;1)*(LEN(raw_lb[[bd_cov]:[bd_cov]])&gt;interactive!$C$6))</f>
        <v>1.1203071399161367E-3</v>
      </c>
      <c r="AI17" s="71" cm="1">
        <f t="array" ref="AI17">SUMPRODUCT(raw[[births]:[births]]*raw_lb[m_2529]*(LEN(raw_lb[m_2529])&gt;1)*(LEN(raw_lb[[bd_cov]:[bd_cov]])&gt;interactive!$C$6))/SUMPRODUCT(raw[[births]:[births]]*(LEN(raw_lb[m_2529])&gt;1)*(LEN(raw_lb[[bd_cov]:[bd_cov]])&gt;interactive!$C$6))</f>
        <v>1.2918324929323012E-3</v>
      </c>
      <c r="AJ17" s="71" cm="1">
        <f t="array" ref="AJ17">SUMPRODUCT(raw[[births]:[births]]*raw_lb[m_3034]*(LEN(raw_lb[m_3034])&gt;1)*(LEN(raw_lb[[bd_cov]:[bd_cov]])&gt;interactive!$C$6))/SUMPRODUCT(raw[[births]:[births]]*(LEN(raw_lb[m_3034])&gt;1)*(LEN(raw_lb[[bd_cov]:[bd_cov]])&gt;interactive!$C$6))</f>
        <v>1.5904809939053595E-3</v>
      </c>
      <c r="AK17" s="71" cm="1">
        <f t="array" ref="AK17">SUMPRODUCT(raw[[births]:[births]]*raw_lb[m_3539]*(LEN(raw_lb[m_3539])&gt;1)*(LEN(raw_lb[[bd_cov]:[bd_cov]])&gt;interactive!$C$6))/SUMPRODUCT(raw[[births]:[births]]*(LEN(raw_lb[m_3539])&gt;1)*(LEN(raw_lb[[bd_cov]:[bd_cov]])&gt;interactive!$C$6))</f>
        <v>2.0839371807266751E-3</v>
      </c>
      <c r="AL17" s="71" cm="1">
        <f t="array" ref="AL17">SUMPRODUCT(raw[[births]:[births]]*raw_lb[m_4044]*(LEN(raw_lb[m_4044])&gt;1)*(LEN(raw_lb[[bd_cov]:[bd_cov]])&gt;interactive!$C$6))/SUMPRODUCT(raw[[births]:[births]]*(LEN(raw_lb[m_4044])&gt;1)*(LEN(raw_lb[[bd_cov]:[bd_cov]])&gt;interactive!$C$6))</f>
        <v>2.8088185336737721E-3</v>
      </c>
      <c r="AM17" s="71" cm="1">
        <f t="array" ref="AM17">SUMPRODUCT(raw[[births]:[births]]*raw_lb[m_4549]*(LEN(raw_lb[m_4549])&gt;1)*(LEN(raw_lb[[bd_cov]:[bd_cov]])&gt;interactive!$C$6))/SUMPRODUCT(raw[[births]:[births]]*(LEN(raw_lb[m_4549])&gt;1)*(LEN(raw_lb[[bd_cov]:[bd_cov]])&gt;interactive!$C$6))</f>
        <v>4.0508227303286482E-3</v>
      </c>
      <c r="AN17" s="71" cm="1">
        <f t="array" ref="AN17">SUMPRODUCT(raw[[births]:[births]]*raw_lb[m_5054]*(LEN(raw_lb[m_5054])&gt;1)*(LEN(raw_lb[[bd_cov]:[bd_cov]])&gt;interactive!$C$6))/SUMPRODUCT(raw[[births]:[births]]*(LEN(raw_lb[m_5054])&gt;1)*(LEN(raw_lb[[bd_cov]:[bd_cov]])&gt;interactive!$C$6))</f>
        <v>6.2968076198633835E-3</v>
      </c>
      <c r="AO17" s="71" cm="1">
        <f t="array" ref="AO17">SUMPRODUCT(raw[[births]:[births]]*raw_lb[m_5559]*(LEN(raw_lb[m_5559])&gt;1)*(LEN(raw_lb[[bd_cov]:[bd_cov]])&gt;interactive!$C$6))/SUMPRODUCT(raw[[births]:[births]]*(LEN(raw_lb[m_5559])&gt;1)*(LEN(raw_lb[[bd_cov]:[bd_cov]])&gt;interactive!$C$6))</f>
        <v>9.4434395030751767E-3</v>
      </c>
      <c r="AP17" s="71" cm="1">
        <f t="array" ref="AP17">SUMPRODUCT(raw[[births]:[births]]*raw_lb[m_6064]*(LEN(raw_lb[m_6064])&gt;1)*(LEN(raw_lb[[bd_cov]:[bd_cov]])&gt;interactive!$C$6))/SUMPRODUCT(raw[[births]:[births]]*(LEN(raw_lb[m_6064])&gt;1)*(LEN(raw_lb[[bd_cov]:[bd_cov]])&gt;interactive!$C$6))</f>
        <v>1.4604986423352263E-2</v>
      </c>
      <c r="AQ17" s="71" cm="1">
        <f t="array" ref="AQ17">SUMPRODUCT(raw[[births]:[births]]*raw_lb[m_6569]*(LEN(raw_lb[m_6569])&gt;1)*(LEN(raw_lb[[bd_cov]:[bd_cov]])&gt;interactive!$C$6))/SUMPRODUCT(raw[[births]:[births]]*(LEN(raw_lb[m_6569])&gt;1)*(LEN(raw_lb[[bd_cov]:[bd_cov]])&gt;interactive!$C$6))</f>
        <v>2.2612705449518922E-2</v>
      </c>
      <c r="AR17" s="71" cm="1">
        <f t="array" ref="AR17">SUMPRODUCT(raw[[births]:[births]]*raw_lb[m_7074]*(LEN(raw_lb[m_7074])&gt;1)*(LEN(raw_lb[[bd_cov]:[bd_cov]])&gt;interactive!$C$6))/SUMPRODUCT(raw[[births]:[births]]*(LEN(raw_lb[m_7074])&gt;1)*(LEN(raw_lb[[bd_cov]:[bd_cov]])&gt;interactive!$C$6))</f>
        <v>3.5750358447083332E-2</v>
      </c>
      <c r="AS17" s="71" cm="1">
        <f t="array" ref="AS17">SUMPRODUCT(raw[[births]:[births]]*raw_lb[m_7079]*(LEN(raw_lb[m_7079])&gt;1)*(LEN(raw_lb[[bd_cov]:[bd_cov]])&gt;interactive!$C$6))/SUMPRODUCT(raw[[births]:[births]]*(LEN(raw_lb[m_7079])&gt;1)*(LEN(raw_lb[[bd_cov]:[bd_cov]])&gt;interactive!$C$6))</f>
        <v>5.3904070969061996E-2</v>
      </c>
      <c r="AT17" s="71" cm="1">
        <f t="array" ref="AT17">SUMPRODUCT(raw[[births]:[births]]*raw_lb[m_8084]*(LEN(raw_lb[m_8084])&gt;1)*(LEN(raw_lb[[bd_cov]:[bd_cov]])&gt;interactive!$C$6))/SUMPRODUCT(raw[[births]:[births]]*(LEN(raw_lb[m_8084])&gt;1)*(LEN(raw_lb[[bd_cov]:[bd_cov]])&gt;interactive!$C$6))</f>
        <v>7.7945169443963222E-2</v>
      </c>
      <c r="AU17" s="71" cm="1">
        <f t="array" ref="AU17">SUMPRODUCT(raw[[births]:[births]]*raw_lb[m_8589]*(LEN(raw_lb[m_8589])&gt;1)*(LEN(raw_lb[[bd_cov]:[bd_cov]])&gt;interactive!$C$6))/SUMPRODUCT(raw[[births]:[births]]*(LEN(raw_lb[m_8589])&gt;1)*(LEN(raw_lb[[bd_cov]:[bd_cov]])&gt;interactive!$C$6))</f>
        <v>0.10647103447369292</v>
      </c>
      <c r="AV17" s="71" cm="1">
        <f t="array" ref="AV17">SUMPRODUCT(raw[[births]:[births]]*raw_lb[m_9094]*(LEN(raw_lb[m_9094])&gt;1)*(LEN(raw_lb[[bd_cov]:[bd_cov]])&gt;interactive!$C$6))/SUMPRODUCT(raw[[births]:[births]]*(LEN(raw_lb[m_9094])&gt;1)*(LEN(raw_lb[[bd_cov]:[bd_cov]])&gt;interactive!$C$6))</f>
        <v>0.13263463869958539</v>
      </c>
      <c r="AW17" s="71" cm="1">
        <f t="array" ref="AW17">SUMPRODUCT(raw[[births]:[births]]*raw_lb[m_95+]*(LEN(raw_lb[m_95+])&gt;1)*(LEN(raw_lb[[bd_cov]:[bd_cov]])&gt;interactive!$C$6))/SUMPRODUCT(raw[[births]:[births]]*(LEN(raw_lb[m_95+])&gt;1)*(LEN(raw_lb[[bd_cov]:[bd_cov]])&gt;interactive!$C$6))</f>
        <v>0.14632371367540792</v>
      </c>
      <c r="AX17" s="71" cm="1">
        <f t="array" ref="AX17">SUMPRODUCT(raw[[births]:[births]]*raw_lb[av_life]*(LEN(raw_lb[av_life])&gt;1)*(LEN(raw_lb[[bd_cov]:[bd_cov]])&gt;interactive!$C$6))/SUMPRODUCT(raw[[births]:[births]]*(LEN(raw_lb[av_life])&gt;1)*(LEN(raw_lb[[bd_cov]:[bd_cov]])&gt;interactive!$C$6))</f>
        <v>68.705169148814974</v>
      </c>
    </row>
    <row r="19" spans="1:51" x14ac:dyDescent="0.25">
      <c r="A19" s="49" t="s">
        <v>144</v>
      </c>
      <c r="B19" s="49" t="s">
        <v>145</v>
      </c>
      <c r="C19" s="49" t="s">
        <v>146</v>
      </c>
      <c r="D19" s="49" t="s">
        <v>147</v>
      </c>
      <c r="E19" s="49" t="s">
        <v>148</v>
      </c>
      <c r="F19" s="49" t="s">
        <v>149</v>
      </c>
      <c r="G19" s="49" t="s">
        <v>150</v>
      </c>
      <c r="H19" s="49" t="s">
        <v>151</v>
      </c>
      <c r="I19" s="49" t="s">
        <v>152</v>
      </c>
      <c r="J19" s="49" t="s">
        <v>153</v>
      </c>
      <c r="K19" s="49" t="s">
        <v>154</v>
      </c>
      <c r="L19" s="49" t="s">
        <v>155</v>
      </c>
      <c r="M19" s="49" t="s">
        <v>156</v>
      </c>
      <c r="N19" s="49" t="s">
        <v>157</v>
      </c>
      <c r="O19" s="49" t="s">
        <v>158</v>
      </c>
      <c r="P19" s="49" t="s">
        <v>159</v>
      </c>
      <c r="Q19" s="49" t="s">
        <v>160</v>
      </c>
      <c r="R19" s="49" t="s">
        <v>161</v>
      </c>
      <c r="S19" s="49" t="s">
        <v>162</v>
      </c>
      <c r="T19" s="49" t="s">
        <v>163</v>
      </c>
      <c r="U19" s="49" t="s">
        <v>164</v>
      </c>
      <c r="V19" s="49" t="s">
        <v>165</v>
      </c>
      <c r="W19" s="49" t="s">
        <v>166</v>
      </c>
      <c r="X19" s="49" t="s">
        <v>167</v>
      </c>
      <c r="Y19" s="49" t="s">
        <v>168</v>
      </c>
      <c r="Z19" s="49" t="s">
        <v>169</v>
      </c>
      <c r="AA19" s="49" t="s">
        <v>170</v>
      </c>
      <c r="AB19" s="49" t="s">
        <v>171</v>
      </c>
      <c r="AC19" s="49" t="s">
        <v>172</v>
      </c>
      <c r="AD19" s="49" t="s">
        <v>173</v>
      </c>
      <c r="AE19" s="49" t="s">
        <v>174</v>
      </c>
      <c r="AF19" s="49" t="s">
        <v>175</v>
      </c>
      <c r="AG19" s="49" t="s">
        <v>176</v>
      </c>
      <c r="AH19" s="49" t="s">
        <v>177</v>
      </c>
      <c r="AI19" s="49" t="s">
        <v>178</v>
      </c>
      <c r="AJ19" s="49" t="s">
        <v>179</v>
      </c>
      <c r="AK19" s="49" t="s">
        <v>180</v>
      </c>
      <c r="AL19" s="49" t="s">
        <v>181</v>
      </c>
      <c r="AM19" s="49" t="s">
        <v>182</v>
      </c>
      <c r="AN19" s="49" t="s">
        <v>183</v>
      </c>
      <c r="AO19" s="49" t="s">
        <v>184</v>
      </c>
      <c r="AP19" s="49" t="s">
        <v>185</v>
      </c>
      <c r="AQ19" s="49" t="s">
        <v>186</v>
      </c>
      <c r="AR19" s="49" t="s">
        <v>187</v>
      </c>
      <c r="AS19" s="49" t="s">
        <v>188</v>
      </c>
      <c r="AT19" s="49" t="s">
        <v>189</v>
      </c>
      <c r="AU19" s="49" t="s">
        <v>190</v>
      </c>
      <c r="AV19" s="49" t="s">
        <v>191</v>
      </c>
      <c r="AW19" s="49" t="s">
        <v>192</v>
      </c>
      <c r="AX19" s="51" t="s">
        <v>193</v>
      </c>
      <c r="AY19" s="50" t="s">
        <v>504</v>
      </c>
    </row>
    <row r="20" spans="1:51" x14ac:dyDescent="0.25">
      <c r="A20" s="65" t="s">
        <v>207</v>
      </c>
      <c r="J20" s="68" cm="1">
        <f t="array" ref="J20">SUMPRODUCT((raw_ub[[who_region]:[who_region]]=$A20)*raw[[births]:[births]]*raw_ub[fac_birth]*(LEN(raw_ub[fac_birth])&gt;1)*(LEN(raw_ub[[bd_cov]:[bd_cov]])&gt;interactive!$C$6))/SUMPRODUCT((raw_ub[[who_region]:[who_region]]=$A20)*raw[[births]:[births]]*(LEN(raw_ub[fac_birth])&gt;1)*(LEN(raw_ub[[bd_cov]:[bd_cov]])&gt;interactive!$C$6))</f>
        <v>0.87458651946859622</v>
      </c>
      <c r="K20" s="68" cm="1">
        <f t="array" ref="K20">SUMPRODUCT((raw_ub[[who_region]:[who_region]]=$A20)*raw[[births]:[births]]*raw_ub[bd_cov]*(LEN(raw_ub[bd_cov])&gt;1)*(LEN(raw_ub[[bd_cov]:[bd_cov]])&gt;interactive!$C$6))/SUMPRODUCT((raw_ub[[who_region]:[who_region]]=$A20)*raw[[births]:[births]]*(LEN(raw_ub[bd_cov])&gt;1)*(LEN(raw_ub[[bd_cov]:[bd_cov]])&gt;interactive!$C$6))</f>
        <v>0.80276506770365996</v>
      </c>
      <c r="L20" s="68" cm="1">
        <f t="array" ref="L20">SUMPRODUCT((raw_ub[[who_region]:[who_region]]=$A20)*raw[[births]:[births]]*raw_ub[hbv3_cov]*(LEN(raw_ub[hbv3_cov])&gt;1)*(LEN(raw_ub[[bd_cov]:[bd_cov]])&gt;interactive!$C$6))/SUMPRODUCT((raw_ub[[who_region]:[who_region]]=$A20)*raw[[births]:[births]]*(LEN(raw_ub[hbv3_cov])&gt;1)*(LEN(raw_ub[[bd_cov]:[bd_cov]])&gt;interactive!$C$6))</f>
        <v>0.89179474726591401</v>
      </c>
      <c r="M20" s="68" cm="1">
        <f t="array" ref="M20">SUMPRODUCT((raw_ub[[who_region]:[who_region]]=$A20)*raw[[births]:[births]]*raw_ub[hbv_prev]*(LEN(raw_ub[hbv_prev])&gt;1)*(LEN(raw_ub[[bd_cov]:[bd_cov]])&gt;interactive!$C$6))/SUMPRODUCT((raw_ub[[who_region]:[who_region]]=$A20)*raw[[births]:[births]]*(LEN(raw_ub[hbv_prev])&gt;1)*(LEN(raw_ub[[bd_cov]:[bd_cov]])&gt;interactive!$C$6))</f>
        <v>7.4169570770063586E-2</v>
      </c>
      <c r="N20" s="68" cm="1">
        <f t="array" ref="N20">SUMPRODUCT((raw_ub[[who_region]:[who_region]]=$A20)*raw[[births]:[births]]*raw_ub[hbe_prev]*(LEN(raw_ub[hbe_prev])&gt;1)*(LEN(raw_ub[[bd_cov]:[bd_cov]])&gt;interactive!$C$6))/SUMPRODUCT((raw_ub[[who_region]:[who_region]]=$A20)*raw[[births]:[births]]*(LEN(raw_ub[hbe_prev])&gt;1)*(LEN(raw_ub[[bd_cov]:[bd_cov]])&gt;interactive!$C$6))</f>
        <v>0.39810900812206368</v>
      </c>
      <c r="O20" s="68" cm="1">
        <f t="array" ref="O20">SUMPRODUCT((raw_ub[[who_region]:[who_region]]=$A20)*raw[[births]:[births]]*raw_ub[epos]*(LEN(raw_ub[epos])&gt;1)*(LEN(raw_ub[[bd_cov]:[bd_cov]])&gt;interactive!$C$6))/SUMPRODUCT((raw_ub[[who_region]:[who_region]]=$A20)*raw[[births]:[births]]*(LEN(raw_ub[epos])&gt;1)*(LEN(raw_ub[[bd_cov]:[bd_cov]])&gt;interactive!$C$6))</f>
        <v>0.78832263692601723</v>
      </c>
      <c r="P20" s="68" cm="1">
        <f t="array" ref="P20">SUMPRODUCT((raw_ub[[who_region]:[who_region]]=$A20)*raw[[births]:[births]]*raw_ub[eneg]*(LEN(raw_ub[eneg])&gt;1)*(LEN(raw_ub[[bd_cov]:[bd_cov]])&gt;interactive!$C$6))/SUMPRODUCT((raw_ub[[who_region]:[who_region]]=$A20)*raw[[births]:[births]]*(LEN(raw_ub[eneg])&gt;1)*(LEN(raw_ub[[bd_cov]:[bd_cov]])&gt;interactive!$C$6))</f>
        <v>0.18044795106823663</v>
      </c>
      <c r="Q20" s="69" cm="1">
        <f t="array" ref="Q20">SUMPRODUCT((raw_ub[[who_region]:[who_region]]=$A20)*raw[[births]:[births]]*raw_ub[c_diag]*(LEN(raw_ub[c_diag])&gt;1)*(LEN(raw_ub[[bd_cov]:[bd_cov]])&gt;interactive!$C$6))/SUMPRODUCT((raw_ub[[who_region]:[who_region]]=$A20)*raw[[births]:[births]]*(LEN(raw_ub[c_diag])&gt;1)*(LEN(raw_ub[[bd_cov]:[bd_cov]])&gt;interactive!$C$6))</f>
        <v>10.848787539350035</v>
      </c>
      <c r="R20" s="69" cm="1">
        <f t="array" ref="R20">SUMPRODUCT((raw_ub[[who_region]:[who_region]]=$A20)*raw[[births]:[births]]*raw_ub[c_C]*(LEN(raw_ub[c_C])&gt;1)*(LEN(raw_ub[[bd_cov]:[bd_cov]])&gt;interactive!$C$6))/SUMPRODUCT((raw_ub[[who_region]:[who_region]]=$A20)*raw[[births]:[births]]*(LEN(raw_ub[c_C])&gt;1)*(LEN(raw_ub[[bd_cov]:[bd_cov]])&gt;interactive!$C$6))</f>
        <v>119.83458753935003</v>
      </c>
      <c r="S20" s="69" cm="1">
        <f t="array" ref="S20">SUMPRODUCT((raw_ub[[who_region]:[who_region]]=$A20)*raw[[births]:[births]]*raw_ub[c_CC]*(LEN(raw_ub[c_CC])&gt;1)*(LEN(raw_ub[[bd_cov]:[bd_cov]])&gt;interactive!$C$6))/SUMPRODUCT((raw_ub[[who_region]:[who_region]]=$A20)*raw[[births]:[births]]*(LEN(raw_ub[c_CC])&gt;1)*(LEN(raw_ub[[bd_cov]:[bd_cov]])&gt;interactive!$C$6))</f>
        <v>161.42169624364792</v>
      </c>
      <c r="T20" s="69" cm="1">
        <f t="array" ref="T20">SUMPRODUCT((raw_ub[[who_region]:[who_region]]=$A20)*raw[[births]:[births]]*raw_ub[c_DC]*(LEN(raw_ub[c_DC])&gt;1)*(LEN(raw_ub[[bd_cov]:[bd_cov]])&gt;interactive!$C$6))/SUMPRODUCT((raw_ub[[who_region]:[who_region]]=$A20)*raw[[births]:[births]]*(LEN(raw_ub[c_DC])&gt;1)*(LEN(raw_ub[[bd_cov]:[bd_cov]])&gt;interactive!$C$6))</f>
        <v>167.85834407959484</v>
      </c>
      <c r="U20" s="69" cm="1">
        <f t="array" ref="U20">SUMPRODUCT((raw_ub[[who_region]:[who_region]]=$A20)*raw[[births]:[births]]*raw_ub[c_HCC]*(LEN(raw_ub[c_HCC])&gt;1)*(LEN(raw_ub[[bd_cov]:[bd_cov]])&gt;interactive!$C$6))/SUMPRODUCT((raw_ub[[who_region]:[who_region]]=$A20)*raw[[births]:[births]]*(LEN(raw_ub[c_HCC])&gt;1)*(LEN(raw_ub[[bd_cov]:[bd_cov]])&gt;interactive!$C$6))</f>
        <v>164.90277144673067</v>
      </c>
      <c r="V20" s="69" cm="1">
        <f t="array" ref="V20">SUMPRODUCT((raw_ub[[who_region]:[who_region]]=$A20)*raw[[births]:[births]]*raw_ub[bl1_f]*(LEN(raw_ub[bl1_f])&gt;1)*(LEN(raw_ub[[bd_cov]:[bd_cov]])&gt;interactive!$C$6))/SUMPRODUCT((raw_ub[[who_region]:[who_region]]=$A20)*raw[[births]:[births]]*(LEN(raw_ub[bl1_f])&gt;1)*(LEN(raw_ub[[bd_cov]:[bd_cov]])&gt;interactive!$C$6))</f>
        <v>5.3803233293868171</v>
      </c>
      <c r="W20" s="69" cm="1">
        <f t="array" ref="W20">SUMPRODUCT((raw_ub[[who_region]:[who_region]]=$A20)*raw[[births]:[births]]*raw_ub[bl1_c]*(LEN(raw_ub[bl1_c])&gt;1)*(LEN(raw_ub[[bd_cov]:[bd_cov]])&gt;interactive!$C$6))/SUMPRODUCT((raw_ub[[who_region]:[who_region]]=$A20)*raw[[births]:[births]]*(LEN(raw_ub[bl1_c])&gt;1)*(LEN(raw_ub[[bd_cov]:[bd_cov]])&gt;interactive!$C$6))</f>
        <v>9.1541076616971697</v>
      </c>
      <c r="X20" s="69" cm="1">
        <f t="array" ref="X20">SUMPRODUCT((raw_ub[[who_region]:[who_region]]=$A20)*raw[[births]:[births]]*raw_ub[map_f]*(LEN(raw_ub[map_f])&gt;1)*(LEN(raw_ub[[bd_cov]:[bd_cov]])&gt;interactive!$C$6))/SUMPRODUCT((raw_ub[[who_region]:[who_region]]=$A20)*raw[[births]:[births]]*(LEN(raw_ub[map_f])&gt;1)*(LEN(raw_ub[[bd_cov]:[bd_cov]])&gt;interactive!$C$6))</f>
        <v>5.356173575140069</v>
      </c>
      <c r="Y20" s="69" cm="1">
        <f t="array" ref="Y20">SUMPRODUCT((raw_ub[[who_region]:[who_region]]=$A20)*raw[[births]:[births]]*raw_ub[map_cq]*(LEN(raw_ub[map_cq])&gt;1)*(LEN(raw_ub[[bd_cov]:[bd_cov]])&gt;interactive!$C$6))/SUMPRODUCT((raw_ub[[who_region]:[who_region]]=$A20)*raw[[births]:[births]]*(LEN(raw_ub[map_cq])&gt;1)*(LEN(raw_ub[[bd_cov]:[bd_cov]])&gt;interactive!$C$6))</f>
        <v>9.1299579074504216</v>
      </c>
      <c r="Z20" s="69" cm="1">
        <f t="array" ref="Z20">SUMPRODUCT((raw_ub[[who_region]:[who_region]]=$A20)*raw[[births]:[births]]*raw_ub[map_cl]*(LEN(raw_ub[map_cl])&gt;1)*(LEN(raw_ub[[bd_cov]:[bd_cov]])&gt;interactive!$C$6))/SUMPRODUCT((raw_ub[[who_region]:[who_region]]=$A20)*raw[[births]:[births]]*(LEN(raw_ub[map_cl])&gt;1)*(LEN(raw_ub[[bd_cov]:[bd_cov]])&gt;interactive!$C$6))</f>
        <v>9.1159410034291497</v>
      </c>
      <c r="AA20" s="69" cm="1">
        <f t="array" ref="AA20">SUMPRODUCT((raw_ub[[who_region]:[who_region]]=$A20)*raw[[births]:[births]]*raw_ub[ctc_f]*(LEN(raw_ub[ctc_f])&gt;1)*(LEN(raw_ub[[bd_cov]:[bd_cov]])&gt;interactive!$C$6))/SUMPRODUCT((raw_ub[[who_region]:[who_region]]=$A20)*raw[[births]:[births]]*(LEN(raw_ub[ctc_f])&gt;1)*(LEN(raw_ub[[bd_cov]:[bd_cov]])&gt;interactive!$C$6))</f>
        <v>5.3858963495976049</v>
      </c>
      <c r="AB20" s="69" cm="1">
        <f t="array" ref="AB20">SUMPRODUCT((raw_ub[[who_region]:[who_region]]=$A20)*raw[[births]:[births]]*raw_ub[ctc_c]*(LEN(raw_ub[ctc_c])&gt;1)*(LEN(raw_ub[[bd_cov]:[bd_cov]])&gt;interactive!$C$6))/SUMPRODUCT((raw_ub[[who_region]:[who_region]]=$A20)*raw[[births]:[births]]*(LEN(raw_ub[ctc_c])&gt;1)*(LEN(raw_ub[[bd_cov]:[bd_cov]])&gt;interactive!$C$6))</f>
        <v>9.1596806819079575</v>
      </c>
      <c r="AC20" s="71" cm="1">
        <f t="array" ref="AC20">SUMPRODUCT((raw_ub[[who_region]:[who_region]]=$A20)*raw[[births]:[births]]*raw_ub[m_01]*(LEN(raw_ub[m_01])&gt;1)*(LEN(raw_ub[[bd_cov]:[bd_cov]])&gt;interactive!$C$6))/SUMPRODUCT((raw_ub[[who_region]:[who_region]]=$A20)*raw[[births]:[births]]*(LEN(raw_ub[m_01])&gt;1)*(LEN(raw_ub[[bd_cov]:[bd_cov]])&gt;interactive!$C$6))</f>
        <v>4.3960616570953112E-2</v>
      </c>
      <c r="AD20" s="71" cm="1">
        <f t="array" ref="AD20">SUMPRODUCT((raw_ub[[who_region]:[who_region]]=$A20)*raw[[births]:[births]]*raw_ub[m_14]*(LEN(raw_ub[m_14])&gt;1)*(LEN(raw_ub[[bd_cov]:[bd_cov]])&gt;interactive!$C$6))/SUMPRODUCT((raw_ub[[who_region]:[who_region]]=$A20)*raw[[births]:[births]]*(LEN(raw_ub[m_14])&gt;1)*(LEN(raw_ub[[bd_cov]:[bd_cov]])&gt;interactive!$C$6))</f>
        <v>4.5102862374344207E-3</v>
      </c>
      <c r="AE20" s="71" cm="1">
        <f t="array" ref="AE20">SUMPRODUCT((raw_ub[[who_region]:[who_region]]=$A20)*raw[[births]:[births]]*raw_ub[m_59]*(LEN(raw_ub[m_59])&gt;1)*(LEN(raw_ub[[bd_cov]:[bd_cov]])&gt;interactive!$C$6))/SUMPRODUCT((raw_ub[[who_region]:[who_region]]=$A20)*raw[[births]:[births]]*(LEN(raw_ub[m_59])&gt;1)*(LEN(raw_ub[[bd_cov]:[bd_cov]])&gt;interactive!$C$6))</f>
        <v>1.6216236180735884E-3</v>
      </c>
      <c r="AF20" s="71" cm="1">
        <f t="array" ref="AF20">SUMPRODUCT((raw_ub[[who_region]:[who_region]]=$A20)*raw[[births]:[births]]*raw_ub[m_1014]*(LEN(raw_ub[m_1014])&gt;1)*(LEN(raw_ub[[bd_cov]:[bd_cov]])&gt;interactive!$C$6))/SUMPRODUCT((raw_ub[[who_region]:[who_region]]=$A20)*raw[[births]:[births]]*(LEN(raw_ub[m_1014])&gt;1)*(LEN(raw_ub[[bd_cov]:[bd_cov]])&gt;interactive!$C$6))</f>
        <v>1.1548385124794437E-3</v>
      </c>
      <c r="AG20" s="71" cm="1">
        <f t="array" ref="AG20">SUMPRODUCT((raw_ub[[who_region]:[who_region]]=$A20)*raw[[births]:[births]]*raw_ub[m_1519]*(LEN(raw_ub[m_1519])&gt;1)*(LEN(raw_ub[[bd_cov]:[bd_cov]])&gt;interactive!$C$6))/SUMPRODUCT((raw_ub[[who_region]:[who_region]]=$A20)*raw[[births]:[births]]*(LEN(raw_ub[m_1519])&gt;1)*(LEN(raw_ub[[bd_cov]:[bd_cov]])&gt;interactive!$C$6))</f>
        <v>1.7267778849235024E-3</v>
      </c>
      <c r="AH20" s="71" cm="1">
        <f t="array" ref="AH20">SUMPRODUCT((raw_ub[[who_region]:[who_region]]=$A20)*raw[[births]:[births]]*raw_ub[m_2024]*(LEN(raw_ub[m_2024])&gt;1)*(LEN(raw_ub[[bd_cov]:[bd_cov]])&gt;interactive!$C$6))/SUMPRODUCT((raw_ub[[who_region]:[who_region]]=$A20)*raw[[births]:[births]]*(LEN(raw_ub[m_2024])&gt;1)*(LEN(raw_ub[[bd_cov]:[bd_cov]])&gt;interactive!$C$6))</f>
        <v>2.5237426041156618E-3</v>
      </c>
      <c r="AI20" s="71" cm="1">
        <f t="array" ref="AI20">SUMPRODUCT((raw_ub[[who_region]:[who_region]]=$A20)*raw[[births]:[births]]*raw_ub[m_2529]*(LEN(raw_ub[m_2529])&gt;1)*(LEN(raw_ub[[bd_cov]:[bd_cov]])&gt;interactive!$C$6))/SUMPRODUCT((raw_ub[[who_region]:[who_region]]=$A20)*raw[[births]:[births]]*(LEN(raw_ub[m_2529])&gt;1)*(LEN(raw_ub[[bd_cov]:[bd_cov]])&gt;interactive!$C$6))</f>
        <v>3.1369048235664341E-3</v>
      </c>
      <c r="AJ20" s="71" cm="1">
        <f t="array" ref="AJ20">SUMPRODUCT((raw_ub[[who_region]:[who_region]]=$A20)*raw[[births]:[births]]*raw_ub[m_3034]*(LEN(raw_ub[m_3034])&gt;1)*(LEN(raw_ub[[bd_cov]:[bd_cov]])&gt;interactive!$C$6))/SUMPRODUCT((raw_ub[[who_region]:[who_region]]=$A20)*raw[[births]:[births]]*(LEN(raw_ub[m_3034])&gt;1)*(LEN(raw_ub[[bd_cov]:[bd_cov]])&gt;interactive!$C$6))</f>
        <v>3.8273396975674954E-3</v>
      </c>
      <c r="AK20" s="71" cm="1">
        <f t="array" ref="AK20">SUMPRODUCT((raw_ub[[who_region]:[who_region]]=$A20)*raw[[births]:[births]]*raw_ub[m_3539]*(LEN(raw_ub[m_3539])&gt;1)*(LEN(raw_ub[[bd_cov]:[bd_cov]])&gt;interactive!$C$6))/SUMPRODUCT((raw_ub[[who_region]:[who_region]]=$A20)*raw[[births]:[births]]*(LEN(raw_ub[m_3539])&gt;1)*(LEN(raw_ub[[bd_cov]:[bd_cov]])&gt;interactive!$C$6))</f>
        <v>4.8320926922459147E-3</v>
      </c>
      <c r="AL20" s="71" cm="1">
        <f t="array" ref="AL20">SUMPRODUCT((raw_ub[[who_region]:[who_region]]=$A20)*raw[[births]:[births]]*raw_ub[m_4044]*(LEN(raw_ub[m_4044])&gt;1)*(LEN(raw_ub[[bd_cov]:[bd_cov]])&gt;interactive!$C$6))/SUMPRODUCT((raw_ub[[who_region]:[who_region]]=$A20)*raw[[births]:[births]]*(LEN(raw_ub[m_4044])&gt;1)*(LEN(raw_ub[[bd_cov]:[bd_cov]])&gt;interactive!$C$6))</f>
        <v>6.0095521606238463E-3</v>
      </c>
      <c r="AM20" s="71" cm="1">
        <f t="array" ref="AM20">SUMPRODUCT((raw_ub[[who_region]:[who_region]]=$A20)*raw[[births]:[births]]*raw_ub[m_4549]*(LEN(raw_ub[m_4549])&gt;1)*(LEN(raw_ub[[bd_cov]:[bd_cov]])&gt;interactive!$C$6))/SUMPRODUCT((raw_ub[[who_region]:[who_region]]=$A20)*raw[[births]:[births]]*(LEN(raw_ub[m_4549])&gt;1)*(LEN(raw_ub[[bd_cov]:[bd_cov]])&gt;interactive!$C$6))</f>
        <v>7.5103240758473463E-3</v>
      </c>
      <c r="AN20" s="71" cm="1">
        <f t="array" ref="AN20">SUMPRODUCT((raw_ub[[who_region]:[who_region]]=$A20)*raw[[births]:[births]]*raw_ub[m_5054]*(LEN(raw_ub[m_5054])&gt;1)*(LEN(raw_ub[[bd_cov]:[bd_cov]])&gt;interactive!$C$6))/SUMPRODUCT((raw_ub[[who_region]:[who_region]]=$A20)*raw[[births]:[births]]*(LEN(raw_ub[m_5054])&gt;1)*(LEN(raw_ub[[bd_cov]:[bd_cov]])&gt;interactive!$C$6))</f>
        <v>1.0148017849716503E-2</v>
      </c>
      <c r="AO20" s="71" cm="1">
        <f t="array" ref="AO20">SUMPRODUCT((raw_ub[[who_region]:[who_region]]=$A20)*raw[[births]:[births]]*raw_ub[m_5559]*(LEN(raw_ub[m_5559])&gt;1)*(LEN(raw_ub[[bd_cov]:[bd_cov]])&gt;interactive!$C$6))/SUMPRODUCT((raw_ub[[who_region]:[who_region]]=$A20)*raw[[births]:[births]]*(LEN(raw_ub[m_5559])&gt;1)*(LEN(raw_ub[[bd_cov]:[bd_cov]])&gt;interactive!$C$6))</f>
        <v>1.3518334294243929E-2</v>
      </c>
      <c r="AP20" s="71" cm="1">
        <f t="array" ref="AP20">SUMPRODUCT((raw_ub[[who_region]:[who_region]]=$A20)*raw[[births]:[births]]*raw_ub[m_6064]*(LEN(raw_ub[m_6064])&gt;1)*(LEN(raw_ub[[bd_cov]:[bd_cov]])&gt;interactive!$C$6))/SUMPRODUCT((raw_ub[[who_region]:[who_region]]=$A20)*raw[[births]:[births]]*(LEN(raw_ub[m_6064])&gt;1)*(LEN(raw_ub[[bd_cov]:[bd_cov]])&gt;interactive!$C$6))</f>
        <v>1.9746668846829175E-2</v>
      </c>
      <c r="AQ20" s="71" cm="1">
        <f t="array" ref="AQ20">SUMPRODUCT((raw_ub[[who_region]:[who_region]]=$A20)*raw[[births]:[births]]*raw_ub[m_6569]*(LEN(raw_ub[m_6569])&gt;1)*(LEN(raw_ub[[bd_cov]:[bd_cov]])&gt;interactive!$C$6))/SUMPRODUCT((raw_ub[[who_region]:[who_region]]=$A20)*raw[[births]:[births]]*(LEN(raw_ub[m_6569])&gt;1)*(LEN(raw_ub[[bd_cov]:[bd_cov]])&gt;interactive!$C$6))</f>
        <v>2.9443635374628362E-2</v>
      </c>
      <c r="AR20" s="71" cm="1">
        <f t="array" ref="AR20">SUMPRODUCT((raw_ub[[who_region]:[who_region]]=$A20)*raw[[births]:[births]]*raw_ub[m_7074]*(LEN(raw_ub[m_7074])&gt;1)*(LEN(raw_ub[[bd_cov]:[bd_cov]])&gt;interactive!$C$6))/SUMPRODUCT((raw_ub[[who_region]:[who_region]]=$A20)*raw[[births]:[births]]*(LEN(raw_ub[m_7074])&gt;1)*(LEN(raw_ub[[bd_cov]:[bd_cov]])&gt;interactive!$C$6))</f>
        <v>4.5231239273307286E-2</v>
      </c>
      <c r="AS20" s="71" cm="1">
        <f t="array" ref="AS20">SUMPRODUCT((raw_ub[[who_region]:[who_region]]=$A20)*raw[[births]:[births]]*raw_ub[m_7079]*(LEN(raw_ub[m_7079])&gt;1)*(LEN(raw_ub[[bd_cov]:[bd_cov]])&gt;interactive!$C$6))/SUMPRODUCT((raw_ub[[who_region]:[who_region]]=$A20)*raw[[births]:[births]]*(LEN(raw_ub[m_7079])&gt;1)*(LEN(raw_ub[[bd_cov]:[bd_cov]])&gt;interactive!$C$6))</f>
        <v>6.9015787047527269E-2</v>
      </c>
      <c r="AT20" s="71" cm="1">
        <f t="array" ref="AT20">SUMPRODUCT((raw_ub[[who_region]:[who_region]]=$A20)*raw[[births]:[births]]*raw_ub[m_8084]*(LEN(raw_ub[m_8084])&gt;1)*(LEN(raw_ub[[bd_cov]:[bd_cov]])&gt;interactive!$C$6))/SUMPRODUCT((raw_ub[[who_region]:[who_region]]=$A20)*raw[[births]:[births]]*(LEN(raw_ub[m_8084])&gt;1)*(LEN(raw_ub[[bd_cov]:[bd_cov]])&gt;interactive!$C$6))</f>
        <v>0.10258840144092006</v>
      </c>
      <c r="AU20" s="71" cm="1">
        <f t="array" ref="AU20">SUMPRODUCT((raw_ub[[who_region]:[who_region]]=$A20)*raw[[births]:[births]]*raw_ub[m_8589]*(LEN(raw_ub[m_8589])&gt;1)*(LEN(raw_ub[[bd_cov]:[bd_cov]])&gt;interactive!$C$6))/SUMPRODUCT((raw_ub[[who_region]:[who_region]]=$A20)*raw[[births]:[births]]*(LEN(raw_ub[m_8589])&gt;1)*(LEN(raw_ub[[bd_cov]:[bd_cov]])&gt;interactive!$C$6))</f>
        <v>0.14011781827359593</v>
      </c>
      <c r="AV20" s="71" cm="1">
        <f t="array" ref="AV20">SUMPRODUCT((raw_ub[[who_region]:[who_region]]=$A20)*raw[[births]:[births]]*raw_ub[m_9094]*(LEN(raw_ub[m_9094])&gt;1)*(LEN(raw_ub[[bd_cov]:[bd_cov]])&gt;interactive!$C$6))/SUMPRODUCT((raw_ub[[who_region]:[who_region]]=$A20)*raw[[births]:[births]]*(LEN(raw_ub[m_9094])&gt;1)*(LEN(raw_ub[[bd_cov]:[bd_cov]])&gt;interactive!$C$6))</f>
        <v>0.17150440828683911</v>
      </c>
      <c r="AW20" s="71" cm="1">
        <f t="array" ref="AW20">SUMPRODUCT((raw_ub[[who_region]:[who_region]]=$A20)*raw[[births]:[births]]*raw_ub[m_95+]*(LEN(raw_ub[m_95+])&gt;1)*(LEN(raw_ub[[bd_cov]:[bd_cov]])&gt;interactive!$C$6))/SUMPRODUCT((raw_ub[[who_region]:[who_region]]=$A20)*raw[[births]:[births]]*(LEN(raw_ub[m_95+])&gt;1)*(LEN(raw_ub[[bd_cov]:[bd_cov]])&gt;interactive!$C$6))</f>
        <v>0.18842603323063375</v>
      </c>
      <c r="AX20" s="71" cm="1">
        <f t="array" ref="AX20">SUMPRODUCT((raw_ub[[who_region]:[who_region]]=$A20)*raw[[births]:[births]]*raw_ub[av_life]*(LEN(raw_ub[av_life])&gt;1)*(LEN(raw_ub[[bd_cov]:[bd_cov]])&gt;interactive!$C$6))/SUMPRODUCT((raw_ub[[who_region]:[who_region]]=$A20)*raw[[births]:[births]]*(LEN(raw_ub[av_life])&gt;1)*(LEN(raw_ub[[bd_cov]:[bd_cov]])&gt;interactive!$C$6))</f>
        <v>69.30439413247467</v>
      </c>
    </row>
    <row r="21" spans="1:51" x14ac:dyDescent="0.25">
      <c r="A21" s="66" t="s">
        <v>215</v>
      </c>
      <c r="J21" s="68" cm="1">
        <f t="array" ref="J21">SUMPRODUCT((raw_ub[[who_region]:[who_region]]=$A21)*raw[[births]:[births]]*raw_ub[fac_birth]*(LEN(raw_ub[fac_birth])&gt;1)*(LEN(raw_ub[[bd_cov]:[bd_cov]])&gt;interactive!$C$6))/SUMPRODUCT((raw_ub[[who_region]:[who_region]]=$A21)*raw[[births]:[births]]*(LEN(raw_ub[fac_birth])&gt;1)*(LEN(raw_ub[[bd_cov]:[bd_cov]])&gt;interactive!$C$6))</f>
        <v>0.97771923296421437</v>
      </c>
      <c r="K21" s="68" cm="1">
        <f t="array" ref="K21">SUMPRODUCT((raw_ub[[who_region]:[who_region]]=$A21)*raw[[births]:[births]]*raw_ub[bd_cov]*(LEN(raw_ub[bd_cov])&gt;1)*(LEN(raw_ub[[bd_cov]:[bd_cov]])&gt;interactive!$C$6))/SUMPRODUCT((raw_ub[[who_region]:[who_region]]=$A21)*raw[[births]:[births]]*(LEN(raw_ub[bd_cov])&gt;1)*(LEN(raw_ub[[bd_cov]:[bd_cov]])&gt;interactive!$C$6))</f>
        <v>0.66610190147962733</v>
      </c>
      <c r="L21" s="68" cm="1">
        <f t="array" ref="L21">SUMPRODUCT((raw_ub[[who_region]:[who_region]]=$A21)*raw[[births]:[births]]*raw_ub[hbv3_cov]*(LEN(raw_ub[hbv3_cov])&gt;1)*(LEN(raw_ub[[bd_cov]:[bd_cov]])&gt;interactive!$C$6))/SUMPRODUCT((raw_ub[[who_region]:[who_region]]=$A21)*raw[[births]:[births]]*(LEN(raw_ub[hbv3_cov])&gt;1)*(LEN(raw_ub[[bd_cov]:[bd_cov]])&gt;interactive!$C$6))</f>
        <v>0.81197645642624205</v>
      </c>
      <c r="M21" s="68" cm="1">
        <f t="array" ref="M21">SUMPRODUCT((raw_ub[[who_region]:[who_region]]=$A21)*raw[[births]:[births]]*raw_ub[hbv_prev]*(LEN(raw_ub[hbv_prev])&gt;1)*(LEN(raw_ub[[bd_cov]:[bd_cov]])&gt;interactive!$C$6))/SUMPRODUCT((raw_ub[[who_region]:[who_region]]=$A21)*raw[[births]:[births]]*(LEN(raw_ub[hbv_prev])&gt;1)*(LEN(raw_ub[[bd_cov]:[bd_cov]])&gt;interactive!$C$6))</f>
        <v>1.1610800900607111E-2</v>
      </c>
      <c r="N21" s="68" cm="1">
        <f t="array" ref="N21">SUMPRODUCT((raw_ub[[who_region]:[who_region]]=$A21)*raw[[births]:[births]]*raw_ub[hbe_prev]*(LEN(raw_ub[hbe_prev])&gt;1)*(LEN(raw_ub[[bd_cov]:[bd_cov]])&gt;interactive!$C$6))/SUMPRODUCT((raw_ub[[who_region]:[who_region]]=$A21)*raw[[births]:[births]]*(LEN(raw_ub[hbe_prev])&gt;1)*(LEN(raw_ub[[bd_cov]:[bd_cov]])&gt;interactive!$C$6))</f>
        <v>0.43293946064750871</v>
      </c>
      <c r="O21" s="68" cm="1">
        <f t="array" ref="O21">SUMPRODUCT((raw_ub[[who_region]:[who_region]]=$A21)*raw[[births]:[births]]*raw_ub[epos]*(LEN(raw_ub[epos])&gt;1)*(LEN(raw_ub[[bd_cov]:[bd_cov]])&gt;interactive!$C$6))/SUMPRODUCT((raw_ub[[who_region]:[who_region]]=$A21)*raw[[births]:[births]]*(LEN(raw_ub[epos])&gt;1)*(LEN(raw_ub[[bd_cov]:[bd_cov]])&gt;interactive!$C$6))</f>
        <v>0.8999999999999998</v>
      </c>
      <c r="P21" s="68" cm="1">
        <f t="array" ref="P21">SUMPRODUCT((raw_ub[[who_region]:[who_region]]=$A21)*raw[[births]:[births]]*raw_ub[eneg]*(LEN(raw_ub[eneg])&gt;1)*(LEN(raw_ub[[bd_cov]:[bd_cov]])&gt;interactive!$C$6))/SUMPRODUCT((raw_ub[[who_region]:[who_region]]=$A21)*raw[[births]:[births]]*(LEN(raw_ub[eneg])&gt;1)*(LEN(raw_ub[[bd_cov]:[bd_cov]])&gt;interactive!$C$6))</f>
        <v>0.3</v>
      </c>
      <c r="Q21" s="69" cm="1">
        <f t="array" ref="Q21">SUMPRODUCT((raw_ub[[who_region]:[who_region]]=$A21)*raw[[births]:[births]]*raw_ub[c_diag]*(LEN(raw_ub[c_diag])&gt;1)*(LEN(raw_ub[[bd_cov]:[bd_cov]])&gt;interactive!$C$6))/SUMPRODUCT((raw_ub[[who_region]:[who_region]]=$A21)*raw[[births]:[births]]*(LEN(raw_ub[c_diag])&gt;1)*(LEN(raw_ub[[bd_cov]:[bd_cov]])&gt;interactive!$C$6))</f>
        <v>28.383547465435452</v>
      </c>
      <c r="R21" s="69" cm="1">
        <f t="array" ref="R21">SUMPRODUCT((raw_ub[[who_region]:[who_region]]=$A21)*raw[[births]:[births]]*raw_ub[c_C]*(LEN(raw_ub[c_C])&gt;1)*(LEN(raw_ub[[bd_cov]:[bd_cov]])&gt;interactive!$C$6))/SUMPRODUCT((raw_ub[[who_region]:[who_region]]=$A21)*raw[[births]:[births]]*(LEN(raw_ub[c_C])&gt;1)*(LEN(raw_ub[[bd_cov]:[bd_cov]])&gt;interactive!$C$6))</f>
        <v>137.36934746543545</v>
      </c>
      <c r="S21" s="69" cm="1">
        <f t="array" ref="S21">SUMPRODUCT((raw_ub[[who_region]:[who_region]]=$A21)*raw[[births]:[births]]*raw_ub[c_CC]*(LEN(raw_ub[c_CC])&gt;1)*(LEN(raw_ub[[bd_cov]:[bd_cov]])&gt;interactive!$C$6))/SUMPRODUCT((raw_ub[[who_region]:[who_region]]=$A21)*raw[[births]:[births]]*(LEN(raw_ub[c_CC])&gt;1)*(LEN(raw_ub[[bd_cov]:[bd_cov]])&gt;interactive!$C$6))</f>
        <v>226.03829669347306</v>
      </c>
      <c r="T21" s="69" cm="1">
        <f t="array" ref="T21">SUMPRODUCT((raw_ub[[who_region]:[who_region]]=$A21)*raw[[births]:[births]]*raw_ub[c_DC]*(LEN(raw_ub[c_DC])&gt;1)*(LEN(raw_ub[[bd_cov]:[bd_cov]])&gt;interactive!$C$6))/SUMPRODUCT((raw_ub[[who_region]:[who_region]]=$A21)*raw[[births]:[births]]*(LEN(raw_ub[c_DC])&gt;1)*(LEN(raw_ub[[bd_cov]:[bd_cov]])&gt;interactive!$C$6))</f>
        <v>256.97939695767519</v>
      </c>
      <c r="U21" s="69" cm="1">
        <f t="array" ref="U21">SUMPRODUCT((raw_ub[[who_region]:[who_region]]=$A21)*raw[[births]:[births]]*raw_ub[c_HCC]*(LEN(raw_ub[c_HCC])&gt;1)*(LEN(raw_ub[[bd_cov]:[bd_cov]])&gt;interactive!$C$6))/SUMPRODUCT((raw_ub[[who_region]:[who_region]]=$A21)*raw[[births]:[births]]*(LEN(raw_ub[c_HCC])&gt;1)*(LEN(raw_ub[[bd_cov]:[bd_cov]])&gt;interactive!$C$6))</f>
        <v>242.77189772789524</v>
      </c>
      <c r="V21" s="69" cm="1">
        <f t="array" ref="V21">SUMPRODUCT((raw_ub[[who_region]:[who_region]]=$A21)*raw[[births]:[births]]*raw_ub[bl1_f]*(LEN(raw_ub[bl1_f])&gt;1)*(LEN(raw_ub[[bd_cov]:[bd_cov]])&gt;interactive!$C$6))/SUMPRODUCT((raw_ub[[who_region]:[who_region]]=$A21)*raw[[births]:[births]]*(LEN(raw_ub[bl1_f])&gt;1)*(LEN(raw_ub[[bd_cov]:[bd_cov]])&gt;interactive!$C$6))</f>
        <v>6.8725684467781294</v>
      </c>
      <c r="W21" s="69" cm="1">
        <f t="array" ref="W21">SUMPRODUCT((raw_ub[[who_region]:[who_region]]=$A21)*raw[[births]:[births]]*raw_ub[bl1_c]*(LEN(raw_ub[bl1_c])&gt;1)*(LEN(raw_ub[[bd_cov]:[bd_cov]])&gt;interactive!$C$6))/SUMPRODUCT((raw_ub[[who_region]:[who_region]]=$A21)*raw[[births]:[births]]*(LEN(raw_ub[bl1_c])&gt;1)*(LEN(raw_ub[[bd_cov]:[bd_cov]])&gt;interactive!$C$6))</f>
        <v>6.8935684467781275</v>
      </c>
      <c r="X21" s="69" cm="1">
        <f t="array" ref="X21">SUMPRODUCT((raw_ub[[who_region]:[who_region]]=$A21)*raw[[births]:[births]]*raw_ub[map_f]*(LEN(raw_ub[map_f])&gt;1)*(LEN(raw_ub[[bd_cov]:[bd_cov]])&gt;interactive!$C$6))/SUMPRODUCT((raw_ub[[who_region]:[who_region]]=$A21)*raw[[births]:[births]]*(LEN(raw_ub[map_f])&gt;1)*(LEN(raw_ub[[bd_cov]:[bd_cov]])&gt;interactive!$C$6))</f>
        <v>6.8267875962263993</v>
      </c>
      <c r="Y21" s="69" cm="1">
        <f t="array" ref="Y21">SUMPRODUCT((raw_ub[[who_region]:[who_region]]=$A21)*raw[[births]:[births]]*raw_ub[map_cq]*(LEN(raw_ub[map_cq])&gt;1)*(LEN(raw_ub[[bd_cov]:[bd_cov]])&gt;interactive!$C$6))/SUMPRODUCT((raw_ub[[who_region]:[who_region]]=$A21)*raw[[births]:[births]]*(LEN(raw_ub[map_cq])&gt;1)*(LEN(raw_ub[[bd_cov]:[bd_cov]])&gt;interactive!$C$6))</f>
        <v>6.8477875962263965</v>
      </c>
      <c r="Z21" s="69" cm="1">
        <f t="array" ref="Z21">SUMPRODUCT((raw_ub[[who_region]:[who_region]]=$A21)*raw[[births]:[births]]*raw_ub[map_cl]*(LEN(raw_ub[map_cl])&gt;1)*(LEN(raw_ub[[bd_cov]:[bd_cov]])&gt;interactive!$C$6))/SUMPRODUCT((raw_ub[[who_region]:[who_region]]=$A21)*raw[[births]:[births]]*(LEN(raw_ub[map_cl])&gt;1)*(LEN(raw_ub[[bd_cov]:[bd_cov]])&gt;interactive!$C$6))</f>
        <v>6.8216802287954108</v>
      </c>
      <c r="AA21" s="69" cm="1">
        <f t="array" ref="AA21">SUMPRODUCT((raw_ub[[who_region]:[who_region]]=$A21)*raw[[births]:[births]]*raw_ub[ctc_f]*(LEN(raw_ub[ctc_f])&gt;1)*(LEN(raw_ub[[bd_cov]:[bd_cov]])&gt;interactive!$C$6))/SUMPRODUCT((raw_ub[[who_region]:[who_region]]=$A21)*raw[[births]:[births]]*(LEN(raw_ub[ctc_f])&gt;1)*(LEN(raw_ub[[bd_cov]:[bd_cov]])&gt;interactive!$C$6))</f>
        <v>6.8831332584439124</v>
      </c>
      <c r="AB21" s="69" cm="1">
        <f t="array" ref="AB21">SUMPRODUCT((raw_ub[[who_region]:[who_region]]=$A21)*raw[[births]:[births]]*raw_ub[ctc_c]*(LEN(raw_ub[ctc_c])&gt;1)*(LEN(raw_ub[[bd_cov]:[bd_cov]])&gt;interactive!$C$6))/SUMPRODUCT((raw_ub[[who_region]:[who_region]]=$A21)*raw[[births]:[births]]*(LEN(raw_ub[ctc_c])&gt;1)*(LEN(raw_ub[[bd_cov]:[bd_cov]])&gt;interactive!$C$6))</f>
        <v>6.9041332584439097</v>
      </c>
      <c r="AC21" s="71" cm="1">
        <f t="array" ref="AC21">SUMPRODUCT((raw_ub[[who_region]:[who_region]]=$A21)*raw[[births]:[births]]*raw_ub[m_01]*(LEN(raw_ub[m_01])&gt;1)*(LEN(raw_ub[[bd_cov]:[bd_cov]])&gt;interactive!$C$6))/SUMPRODUCT((raw_ub[[who_region]:[who_region]]=$A21)*raw[[births]:[births]]*(LEN(raw_ub[m_01])&gt;1)*(LEN(raw_ub[[bd_cov]:[bd_cov]])&gt;interactive!$C$6))</f>
        <v>1.4875370157604029E-2</v>
      </c>
      <c r="AD21" s="71" cm="1">
        <f t="array" ref="AD21">SUMPRODUCT((raw_ub[[who_region]:[who_region]]=$A21)*raw[[births]:[births]]*raw_ub[m_14]*(LEN(raw_ub[m_14])&gt;1)*(LEN(raw_ub[[bd_cov]:[bd_cov]])&gt;interactive!$C$6))/SUMPRODUCT((raw_ub[[who_region]:[who_region]]=$A21)*raw[[births]:[births]]*(LEN(raw_ub[m_14])&gt;1)*(LEN(raw_ub[[bd_cov]:[bd_cov]])&gt;interactive!$C$6))</f>
        <v>7.0112819915565071E-4</v>
      </c>
      <c r="AE21" s="71" cm="1">
        <f t="array" ref="AE21">SUMPRODUCT((raw_ub[[who_region]:[who_region]]=$A21)*raw[[births]:[births]]*raw_ub[m_59]*(LEN(raw_ub[m_59])&gt;1)*(LEN(raw_ub[[bd_cov]:[bd_cov]])&gt;interactive!$C$6))/SUMPRODUCT((raw_ub[[who_region]:[who_region]]=$A21)*raw[[births]:[births]]*(LEN(raw_ub[m_59])&gt;1)*(LEN(raw_ub[[bd_cov]:[bd_cov]])&gt;interactive!$C$6))</f>
        <v>3.0733935718052805E-4</v>
      </c>
      <c r="AF21" s="71" cm="1">
        <f t="array" ref="AF21">SUMPRODUCT((raw_ub[[who_region]:[who_region]]=$A21)*raw[[births]:[births]]*raw_ub[m_1014]*(LEN(raw_ub[m_1014])&gt;1)*(LEN(raw_ub[[bd_cov]:[bd_cov]])&gt;interactive!$C$6))/SUMPRODUCT((raw_ub[[who_region]:[who_region]]=$A21)*raw[[births]:[births]]*(LEN(raw_ub[m_1014])&gt;1)*(LEN(raw_ub[[bd_cov]:[bd_cov]])&gt;interactive!$C$6))</f>
        <v>3.7223009148719654E-4</v>
      </c>
      <c r="AG21" s="71" cm="1">
        <f t="array" ref="AG21">SUMPRODUCT((raw_ub[[who_region]:[who_region]]=$A21)*raw[[births]:[births]]*raw_ub[m_1519]*(LEN(raw_ub[m_1519])&gt;1)*(LEN(raw_ub[[bd_cov]:[bd_cov]])&gt;interactive!$C$6))/SUMPRODUCT((raw_ub[[who_region]:[who_region]]=$A21)*raw[[births]:[births]]*(LEN(raw_ub[m_1519])&gt;1)*(LEN(raw_ub[[bd_cov]:[bd_cov]])&gt;interactive!$C$6))</f>
        <v>1.0030664302677051E-3</v>
      </c>
      <c r="AH21" s="71" cm="1">
        <f t="array" ref="AH21">SUMPRODUCT((raw_ub[[who_region]:[who_region]]=$A21)*raw[[births]:[births]]*raw_ub[m_2024]*(LEN(raw_ub[m_2024])&gt;1)*(LEN(raw_ub[[bd_cov]:[bd_cov]])&gt;interactive!$C$6))/SUMPRODUCT((raw_ub[[who_region]:[who_region]]=$A21)*raw[[births]:[births]]*(LEN(raw_ub[m_2024])&gt;1)*(LEN(raw_ub[[bd_cov]:[bd_cov]])&gt;interactive!$C$6))</f>
        <v>1.5885208150400254E-3</v>
      </c>
      <c r="AI21" s="71" cm="1">
        <f t="array" ref="AI21">SUMPRODUCT((raw_ub[[who_region]:[who_region]]=$A21)*raw[[births]:[births]]*raw_ub[m_2529]*(LEN(raw_ub[m_2529])&gt;1)*(LEN(raw_ub[[bd_cov]:[bd_cov]])&gt;interactive!$C$6))/SUMPRODUCT((raw_ub[[who_region]:[who_region]]=$A21)*raw[[births]:[births]]*(LEN(raw_ub[m_2529])&gt;1)*(LEN(raw_ub[[bd_cov]:[bd_cov]])&gt;interactive!$C$6))</f>
        <v>1.7499761556073602E-3</v>
      </c>
      <c r="AJ21" s="71" cm="1">
        <f t="array" ref="AJ21">SUMPRODUCT((raw_ub[[who_region]:[who_region]]=$A21)*raw[[births]:[births]]*raw_ub[m_3034]*(LEN(raw_ub[m_3034])&gt;1)*(LEN(raw_ub[[bd_cov]:[bd_cov]])&gt;interactive!$C$6))/SUMPRODUCT((raw_ub[[who_region]:[who_region]]=$A21)*raw[[births]:[births]]*(LEN(raw_ub[m_3034])&gt;1)*(LEN(raw_ub[[bd_cov]:[bd_cov]])&gt;interactive!$C$6))</f>
        <v>1.9569589110526213E-3</v>
      </c>
      <c r="AK21" s="71" cm="1">
        <f t="array" ref="AK21">SUMPRODUCT((raw_ub[[who_region]:[who_region]]=$A21)*raw[[births]:[births]]*raw_ub[m_3539]*(LEN(raw_ub[m_3539])&gt;1)*(LEN(raw_ub[[bd_cov]:[bd_cov]])&gt;interactive!$C$6))/SUMPRODUCT((raw_ub[[who_region]:[who_region]]=$A21)*raw[[births]:[births]]*(LEN(raw_ub[m_3539])&gt;1)*(LEN(raw_ub[[bd_cov]:[bd_cov]])&gt;interactive!$C$6))</f>
        <v>2.3136991765487884E-3</v>
      </c>
      <c r="AL21" s="71" cm="1">
        <f t="array" ref="AL21">SUMPRODUCT((raw_ub[[who_region]:[who_region]]=$A21)*raw[[births]:[births]]*raw_ub[m_4044]*(LEN(raw_ub[m_4044])&gt;1)*(LEN(raw_ub[[bd_cov]:[bd_cov]])&gt;interactive!$C$6))/SUMPRODUCT((raw_ub[[who_region]:[who_region]]=$A21)*raw[[births]:[births]]*(LEN(raw_ub[m_4044])&gt;1)*(LEN(raw_ub[[bd_cov]:[bd_cov]])&gt;interactive!$C$6))</f>
        <v>2.9473256505067823E-3</v>
      </c>
      <c r="AM21" s="71" cm="1">
        <f t="array" ref="AM21">SUMPRODUCT((raw_ub[[who_region]:[who_region]]=$A21)*raw[[births]:[births]]*raw_ub[m_4549]*(LEN(raw_ub[m_4549])&gt;1)*(LEN(raw_ub[[bd_cov]:[bd_cov]])&gt;interactive!$C$6))/SUMPRODUCT((raw_ub[[who_region]:[who_region]]=$A21)*raw[[births]:[births]]*(LEN(raw_ub[m_4549])&gt;1)*(LEN(raw_ub[[bd_cov]:[bd_cov]])&gt;interactive!$C$6))</f>
        <v>4.1233860830386946E-3</v>
      </c>
      <c r="AN21" s="71" cm="1">
        <f t="array" ref="AN21">SUMPRODUCT((raw_ub[[who_region]:[who_region]]=$A21)*raw[[births]:[births]]*raw_ub[m_5054]*(LEN(raw_ub[m_5054])&gt;1)*(LEN(raw_ub[[bd_cov]:[bd_cov]])&gt;interactive!$C$6))/SUMPRODUCT((raw_ub[[who_region]:[who_region]]=$A21)*raw[[births]:[births]]*(LEN(raw_ub[m_5054])&gt;1)*(LEN(raw_ub[[bd_cov]:[bd_cov]])&gt;interactive!$C$6))</f>
        <v>5.9997128097811353E-3</v>
      </c>
      <c r="AO21" s="71" cm="1">
        <f t="array" ref="AO21">SUMPRODUCT((raw_ub[[who_region]:[who_region]]=$A21)*raw[[births]:[births]]*raw_ub[m_5559]*(LEN(raw_ub[m_5559])&gt;1)*(LEN(raw_ub[[bd_cov]:[bd_cov]])&gt;interactive!$C$6))/SUMPRODUCT((raw_ub[[who_region]:[who_region]]=$A21)*raw[[births]:[births]]*(LEN(raw_ub[m_5559])&gt;1)*(LEN(raw_ub[[bd_cov]:[bd_cov]])&gt;interactive!$C$6))</f>
        <v>8.7604179856467443E-3</v>
      </c>
      <c r="AP21" s="71" cm="1">
        <f t="array" ref="AP21">SUMPRODUCT((raw_ub[[who_region]:[who_region]]=$A21)*raw[[births]:[births]]*raw_ub[m_6064]*(LEN(raw_ub[m_6064])&gt;1)*(LEN(raw_ub[[bd_cov]:[bd_cov]])&gt;interactive!$C$6))/SUMPRODUCT((raw_ub[[who_region]:[who_region]]=$A21)*raw[[births]:[births]]*(LEN(raw_ub[m_6064])&gt;1)*(LEN(raw_ub[[bd_cov]:[bd_cov]])&gt;interactive!$C$6))</f>
        <v>1.3102874225191654E-2</v>
      </c>
      <c r="AQ21" s="71" cm="1">
        <f t="array" ref="AQ21">SUMPRODUCT((raw_ub[[who_region]:[who_region]]=$A21)*raw[[births]:[births]]*raw_ub[m_6569]*(LEN(raw_ub[m_6569])&gt;1)*(LEN(raw_ub[[bd_cov]:[bd_cov]])&gt;interactive!$C$6))/SUMPRODUCT((raw_ub[[who_region]:[who_region]]=$A21)*raw[[births]:[births]]*(LEN(raw_ub[m_6569])&gt;1)*(LEN(raw_ub[[bd_cov]:[bd_cov]])&gt;interactive!$C$6))</f>
        <v>1.9564147659307776E-2</v>
      </c>
      <c r="AR21" s="71" cm="1">
        <f t="array" ref="AR21">SUMPRODUCT((raw_ub[[who_region]:[who_region]]=$A21)*raw[[births]:[births]]*raw_ub[m_7074]*(LEN(raw_ub[m_7074])&gt;1)*(LEN(raw_ub[[bd_cov]:[bd_cov]])&gt;interactive!$C$6))/SUMPRODUCT((raw_ub[[who_region]:[who_region]]=$A21)*raw[[births]:[births]]*(LEN(raw_ub[m_7074])&gt;1)*(LEN(raw_ub[[bd_cov]:[bd_cov]])&gt;interactive!$C$6))</f>
        <v>2.8861622850957731E-2</v>
      </c>
      <c r="AS21" s="71" cm="1">
        <f t="array" ref="AS21">SUMPRODUCT((raw_ub[[who_region]:[who_region]]=$A21)*raw[[births]:[births]]*raw_ub[m_7079]*(LEN(raw_ub[m_7079])&gt;1)*(LEN(raw_ub[[bd_cov]:[bd_cov]])&gt;interactive!$C$6))/SUMPRODUCT((raw_ub[[who_region]:[who_region]]=$A21)*raw[[births]:[births]]*(LEN(raw_ub[m_7079])&gt;1)*(LEN(raw_ub[[bd_cov]:[bd_cov]])&gt;interactive!$C$6))</f>
        <v>4.318831098075631E-2</v>
      </c>
      <c r="AT21" s="71" cm="1">
        <f t="array" ref="AT21">SUMPRODUCT((raw_ub[[who_region]:[who_region]]=$A21)*raw[[births]:[births]]*raw_ub[m_8084]*(LEN(raw_ub[m_8084])&gt;1)*(LEN(raw_ub[[bd_cov]:[bd_cov]])&gt;interactive!$C$6))/SUMPRODUCT((raw_ub[[who_region]:[who_region]]=$A21)*raw[[births]:[births]]*(LEN(raw_ub[m_8084])&gt;1)*(LEN(raw_ub[[bd_cov]:[bd_cov]])&gt;interactive!$C$6))</f>
        <v>6.3407619549871438E-2</v>
      </c>
      <c r="AU21" s="71" cm="1">
        <f t="array" ref="AU21">SUMPRODUCT((raw_ub[[who_region]:[who_region]]=$A21)*raw[[births]:[births]]*raw_ub[m_8589]*(LEN(raw_ub[m_8589])&gt;1)*(LEN(raw_ub[[bd_cov]:[bd_cov]])&gt;interactive!$C$6))/SUMPRODUCT((raw_ub[[who_region]:[who_region]]=$A21)*raw[[births]:[births]]*(LEN(raw_ub[m_8589])&gt;1)*(LEN(raw_ub[[bd_cov]:[bd_cov]])&gt;interactive!$C$6))</f>
        <v>9.0559557216384118E-2</v>
      </c>
      <c r="AV21" s="71" cm="1">
        <f t="array" ref="AV21">SUMPRODUCT((raw_ub[[who_region]:[who_region]]=$A21)*raw[[births]:[births]]*raw_ub[m_9094]*(LEN(raw_ub[m_9094])&gt;1)*(LEN(raw_ub[[bd_cov]:[bd_cov]])&gt;interactive!$C$6))/SUMPRODUCT((raw_ub[[who_region]:[who_region]]=$A21)*raw[[births]:[births]]*(LEN(raw_ub[m_9094])&gt;1)*(LEN(raw_ub[[bd_cov]:[bd_cov]])&gt;interactive!$C$6))</f>
        <v>0.11911018832445608</v>
      </c>
      <c r="AW21" s="71" cm="1">
        <f t="array" ref="AW21">SUMPRODUCT((raw_ub[[who_region]:[who_region]]=$A21)*raw[[births]:[births]]*raw_ub[m_95+]*(LEN(raw_ub[m_95+])&gt;1)*(LEN(raw_ub[[bd_cov]:[bd_cov]])&gt;interactive!$C$6))/SUMPRODUCT((raw_ub[[who_region]:[who_region]]=$A21)*raw[[births]:[births]]*(LEN(raw_ub[m_95+])&gt;1)*(LEN(raw_ub[[bd_cov]:[bd_cov]])&gt;interactive!$C$6))</f>
        <v>0.15330693757163419</v>
      </c>
      <c r="AX21" s="71" cm="1">
        <f t="array" ref="AX21">SUMPRODUCT((raw_ub[[who_region]:[who_region]]=$A21)*raw[[births]:[births]]*raw_ub[av_life]*(LEN(raw_ub[av_life])&gt;1)*(LEN(raw_ub[[bd_cov]:[bd_cov]])&gt;interactive!$C$6))/SUMPRODUCT((raw_ub[[who_region]:[who_region]]=$A21)*raw[[births]:[births]]*(LEN(raw_ub[av_life])&gt;1)*(LEN(raw_ub[[bd_cov]:[bd_cov]])&gt;interactive!$C$6))</f>
        <v>79.185499765665284</v>
      </c>
    </row>
    <row r="22" spans="1:51" x14ac:dyDescent="0.25">
      <c r="A22" s="65" t="s">
        <v>196</v>
      </c>
      <c r="J22" s="68" cm="1">
        <f t="array" ref="J22">SUMPRODUCT((raw_ub[[who_region]:[who_region]]=$A22)*raw[[births]:[births]]*raw_ub[fac_birth]*(LEN(raw_ub[fac_birth])&gt;1)*(LEN(raw_ub[[bd_cov]:[bd_cov]])&gt;interactive!$C$6))/SUMPRODUCT((raw_ub[[who_region]:[who_region]]=$A22)*raw[[births]:[births]]*(LEN(raw_ub[fac_birth])&gt;1)*(LEN(raw_ub[[bd_cov]:[bd_cov]])&gt;interactive!$C$6))</f>
        <v>0.88160438493496018</v>
      </c>
      <c r="K22" s="68" cm="1">
        <f t="array" ref="K22">SUMPRODUCT((raw_ub[[who_region]:[who_region]]=$A22)*raw[[births]:[births]]*raw_ub[bd_cov]*(LEN(raw_ub[bd_cov])&gt;1)*(LEN(raw_ub[[bd_cov]:[bd_cov]])&gt;interactive!$C$6))/SUMPRODUCT((raw_ub[[who_region]:[who_region]]=$A22)*raw[[births]:[births]]*(LEN(raw_ub[bd_cov])&gt;1)*(LEN(raw_ub[[bd_cov]:[bd_cov]])&gt;interactive!$C$6))</f>
        <v>0.75761400085126362</v>
      </c>
      <c r="L22" s="68" cm="1">
        <f t="array" ref="L22">SUMPRODUCT((raw_ub[[who_region]:[who_region]]=$A22)*raw[[births]:[births]]*raw_ub[hbv3_cov]*(LEN(raw_ub[hbv3_cov])&gt;1)*(LEN(raw_ub[[bd_cov]:[bd_cov]])&gt;interactive!$C$6))/SUMPRODUCT((raw_ub[[who_region]:[who_region]]=$A22)*raw[[births]:[births]]*(LEN(raw_ub[hbv3_cov])&gt;1)*(LEN(raw_ub[[bd_cov]:[bd_cov]])&gt;interactive!$C$6))</f>
        <v>0.91456431952167516</v>
      </c>
      <c r="M22" s="68" cm="1">
        <f t="array" ref="M22">SUMPRODUCT((raw_ub[[who_region]:[who_region]]=$A22)*raw[[births]:[births]]*raw_ub[hbv_prev]*(LEN(raw_ub[hbv_prev])&gt;1)*(LEN(raw_ub[[bd_cov]:[bd_cov]])&gt;interactive!$C$6))/SUMPRODUCT((raw_ub[[who_region]:[who_region]]=$A22)*raw[[births]:[births]]*(LEN(raw_ub[hbv_prev])&gt;1)*(LEN(raw_ub[[bd_cov]:[bd_cov]])&gt;interactive!$C$6))</f>
        <v>1.8980670946307378E-2</v>
      </c>
      <c r="N22" s="68" cm="1">
        <f t="array" ref="N22">SUMPRODUCT((raw_ub[[who_region]:[who_region]]=$A22)*raw[[births]:[births]]*raw_ub[hbe_prev]*(LEN(raw_ub[hbe_prev])&gt;1)*(LEN(raw_ub[[bd_cov]:[bd_cov]])&gt;interactive!$C$6))/SUMPRODUCT((raw_ub[[who_region]:[who_region]]=$A22)*raw[[births]:[births]]*(LEN(raw_ub[hbe_prev])&gt;1)*(LEN(raw_ub[[bd_cov]:[bd_cov]])&gt;interactive!$C$6))</f>
        <v>0.37626410299895763</v>
      </c>
      <c r="O22" s="68" cm="1">
        <f t="array" ref="O22">SUMPRODUCT((raw_ub[[who_region]:[who_region]]=$A22)*raw[[births]:[births]]*raw_ub[epos]*(LEN(raw_ub[epos])&gt;1)*(LEN(raw_ub[[bd_cov]:[bd_cov]])&gt;interactive!$C$6))/SUMPRODUCT((raw_ub[[who_region]:[who_region]]=$A22)*raw[[births]:[births]]*(LEN(raw_ub[epos])&gt;1)*(LEN(raw_ub[[bd_cov]:[bd_cov]])&gt;interactive!$C$6))</f>
        <v>0.89958069120871198</v>
      </c>
      <c r="P22" s="68" cm="1">
        <f t="array" ref="P22">SUMPRODUCT((raw_ub[[who_region]:[who_region]]=$A22)*raw[[births]:[births]]*raw_ub[eneg]*(LEN(raw_ub[eneg])&gt;1)*(LEN(raw_ub[[bd_cov]:[bd_cov]])&gt;interactive!$C$6))/SUMPRODUCT((raw_ub[[who_region]:[who_region]]=$A22)*raw[[births]:[births]]*(LEN(raw_ub[eneg])&gt;1)*(LEN(raw_ub[[bd_cov]:[bd_cov]])&gt;interactive!$C$6))</f>
        <v>0.29955112456317257</v>
      </c>
      <c r="Q22" s="69" cm="1">
        <f t="array" ref="Q22">SUMPRODUCT((raw_ub[[who_region]:[who_region]]=$A22)*raw[[births]:[births]]*raw_ub[c_diag]*(LEN(raw_ub[c_diag])&gt;1)*(LEN(raw_ub[[bd_cov]:[bd_cov]])&gt;interactive!$C$6))/SUMPRODUCT((raw_ub[[who_region]:[who_region]]=$A22)*raw[[births]:[births]]*(LEN(raw_ub[c_diag])&gt;1)*(LEN(raw_ub[[bd_cov]:[bd_cov]])&gt;interactive!$C$6))</f>
        <v>16.115531541408856</v>
      </c>
      <c r="R22" s="69" cm="1">
        <f t="array" ref="R22">SUMPRODUCT((raw_ub[[who_region]:[who_region]]=$A22)*raw[[births]:[births]]*raw_ub[c_C]*(LEN(raw_ub[c_C])&gt;1)*(LEN(raw_ub[[bd_cov]:[bd_cov]])&gt;interactive!$C$6))/SUMPRODUCT((raw_ub[[who_region]:[who_region]]=$A22)*raw[[births]:[births]]*(LEN(raw_ub[c_C])&gt;1)*(LEN(raw_ub[[bd_cov]:[bd_cov]])&gt;interactive!$C$6))</f>
        <v>125.10133154140887</v>
      </c>
      <c r="S22" s="69" cm="1">
        <f t="array" ref="S22">SUMPRODUCT((raw_ub[[who_region]:[who_region]]=$A22)*raw[[births]:[births]]*raw_ub[c_CC]*(LEN(raw_ub[c_CC])&gt;1)*(LEN(raw_ub[[bd_cov]:[bd_cov]])&gt;interactive!$C$6))/SUMPRODUCT((raw_ub[[who_region]:[who_region]]=$A22)*raw[[births]:[births]]*(LEN(raw_ub[c_CC])&gt;1)*(LEN(raw_ub[[bd_cov]:[bd_cov]])&gt;interactive!$C$6))</f>
        <v>183.32559742757255</v>
      </c>
      <c r="T22" s="69" cm="1">
        <f t="array" ref="T22">SUMPRODUCT((raw_ub[[who_region]:[who_region]]=$A22)*raw[[births]:[births]]*raw_ub[c_DC]*(LEN(raw_ub[c_DC])&gt;1)*(LEN(raw_ub[[bd_cov]:[bd_cov]])&gt;interactive!$C$6))/SUMPRODUCT((raw_ub[[who_region]:[who_region]]=$A22)*raw[[births]:[births]]*(LEN(raw_ub[c_DC])&gt;1)*(LEN(raw_ub[[bd_cov]:[bd_cov]])&gt;interactive!$C$6))</f>
        <v>198.42130408894653</v>
      </c>
      <c r="U22" s="69" cm="1">
        <f t="array" ref="U22">SUMPRODUCT((raw_ub[[who_region]:[who_region]]=$A22)*raw[[births]:[births]]*raw_ub[c_HCC]*(LEN(raw_ub[c_HCC])&gt;1)*(LEN(raw_ub[[bd_cov]:[bd_cov]])&gt;interactive!$C$6))/SUMPRODUCT((raw_ub[[who_region]:[who_region]]=$A22)*raw[[births]:[births]]*(LEN(raw_ub[c_HCC])&gt;1)*(LEN(raw_ub[[bd_cov]:[bd_cov]])&gt;interactive!$C$6))</f>
        <v>191.48967467263284</v>
      </c>
      <c r="V22" s="69" cm="1">
        <f t="array" ref="V22">SUMPRODUCT((raw_ub[[who_region]:[who_region]]=$A22)*raw[[births]:[births]]*raw_ub[bl1_f]*(LEN(raw_ub[bl1_f])&gt;1)*(LEN(raw_ub[[bd_cov]:[bd_cov]])&gt;interactive!$C$6))/SUMPRODUCT((raw_ub[[who_region]:[who_region]]=$A22)*raw[[births]:[births]]*(LEN(raw_ub[bl1_f])&gt;1)*(LEN(raw_ub[[bd_cov]:[bd_cov]])&gt;interactive!$C$6))</f>
        <v>5.5600446020903922</v>
      </c>
      <c r="W22" s="69" cm="1">
        <f t="array" ref="W22">SUMPRODUCT((raw_ub[[who_region]:[who_region]]=$A22)*raw[[births]:[births]]*raw_ub[bl1_c]*(LEN(raw_ub[bl1_c])&gt;1)*(LEN(raw_ub[[bd_cov]:[bd_cov]])&gt;interactive!$C$6))/SUMPRODUCT((raw_ub[[who_region]:[who_region]]=$A22)*raw[[births]:[births]]*(LEN(raw_ub[bl1_c])&gt;1)*(LEN(raw_ub[[bd_cov]:[bd_cov]])&gt;interactive!$C$6))</f>
        <v>6.0765570143869274</v>
      </c>
      <c r="X22" s="69" cm="1">
        <f t="array" ref="X22">SUMPRODUCT((raw_ub[[who_region]:[who_region]]=$A22)*raw[[births]:[births]]*raw_ub[map_f]*(LEN(raw_ub[map_f])&gt;1)*(LEN(raw_ub[[bd_cov]:[bd_cov]])&gt;interactive!$C$6))/SUMPRODUCT((raw_ub[[who_region]:[who_region]]=$A22)*raw[[births]:[births]]*(LEN(raw_ub[map_f])&gt;1)*(LEN(raw_ub[[bd_cov]:[bd_cov]])&gt;interactive!$C$6))</f>
        <v>5.5305255732143213</v>
      </c>
      <c r="Y22" s="69" cm="1">
        <f t="array" ref="Y22">SUMPRODUCT((raw_ub[[who_region]:[who_region]]=$A22)*raw[[births]:[births]]*raw_ub[map_cq]*(LEN(raw_ub[map_cq])&gt;1)*(LEN(raw_ub[[bd_cov]:[bd_cov]])&gt;interactive!$C$6))/SUMPRODUCT((raw_ub[[who_region]:[who_region]]=$A22)*raw[[births]:[births]]*(LEN(raw_ub[map_cq])&gt;1)*(LEN(raw_ub[[bd_cov]:[bd_cov]])&gt;interactive!$C$6))</f>
        <v>6.0470379855108591</v>
      </c>
      <c r="Z22" s="69" cm="1">
        <f t="array" ref="Z22">SUMPRODUCT((raw_ub[[who_region]:[who_region]]=$A22)*raw[[births]:[births]]*raw_ub[map_cl]*(LEN(raw_ub[map_cl])&gt;1)*(LEN(raw_ub[[bd_cov]:[bd_cov]])&gt;interactive!$C$6))/SUMPRODUCT((raw_ub[[who_region]:[who_region]]=$A22)*raw[[births]:[births]]*(LEN(raw_ub[map_cl])&gt;1)*(LEN(raw_ub[[bd_cov]:[bd_cov]])&gt;interactive!$C$6))</f>
        <v>6.030074383580815</v>
      </c>
      <c r="AA22" s="69" cm="1">
        <f t="array" ref="AA22">SUMPRODUCT((raw_ub[[who_region]:[who_region]]=$A22)*raw[[births]:[births]]*raw_ub[ctc_f]*(LEN(raw_ub[ctc_f])&gt;1)*(LEN(raw_ub[[bd_cov]:[bd_cov]])&gt;interactive!$C$6))/SUMPRODUCT((raw_ub[[who_region]:[who_region]]=$A22)*raw[[births]:[births]]*(LEN(raw_ub[ctc_f])&gt;1)*(LEN(raw_ub[[bd_cov]:[bd_cov]])&gt;interactive!$C$6))</f>
        <v>5.5668566856771751</v>
      </c>
      <c r="AB22" s="69" cm="1">
        <f t="array" ref="AB22">SUMPRODUCT((raw_ub[[who_region]:[who_region]]=$A22)*raw[[births]:[births]]*raw_ub[ctc_c]*(LEN(raw_ub[ctc_c])&gt;1)*(LEN(raw_ub[[bd_cov]:[bd_cov]])&gt;interactive!$C$6))/SUMPRODUCT((raw_ub[[who_region]:[who_region]]=$A22)*raw[[births]:[births]]*(LEN(raw_ub[ctc_c])&gt;1)*(LEN(raw_ub[[bd_cov]:[bd_cov]])&gt;interactive!$C$6))</f>
        <v>6.0833690979737129</v>
      </c>
      <c r="AC22" s="71" cm="1">
        <f t="array" ref="AC22">SUMPRODUCT((raw_ub[[who_region]:[who_region]]=$A22)*raw[[births]:[births]]*raw_ub[m_01]*(LEN(raw_ub[m_01])&gt;1)*(LEN(raw_ub[[bd_cov]:[bd_cov]])&gt;interactive!$C$6))/SUMPRODUCT((raw_ub[[who_region]:[who_region]]=$A22)*raw[[births]:[births]]*(LEN(raw_ub[m_01])&gt;1)*(LEN(raw_ub[[bd_cov]:[bd_cov]])&gt;interactive!$C$6))</f>
        <v>2.3491731597183301E-2</v>
      </c>
      <c r="AD22" s="71" cm="1">
        <f t="array" ref="AD22">SUMPRODUCT((raw_ub[[who_region]:[who_region]]=$A22)*raw[[births]:[births]]*raw_ub[m_14]*(LEN(raw_ub[m_14])&gt;1)*(LEN(raw_ub[[bd_cov]:[bd_cov]])&gt;interactive!$C$6))/SUMPRODUCT((raw_ub[[who_region]:[who_region]]=$A22)*raw[[births]:[births]]*(LEN(raw_ub[m_14])&gt;1)*(LEN(raw_ub[[bd_cov]:[bd_cov]])&gt;interactive!$C$6))</f>
        <v>1.5113184247535205E-3</v>
      </c>
      <c r="AE22" s="71" cm="1">
        <f t="array" ref="AE22">SUMPRODUCT((raw_ub[[who_region]:[who_region]]=$A22)*raw[[births]:[births]]*raw_ub[m_59]*(LEN(raw_ub[m_59])&gt;1)*(LEN(raw_ub[[bd_cov]:[bd_cov]])&gt;interactive!$C$6))/SUMPRODUCT((raw_ub[[who_region]:[who_region]]=$A22)*raw[[births]:[births]]*(LEN(raw_ub[m_59])&gt;1)*(LEN(raw_ub[[bd_cov]:[bd_cov]])&gt;interactive!$C$6))</f>
        <v>5.6596339050465439E-4</v>
      </c>
      <c r="AF22" s="71" cm="1">
        <f t="array" ref="AF22">SUMPRODUCT((raw_ub[[who_region]:[who_region]]=$A22)*raw[[births]:[births]]*raw_ub[m_1014]*(LEN(raw_ub[m_1014])&gt;1)*(LEN(raw_ub[[bd_cov]:[bd_cov]])&gt;interactive!$C$6))/SUMPRODUCT((raw_ub[[who_region]:[who_region]]=$A22)*raw[[births]:[births]]*(LEN(raw_ub[m_1014])&gt;1)*(LEN(raw_ub[[bd_cov]:[bd_cov]])&gt;interactive!$C$6))</f>
        <v>4.6646138317736759E-4</v>
      </c>
      <c r="AG22" s="71" cm="1">
        <f t="array" ref="AG22">SUMPRODUCT((raw_ub[[who_region]:[who_region]]=$A22)*raw[[births]:[births]]*raw_ub[m_1519]*(LEN(raw_ub[m_1519])&gt;1)*(LEN(raw_ub[[bd_cov]:[bd_cov]])&gt;interactive!$C$6))/SUMPRODUCT((raw_ub[[who_region]:[who_region]]=$A22)*raw[[births]:[births]]*(LEN(raw_ub[m_1519])&gt;1)*(LEN(raw_ub[[bd_cov]:[bd_cov]])&gt;interactive!$C$6))</f>
        <v>7.7032852420840512E-4</v>
      </c>
      <c r="AH22" s="71" cm="1">
        <f t="array" ref="AH22">SUMPRODUCT((raw_ub[[who_region]:[who_region]]=$A22)*raw[[births]:[births]]*raw_ub[m_2024]*(LEN(raw_ub[m_2024])&gt;1)*(LEN(raw_ub[[bd_cov]:[bd_cov]])&gt;interactive!$C$6))/SUMPRODUCT((raw_ub[[who_region]:[who_region]]=$A22)*raw[[births]:[births]]*(LEN(raw_ub[m_2024])&gt;1)*(LEN(raw_ub[[bd_cov]:[bd_cov]])&gt;interactive!$C$6))</f>
        <v>1.1321391584708522E-3</v>
      </c>
      <c r="AI22" s="71" cm="1">
        <f t="array" ref="AI22">SUMPRODUCT((raw_ub[[who_region]:[who_region]]=$A22)*raw[[births]:[births]]*raw_ub[m_2529]*(LEN(raw_ub[m_2529])&gt;1)*(LEN(raw_ub[[bd_cov]:[bd_cov]])&gt;interactive!$C$6))/SUMPRODUCT((raw_ub[[who_region]:[who_region]]=$A22)*raw[[births]:[births]]*(LEN(raw_ub[m_2529])&gt;1)*(LEN(raw_ub[[bd_cov]:[bd_cov]])&gt;interactive!$C$6))</f>
        <v>1.2208800438347316E-3</v>
      </c>
      <c r="AJ22" s="71" cm="1">
        <f t="array" ref="AJ22">SUMPRODUCT((raw_ub[[who_region]:[who_region]]=$A22)*raw[[births]:[births]]*raw_ub[m_3034]*(LEN(raw_ub[m_3034])&gt;1)*(LEN(raw_ub[[bd_cov]:[bd_cov]])&gt;interactive!$C$6))/SUMPRODUCT((raw_ub[[who_region]:[who_region]]=$A22)*raw[[births]:[births]]*(LEN(raw_ub[m_3034])&gt;1)*(LEN(raw_ub[[bd_cov]:[bd_cov]])&gt;interactive!$C$6))</f>
        <v>1.4474063483278375E-3</v>
      </c>
      <c r="AK22" s="71" cm="1">
        <f t="array" ref="AK22">SUMPRODUCT((raw_ub[[who_region]:[who_region]]=$A22)*raw[[births]:[births]]*raw_ub[m_3539]*(LEN(raw_ub[m_3539])&gt;1)*(LEN(raw_ub[[bd_cov]:[bd_cov]])&gt;interactive!$C$6))/SUMPRODUCT((raw_ub[[who_region]:[who_region]]=$A22)*raw[[births]:[births]]*(LEN(raw_ub[m_3539])&gt;1)*(LEN(raw_ub[[bd_cov]:[bd_cov]])&gt;interactive!$C$6))</f>
        <v>1.7789853882888222E-3</v>
      </c>
      <c r="AL22" s="71" cm="1">
        <f t="array" ref="AL22">SUMPRODUCT((raw_ub[[who_region]:[who_region]]=$A22)*raw[[births]:[births]]*raw_ub[m_4044]*(LEN(raw_ub[m_4044])&gt;1)*(LEN(raw_ub[[bd_cov]:[bd_cov]])&gt;interactive!$C$6))/SUMPRODUCT((raw_ub[[who_region]:[who_region]]=$A22)*raw[[births]:[births]]*(LEN(raw_ub[m_4044])&gt;1)*(LEN(raw_ub[[bd_cov]:[bd_cov]])&gt;interactive!$C$6))</f>
        <v>2.5047819439264372E-3</v>
      </c>
      <c r="AM22" s="71" cm="1">
        <f t="array" ref="AM22">SUMPRODUCT((raw_ub[[who_region]:[who_region]]=$A22)*raw[[births]:[births]]*raw_ub[m_4549]*(LEN(raw_ub[m_4549])&gt;1)*(LEN(raw_ub[[bd_cov]:[bd_cov]])&gt;interactive!$C$6))/SUMPRODUCT((raw_ub[[who_region]:[who_region]]=$A22)*raw[[births]:[births]]*(LEN(raw_ub[m_4549])&gt;1)*(LEN(raw_ub[[bd_cov]:[bd_cov]])&gt;interactive!$C$6))</f>
        <v>4.1772960362368239E-3</v>
      </c>
      <c r="AN22" s="71" cm="1">
        <f t="array" ref="AN22">SUMPRODUCT((raw_ub[[who_region]:[who_region]]=$A22)*raw[[births]:[births]]*raw_ub[m_5054]*(LEN(raw_ub[m_5054])&gt;1)*(LEN(raw_ub[[bd_cov]:[bd_cov]])&gt;interactive!$C$6))/SUMPRODUCT((raw_ub[[who_region]:[who_region]]=$A22)*raw[[births]:[births]]*(LEN(raw_ub[m_5054])&gt;1)*(LEN(raw_ub[[bd_cov]:[bd_cov]])&gt;interactive!$C$6))</f>
        <v>6.9400603047161114E-3</v>
      </c>
      <c r="AO22" s="71" cm="1">
        <f t="array" ref="AO22">SUMPRODUCT((raw_ub[[who_region]:[who_region]]=$A22)*raw[[births]:[births]]*raw_ub[m_5559]*(LEN(raw_ub[m_5559])&gt;1)*(LEN(raw_ub[[bd_cov]:[bd_cov]])&gt;interactive!$C$6))/SUMPRODUCT((raw_ub[[who_region]:[who_region]]=$A22)*raw[[births]:[births]]*(LEN(raw_ub[m_5559])&gt;1)*(LEN(raw_ub[[bd_cov]:[bd_cov]])&gt;interactive!$C$6))</f>
        <v>1.0109095802212517E-2</v>
      </c>
      <c r="AP22" s="71" cm="1">
        <f t="array" ref="AP22">SUMPRODUCT((raw_ub[[who_region]:[who_region]]=$A22)*raw[[births]:[births]]*raw_ub[m_6064]*(LEN(raw_ub[m_6064])&gt;1)*(LEN(raw_ub[[bd_cov]:[bd_cov]])&gt;interactive!$C$6))/SUMPRODUCT((raw_ub[[who_region]:[who_region]]=$A22)*raw[[births]:[births]]*(LEN(raw_ub[m_6064])&gt;1)*(LEN(raw_ub[[bd_cov]:[bd_cov]])&gt;interactive!$C$6))</f>
        <v>1.6212229824368495E-2</v>
      </c>
      <c r="AQ22" s="71" cm="1">
        <f t="array" ref="AQ22">SUMPRODUCT((raw_ub[[who_region]:[who_region]]=$A22)*raw[[births]:[births]]*raw_ub[m_6569]*(LEN(raw_ub[m_6569])&gt;1)*(LEN(raw_ub[[bd_cov]:[bd_cov]])&gt;interactive!$C$6))/SUMPRODUCT((raw_ub[[who_region]:[who_region]]=$A22)*raw[[births]:[births]]*(LEN(raw_ub[m_6569])&gt;1)*(LEN(raw_ub[[bd_cov]:[bd_cov]])&gt;interactive!$C$6))</f>
        <v>2.5680581383525497E-2</v>
      </c>
      <c r="AR22" s="71" cm="1">
        <f t="array" ref="AR22">SUMPRODUCT((raw_ub[[who_region]:[who_region]]=$A22)*raw[[births]:[births]]*raw_ub[m_7074]*(LEN(raw_ub[m_7074])&gt;1)*(LEN(raw_ub[[bd_cov]:[bd_cov]])&gt;interactive!$C$6))/SUMPRODUCT((raw_ub[[who_region]:[who_region]]=$A22)*raw[[births]:[births]]*(LEN(raw_ub[m_7074])&gt;1)*(LEN(raw_ub[[bd_cov]:[bd_cov]])&gt;interactive!$C$6))</f>
        <v>4.2189318187313175E-2</v>
      </c>
      <c r="AS22" s="71" cm="1">
        <f t="array" ref="AS22">SUMPRODUCT((raw_ub[[who_region]:[who_region]]=$A22)*raw[[births]:[births]]*raw_ub[m_7079]*(LEN(raw_ub[m_7079])&gt;1)*(LEN(raw_ub[[bd_cov]:[bd_cov]])&gt;interactive!$C$6))/SUMPRODUCT((raw_ub[[who_region]:[who_region]]=$A22)*raw[[births]:[births]]*(LEN(raw_ub[m_7079])&gt;1)*(LEN(raw_ub[[bd_cov]:[bd_cov]])&gt;interactive!$C$6))</f>
        <v>6.7988571263480416E-2</v>
      </c>
      <c r="AT22" s="71" cm="1">
        <f t="array" ref="AT22">SUMPRODUCT((raw_ub[[who_region]:[who_region]]=$A22)*raw[[births]:[births]]*raw_ub[m_8084]*(LEN(raw_ub[m_8084])&gt;1)*(LEN(raw_ub[[bd_cov]:[bd_cov]])&gt;interactive!$C$6))/SUMPRODUCT((raw_ub[[who_region]:[who_region]]=$A22)*raw[[births]:[births]]*(LEN(raw_ub[m_8084])&gt;1)*(LEN(raw_ub[[bd_cov]:[bd_cov]])&gt;interactive!$C$6))</f>
        <v>9.9851011482712929E-2</v>
      </c>
      <c r="AU22" s="71" cm="1">
        <f t="array" ref="AU22">SUMPRODUCT((raw_ub[[who_region]:[who_region]]=$A22)*raw[[births]:[births]]*raw_ub[m_8589]*(LEN(raw_ub[m_8589])&gt;1)*(LEN(raw_ub[[bd_cov]:[bd_cov]])&gt;interactive!$C$6))/SUMPRODUCT((raw_ub[[who_region]:[who_region]]=$A22)*raw[[births]:[births]]*(LEN(raw_ub[m_8589])&gt;1)*(LEN(raw_ub[[bd_cov]:[bd_cov]])&gt;interactive!$C$6))</f>
        <v>0.13486293258904103</v>
      </c>
      <c r="AV22" s="71" cm="1">
        <f t="array" ref="AV22">SUMPRODUCT((raw_ub[[who_region]:[who_region]]=$A22)*raw[[births]:[births]]*raw_ub[m_9094]*(LEN(raw_ub[m_9094])&gt;1)*(LEN(raw_ub[[bd_cov]:[bd_cov]])&gt;interactive!$C$6))/SUMPRODUCT((raw_ub[[who_region]:[who_region]]=$A22)*raw[[births]:[births]]*(LEN(raw_ub[m_9094])&gt;1)*(LEN(raw_ub[[bd_cov]:[bd_cov]])&gt;interactive!$C$6))</f>
        <v>0.16464727523606193</v>
      </c>
      <c r="AW22" s="71" cm="1">
        <f t="array" ref="AW22">SUMPRODUCT((raw_ub[[who_region]:[who_region]]=$A22)*raw[[births]:[births]]*raw_ub[m_95+]*(LEN(raw_ub[m_95+])&gt;1)*(LEN(raw_ub[[bd_cov]:[bd_cov]])&gt;interactive!$C$6))/SUMPRODUCT((raw_ub[[who_region]:[who_region]]=$A22)*raw[[births]:[births]]*(LEN(raw_ub[m_95+])&gt;1)*(LEN(raw_ub[[bd_cov]:[bd_cov]])&gt;interactive!$C$6))</f>
        <v>0.18514521546501431</v>
      </c>
      <c r="AX22" s="71" cm="1">
        <f t="array" ref="AX22">SUMPRODUCT((raw_ub[[who_region]:[who_region]]=$A22)*raw[[births]:[births]]*raw_ub[av_life]*(LEN(raw_ub[av_life])&gt;1)*(LEN(raw_ub[[bd_cov]:[bd_cov]])&gt;interactive!$C$6))/SUMPRODUCT((raw_ub[[who_region]:[who_region]]=$A22)*raw[[births]:[births]]*(LEN(raw_ub[av_life])&gt;1)*(LEN(raw_ub[[bd_cov]:[bd_cov]])&gt;interactive!$C$6))</f>
        <v>75.525036653004975</v>
      </c>
    </row>
    <row r="23" spans="1:51" x14ac:dyDescent="0.25">
      <c r="A23" s="66" t="s">
        <v>201</v>
      </c>
      <c r="J23" s="68" cm="1">
        <f t="array" ref="J23">SUMPRODUCT((raw_ub[[who_region]:[who_region]]=$A23)*raw[[births]:[births]]*raw_ub[fac_birth]*(LEN(raw_ub[fac_birth])&gt;1)*(LEN(raw_ub[[bd_cov]:[bd_cov]])&gt;interactive!$C$6))/SUMPRODUCT((raw_ub[[who_region]:[who_region]]=$A23)*raw[[births]:[births]]*(LEN(raw_ub[fac_birth])&gt;1)*(LEN(raw_ub[[bd_cov]:[bd_cov]])&gt;interactive!$C$6))</f>
        <v>0.99388121258283157</v>
      </c>
      <c r="K23" s="68" cm="1">
        <f t="array" ref="K23">SUMPRODUCT((raw_ub[[who_region]:[who_region]]=$A23)*raw[[births]:[births]]*raw_ub[bd_cov]*(LEN(raw_ub[bd_cov])&gt;1)*(LEN(raw_ub[[bd_cov]:[bd_cov]])&gt;interactive!$C$6))/SUMPRODUCT((raw_ub[[who_region]:[who_region]]=$A23)*raw[[births]:[births]]*(LEN(raw_ub[bd_cov])&gt;1)*(LEN(raw_ub[[bd_cov]:[bd_cov]])&gt;interactive!$C$6))</f>
        <v>0.9702336166824127</v>
      </c>
      <c r="L23" s="68" cm="1">
        <f t="array" ref="L23">SUMPRODUCT((raw_ub[[who_region]:[who_region]]=$A23)*raw[[births]:[births]]*raw_ub[hbv3_cov]*(LEN(raw_ub[hbv3_cov])&gt;1)*(LEN(raw_ub[[bd_cov]:[bd_cov]])&gt;interactive!$C$6))/SUMPRODUCT((raw_ub[[who_region]:[who_region]]=$A23)*raw[[births]:[births]]*(LEN(raw_ub[hbv3_cov])&gt;1)*(LEN(raw_ub[[bd_cov]:[bd_cov]])&gt;interactive!$C$6))</f>
        <v>0.95837805995826231</v>
      </c>
      <c r="M23" s="68" cm="1">
        <f t="array" ref="M23">SUMPRODUCT((raw_ub[[who_region]:[who_region]]=$A23)*raw[[births]:[births]]*raw_ub[hbv_prev]*(LEN(raw_ub[hbv_prev])&gt;1)*(LEN(raw_ub[[bd_cov]:[bd_cov]])&gt;interactive!$C$6))/SUMPRODUCT((raw_ub[[who_region]:[who_region]]=$A23)*raw[[births]:[births]]*(LEN(raw_ub[hbv_prev])&gt;1)*(LEN(raw_ub[[bd_cov]:[bd_cov]])&gt;interactive!$C$6))</f>
        <v>4.9020643019586987E-2</v>
      </c>
      <c r="N23" s="68" cm="1">
        <f t="array" ref="N23">SUMPRODUCT((raw_ub[[who_region]:[who_region]]=$A23)*raw[[births]:[births]]*raw_ub[hbe_prev]*(LEN(raw_ub[hbe_prev])&gt;1)*(LEN(raw_ub[[bd_cov]:[bd_cov]])&gt;interactive!$C$6))/SUMPRODUCT((raw_ub[[who_region]:[who_region]]=$A23)*raw[[births]:[births]]*(LEN(raw_ub[hbe_prev])&gt;1)*(LEN(raw_ub[[bd_cov]:[bd_cov]])&gt;interactive!$C$6))</f>
        <v>0.41325436431357371</v>
      </c>
      <c r="O23" s="68" cm="1">
        <f t="array" ref="O23">SUMPRODUCT((raw_ub[[who_region]:[who_region]]=$A23)*raw[[births]:[births]]*raw_ub[epos]*(LEN(raw_ub[epos])&gt;1)*(LEN(raw_ub[[bd_cov]:[bd_cov]])&gt;interactive!$C$6))/SUMPRODUCT((raw_ub[[who_region]:[who_region]]=$A23)*raw[[births]:[births]]*(LEN(raw_ub[epos])&gt;1)*(LEN(raw_ub[[bd_cov]:[bd_cov]])&gt;interactive!$C$6))</f>
        <v>0.90000000000000013</v>
      </c>
      <c r="P23" s="68" cm="1">
        <f t="array" ref="P23">SUMPRODUCT((raw_ub[[who_region]:[who_region]]=$A23)*raw[[births]:[births]]*raw_ub[eneg]*(LEN(raw_ub[eneg])&gt;1)*(LEN(raw_ub[[bd_cov]:[bd_cov]])&gt;interactive!$C$6))/SUMPRODUCT((raw_ub[[who_region]:[who_region]]=$A23)*raw[[births]:[births]]*(LEN(raw_ub[eneg])&gt;1)*(LEN(raw_ub[[bd_cov]:[bd_cov]])&gt;interactive!$C$6))</f>
        <v>0.3</v>
      </c>
      <c r="Q23" s="69" cm="1">
        <f t="array" ref="Q23">SUMPRODUCT((raw_ub[[who_region]:[who_region]]=$A23)*raw[[births]:[births]]*raw_ub[c_diag]*(LEN(raw_ub[c_diag])&gt;1)*(LEN(raw_ub[[bd_cov]:[bd_cov]])&gt;interactive!$C$6))/SUMPRODUCT((raw_ub[[who_region]:[who_region]]=$A23)*raw[[births]:[births]]*(LEN(raw_ub[c_diag])&gt;1)*(LEN(raw_ub[[bd_cov]:[bd_cov]])&gt;interactive!$C$6))</f>
        <v>25.567430665665295</v>
      </c>
      <c r="R23" s="69" cm="1">
        <f t="array" ref="R23">SUMPRODUCT((raw_ub[[who_region]:[who_region]]=$A23)*raw[[births]:[births]]*raw_ub[c_C]*(LEN(raw_ub[c_C])&gt;1)*(LEN(raw_ub[[bd_cov]:[bd_cov]])&gt;interactive!$C$6))/SUMPRODUCT((raw_ub[[who_region]:[who_region]]=$A23)*raw[[births]:[births]]*(LEN(raw_ub[c_C])&gt;1)*(LEN(raw_ub[[bd_cov]:[bd_cov]])&gt;interactive!$C$6))</f>
        <v>134.55323066566527</v>
      </c>
      <c r="S23" s="69" cm="1">
        <f t="array" ref="S23">SUMPRODUCT((raw_ub[[who_region]:[who_region]]=$A23)*raw[[births]:[births]]*raw_ub[c_CC]*(LEN(raw_ub[c_CC])&gt;1)*(LEN(raw_ub[[bd_cov]:[bd_cov]])&gt;interactive!$C$6))/SUMPRODUCT((raw_ub[[who_region]:[who_region]]=$A23)*raw[[births]:[births]]*(LEN(raw_ub[c_CC])&gt;1)*(LEN(raw_ub[[bd_cov]:[bd_cov]])&gt;interactive!$C$6))</f>
        <v>221.69198571092022</v>
      </c>
      <c r="T23" s="69" cm="1">
        <f t="array" ref="T23">SUMPRODUCT((raw_ub[[who_region]:[who_region]]=$A23)*raw[[births]:[births]]*raw_ub[c_DC]*(LEN(raw_ub[c_DC])&gt;1)*(LEN(raw_ub[[bd_cov]:[bd_cov]])&gt;interactive!$C$6))/SUMPRODUCT((raw_ub[[who_region]:[who_region]]=$A23)*raw[[births]:[births]]*(LEN(raw_ub[c_DC])&gt;1)*(LEN(raw_ub[[bd_cov]:[bd_cov]])&gt;interactive!$C$6))</f>
        <v>251.83667338502664</v>
      </c>
      <c r="U23" s="69" cm="1">
        <f t="array" ref="U23">SUMPRODUCT((raw_ub[[who_region]:[who_region]]=$A23)*raw[[births]:[births]]*raw_ub[c_HCC]*(LEN(raw_ub[c_HCC])&gt;1)*(LEN(raw_ub[[bd_cov]:[bd_cov]])&gt;interactive!$C$6))/SUMPRODUCT((raw_ub[[who_region]:[who_region]]=$A23)*raw[[births]:[births]]*(LEN(raw_ub[c_HCC])&gt;1)*(LEN(raw_ub[[bd_cov]:[bd_cov]])&gt;interactive!$C$6))</f>
        <v>237.99486998260102</v>
      </c>
      <c r="V23" s="69" cm="1">
        <f t="array" ref="V23">SUMPRODUCT((raw_ub[[who_region]:[who_region]]=$A23)*raw[[births]:[births]]*raw_ub[bl1_f]*(LEN(raw_ub[bl1_f])&gt;1)*(LEN(raw_ub[[bd_cov]:[bd_cov]])&gt;interactive!$C$6))/SUMPRODUCT((raw_ub[[who_region]:[who_region]]=$A23)*raw[[births]:[births]]*(LEN(raw_ub[bl1_f])&gt;1)*(LEN(raw_ub[[bd_cov]:[bd_cov]])&gt;interactive!$C$6))</f>
        <v>8.8998600014510281</v>
      </c>
      <c r="W23" s="69" cm="1">
        <f t="array" ref="W23">SUMPRODUCT((raw_ub[[who_region]:[who_region]]=$A23)*raw[[births]:[births]]*raw_ub[bl1_c]*(LEN(raw_ub[bl1_c])&gt;1)*(LEN(raw_ub[[bd_cov]:[bd_cov]])&gt;interactive!$C$6))/SUMPRODUCT((raw_ub[[who_region]:[who_region]]=$A23)*raw[[births]:[births]]*(LEN(raw_ub[bl1_c])&gt;1)*(LEN(raw_ub[[bd_cov]:[bd_cov]])&gt;interactive!$C$6))</f>
        <v>11.986387371088661</v>
      </c>
      <c r="X23" s="69" cm="1">
        <f t="array" ref="X23">SUMPRODUCT((raw_ub[[who_region]:[who_region]]=$A23)*raw[[births]:[births]]*raw_ub[map_f]*(LEN(raw_ub[map_f])&gt;1)*(LEN(raw_ub[[bd_cov]:[bd_cov]])&gt;interactive!$C$6))/SUMPRODUCT((raw_ub[[who_region]:[who_region]]=$A23)*raw[[births]:[births]]*(LEN(raw_ub[map_f])&gt;1)*(LEN(raw_ub[[bd_cov]:[bd_cov]])&gt;interactive!$C$6))</f>
        <v>8.8603732455522408</v>
      </c>
      <c r="Y23" s="69" cm="1">
        <f t="array" ref="Y23">SUMPRODUCT((raw_ub[[who_region]:[who_region]]=$A23)*raw[[births]:[births]]*raw_ub[map_cq]*(LEN(raw_ub[map_cq])&gt;1)*(LEN(raw_ub[[bd_cov]:[bd_cov]])&gt;interactive!$C$6))/SUMPRODUCT((raw_ub[[who_region]:[who_region]]=$A23)*raw[[births]:[births]]*(LEN(raw_ub[map_cq])&gt;1)*(LEN(raw_ub[[bd_cov]:[bd_cov]])&gt;interactive!$C$6))</f>
        <v>11.946900615189875</v>
      </c>
      <c r="Z23" s="69" cm="1">
        <f t="array" ref="Z23">SUMPRODUCT((raw_ub[[who_region]:[who_region]]=$A23)*raw[[births]:[births]]*raw_ub[map_cl]*(LEN(raw_ub[map_cl])&gt;1)*(LEN(raw_ub[[bd_cov]:[bd_cov]])&gt;interactive!$C$6))/SUMPRODUCT((raw_ub[[who_region]:[who_region]]=$A23)*raw[[births]:[births]]*(LEN(raw_ub[map_cl])&gt;1)*(LEN(raw_ub[[bd_cov]:[bd_cov]])&gt;interactive!$C$6))</f>
        <v>11.92472966042495</v>
      </c>
      <c r="AA23" s="69" cm="1">
        <f t="array" ref="AA23">SUMPRODUCT((raw_ub[[who_region]:[who_region]]=$A23)*raw[[births]:[births]]*raw_ub[ctc_f]*(LEN(raw_ub[ctc_f])&gt;1)*(LEN(raw_ub[[bd_cov]:[bd_cov]])&gt;interactive!$C$6))/SUMPRODUCT((raw_ub[[who_region]:[who_region]]=$A23)*raw[[births]:[births]]*(LEN(raw_ub[ctc_f])&gt;1)*(LEN(raw_ub[[bd_cov]:[bd_cov]])&gt;interactive!$C$6))</f>
        <v>8.9089723297353629</v>
      </c>
      <c r="AB23" s="69" cm="1">
        <f t="array" ref="AB23">SUMPRODUCT((raw_ub[[who_region]:[who_region]]=$A23)*raw[[births]:[births]]*raw_ub[ctc_c]*(LEN(raw_ub[ctc_c])&gt;1)*(LEN(raw_ub[[bd_cov]:[bd_cov]])&gt;interactive!$C$6))/SUMPRODUCT((raw_ub[[who_region]:[who_region]]=$A23)*raw[[births]:[births]]*(LEN(raw_ub[ctc_c])&gt;1)*(LEN(raw_ub[[bd_cov]:[bd_cov]])&gt;interactive!$C$6))</f>
        <v>11.995499699372997</v>
      </c>
      <c r="AC23" s="71" cm="1">
        <f t="array" ref="AC23">SUMPRODUCT((raw_ub[[who_region]:[who_region]]=$A23)*raw[[births]:[births]]*raw_ub[m_01]*(LEN(raw_ub[m_01])&gt;1)*(LEN(raw_ub[[bd_cov]:[bd_cov]])&gt;interactive!$C$6))/SUMPRODUCT((raw_ub[[who_region]:[who_region]]=$A23)*raw[[births]:[births]]*(LEN(raw_ub[m_01])&gt;1)*(LEN(raw_ub[[bd_cov]:[bd_cov]])&gt;interactive!$C$6))</f>
        <v>1.4279858805961158E-2</v>
      </c>
      <c r="AD23" s="71" cm="1">
        <f t="array" ref="AD23">SUMPRODUCT((raw_ub[[who_region]:[who_region]]=$A23)*raw[[births]:[births]]*raw_ub[m_14]*(LEN(raw_ub[m_14])&gt;1)*(LEN(raw_ub[[bd_cov]:[bd_cov]])&gt;interactive!$C$6))/SUMPRODUCT((raw_ub[[who_region]:[who_region]]=$A23)*raw[[births]:[births]]*(LEN(raw_ub[m_14])&gt;1)*(LEN(raw_ub[[bd_cov]:[bd_cov]])&gt;interactive!$C$6))</f>
        <v>9.2444414082968804E-4</v>
      </c>
      <c r="AE23" s="71" cm="1">
        <f t="array" ref="AE23">SUMPRODUCT((raw_ub[[who_region]:[who_region]]=$A23)*raw[[births]:[births]]*raw_ub[m_59]*(LEN(raw_ub[m_59])&gt;1)*(LEN(raw_ub[[bd_cov]:[bd_cov]])&gt;interactive!$C$6))/SUMPRODUCT((raw_ub[[who_region]:[who_region]]=$A23)*raw[[births]:[births]]*(LEN(raw_ub[m_59])&gt;1)*(LEN(raw_ub[[bd_cov]:[bd_cov]])&gt;interactive!$C$6))</f>
        <v>4.030344037588351E-4</v>
      </c>
      <c r="AF23" s="71" cm="1">
        <f t="array" ref="AF23">SUMPRODUCT((raw_ub[[who_region]:[who_region]]=$A23)*raw[[births]:[births]]*raw_ub[m_1014]*(LEN(raw_ub[m_1014])&gt;1)*(LEN(raw_ub[[bd_cov]:[bd_cov]])&gt;interactive!$C$6))/SUMPRODUCT((raw_ub[[who_region]:[who_region]]=$A23)*raw[[births]:[births]]*(LEN(raw_ub[m_1014])&gt;1)*(LEN(raw_ub[[bd_cov]:[bd_cov]])&gt;interactive!$C$6))</f>
        <v>3.8454070051582655E-4</v>
      </c>
      <c r="AG23" s="71" cm="1">
        <f t="array" ref="AG23">SUMPRODUCT((raw_ub[[who_region]:[who_region]]=$A23)*raw[[births]:[births]]*raw_ub[m_1519]*(LEN(raw_ub[m_1519])&gt;1)*(LEN(raw_ub[[bd_cov]:[bd_cov]])&gt;interactive!$C$6))/SUMPRODUCT((raw_ub[[who_region]:[who_region]]=$A23)*raw[[births]:[births]]*(LEN(raw_ub[m_1519])&gt;1)*(LEN(raw_ub[[bd_cov]:[bd_cov]])&gt;interactive!$C$6))</f>
        <v>5.9054688236682116E-4</v>
      </c>
      <c r="AH23" s="71" cm="1">
        <f t="array" ref="AH23">SUMPRODUCT((raw_ub[[who_region]:[who_region]]=$A23)*raw[[births]:[births]]*raw_ub[m_2024]*(LEN(raw_ub[m_2024])&gt;1)*(LEN(raw_ub[[bd_cov]:[bd_cov]])&gt;interactive!$C$6))/SUMPRODUCT((raw_ub[[who_region]:[who_region]]=$A23)*raw[[births]:[births]]*(LEN(raw_ub[m_2024])&gt;1)*(LEN(raw_ub[[bd_cov]:[bd_cov]])&gt;interactive!$C$6))</f>
        <v>8.4841446670836285E-4</v>
      </c>
      <c r="AI23" s="71" cm="1">
        <f t="array" ref="AI23">SUMPRODUCT((raw_ub[[who_region]:[who_region]]=$A23)*raw[[births]:[births]]*raw_ub[m_2529]*(LEN(raw_ub[m_2529])&gt;1)*(LEN(raw_ub[[bd_cov]:[bd_cov]])&gt;interactive!$C$6))/SUMPRODUCT((raw_ub[[who_region]:[who_region]]=$A23)*raw[[births]:[births]]*(LEN(raw_ub[m_2529])&gt;1)*(LEN(raw_ub[[bd_cov]:[bd_cov]])&gt;interactive!$C$6))</f>
        <v>1.1181824504859004E-3</v>
      </c>
      <c r="AJ23" s="71" cm="1">
        <f t="array" ref="AJ23">SUMPRODUCT((raw_ub[[who_region]:[who_region]]=$A23)*raw[[births]:[births]]*raw_ub[m_3034]*(LEN(raw_ub[m_3034])&gt;1)*(LEN(raw_ub[[bd_cov]:[bd_cov]])&gt;interactive!$C$6))/SUMPRODUCT((raw_ub[[who_region]:[who_region]]=$A23)*raw[[births]:[births]]*(LEN(raw_ub[m_3034])&gt;1)*(LEN(raw_ub[[bd_cov]:[bd_cov]])&gt;interactive!$C$6))</f>
        <v>1.5384841486675107E-3</v>
      </c>
      <c r="AK23" s="71" cm="1">
        <f t="array" ref="AK23">SUMPRODUCT((raw_ub[[who_region]:[who_region]]=$A23)*raw[[births]:[births]]*raw_ub[m_3539]*(LEN(raw_ub[m_3539])&gt;1)*(LEN(raw_ub[[bd_cov]:[bd_cov]])&gt;interactive!$C$6))/SUMPRODUCT((raw_ub[[who_region]:[who_region]]=$A23)*raw[[births]:[births]]*(LEN(raw_ub[m_3539])&gt;1)*(LEN(raw_ub[[bd_cov]:[bd_cov]])&gt;interactive!$C$6))</f>
        <v>2.1273436433011145E-3</v>
      </c>
      <c r="AL23" s="71" cm="1">
        <f t="array" ref="AL23">SUMPRODUCT((raw_ub[[who_region]:[who_region]]=$A23)*raw[[births]:[births]]*raw_ub[m_4044]*(LEN(raw_ub[m_4044])&gt;1)*(LEN(raw_ub[[bd_cov]:[bd_cov]])&gt;interactive!$C$6))/SUMPRODUCT((raw_ub[[who_region]:[who_region]]=$A23)*raw[[births]:[births]]*(LEN(raw_ub[m_4044])&gt;1)*(LEN(raw_ub[[bd_cov]:[bd_cov]])&gt;interactive!$C$6))</f>
        <v>2.889659356036813E-3</v>
      </c>
      <c r="AM23" s="71" cm="1">
        <f t="array" ref="AM23">SUMPRODUCT((raw_ub[[who_region]:[who_region]]=$A23)*raw[[births]:[births]]*raw_ub[m_4549]*(LEN(raw_ub[m_4549])&gt;1)*(LEN(raw_ub[[bd_cov]:[bd_cov]])&gt;interactive!$C$6))/SUMPRODUCT((raw_ub[[who_region]:[who_region]]=$A23)*raw[[births]:[births]]*(LEN(raw_ub[m_4549])&gt;1)*(LEN(raw_ub[[bd_cov]:[bd_cov]])&gt;interactive!$C$6))</f>
        <v>4.0940433923859149E-3</v>
      </c>
      <c r="AN23" s="71" cm="1">
        <f t="array" ref="AN23">SUMPRODUCT((raw_ub[[who_region]:[who_region]]=$A23)*raw[[births]:[births]]*raw_ub[m_5054]*(LEN(raw_ub[m_5054])&gt;1)*(LEN(raw_ub[[bd_cov]:[bd_cov]])&gt;interactive!$C$6))/SUMPRODUCT((raw_ub[[who_region]:[who_region]]=$A23)*raw[[births]:[births]]*(LEN(raw_ub[m_5054])&gt;1)*(LEN(raw_ub[[bd_cov]:[bd_cov]])&gt;interactive!$C$6))</f>
        <v>6.1293121077044951E-3</v>
      </c>
      <c r="AO23" s="71" cm="1">
        <f t="array" ref="AO23">SUMPRODUCT((raw_ub[[who_region]:[who_region]]=$A23)*raw[[births]:[births]]*raw_ub[m_5559]*(LEN(raw_ub[m_5559])&gt;1)*(LEN(raw_ub[[bd_cov]:[bd_cov]])&gt;interactive!$C$6))/SUMPRODUCT((raw_ub[[who_region]:[who_region]]=$A23)*raw[[births]:[births]]*(LEN(raw_ub[m_5559])&gt;1)*(LEN(raw_ub[[bd_cov]:[bd_cov]])&gt;interactive!$C$6))</f>
        <v>9.5374652364961787E-3</v>
      </c>
      <c r="AP23" s="71" cm="1">
        <f t="array" ref="AP23">SUMPRODUCT((raw_ub[[who_region]:[who_region]]=$A23)*raw[[births]:[births]]*raw_ub[m_6064]*(LEN(raw_ub[m_6064])&gt;1)*(LEN(raw_ub[[bd_cov]:[bd_cov]])&gt;interactive!$C$6))/SUMPRODUCT((raw_ub[[who_region]:[who_region]]=$A23)*raw[[births]:[births]]*(LEN(raw_ub[m_6064])&gt;1)*(LEN(raw_ub[[bd_cov]:[bd_cov]])&gt;interactive!$C$6))</f>
        <v>1.5114983149683832E-2</v>
      </c>
      <c r="AQ23" s="71" cm="1">
        <f t="array" ref="AQ23">SUMPRODUCT((raw_ub[[who_region]:[who_region]]=$A23)*raw[[births]:[births]]*raw_ub[m_6569]*(LEN(raw_ub[m_6569])&gt;1)*(LEN(raw_ub[[bd_cov]:[bd_cov]])&gt;interactive!$C$6))/SUMPRODUCT((raw_ub[[who_region]:[who_region]]=$A23)*raw[[births]:[births]]*(LEN(raw_ub[m_6569])&gt;1)*(LEN(raw_ub[[bd_cov]:[bd_cov]])&gt;interactive!$C$6))</f>
        <v>2.2714627305645614E-2</v>
      </c>
      <c r="AR23" s="71" cm="1">
        <f t="array" ref="AR23">SUMPRODUCT((raw_ub[[who_region]:[who_region]]=$A23)*raw[[births]:[births]]*raw_ub[m_7074]*(LEN(raw_ub[m_7074])&gt;1)*(LEN(raw_ub[[bd_cov]:[bd_cov]])&gt;interactive!$C$6))/SUMPRODUCT((raw_ub[[who_region]:[who_region]]=$A23)*raw[[births]:[births]]*(LEN(raw_ub[m_7074])&gt;1)*(LEN(raw_ub[[bd_cov]:[bd_cov]])&gt;interactive!$C$6))</f>
        <v>3.6637336864807191E-2</v>
      </c>
      <c r="AS23" s="71" cm="1">
        <f t="array" ref="AS23">SUMPRODUCT((raw_ub[[who_region]:[who_region]]=$A23)*raw[[births]:[births]]*raw_ub[m_7079]*(LEN(raw_ub[m_7079])&gt;1)*(LEN(raw_ub[[bd_cov]:[bd_cov]])&gt;interactive!$C$6))/SUMPRODUCT((raw_ub[[who_region]:[who_region]]=$A23)*raw[[births]:[births]]*(LEN(raw_ub[m_7079])&gt;1)*(LEN(raw_ub[[bd_cov]:[bd_cov]])&gt;interactive!$C$6))</f>
        <v>5.7885382896366695E-2</v>
      </c>
      <c r="AT23" s="71" cm="1">
        <f t="array" ref="AT23">SUMPRODUCT((raw_ub[[who_region]:[who_region]]=$A23)*raw[[births]:[births]]*raw_ub[m_8084]*(LEN(raw_ub[m_8084])&gt;1)*(LEN(raw_ub[[bd_cov]:[bd_cov]])&gt;interactive!$C$6))/SUMPRODUCT((raw_ub[[who_region]:[who_region]]=$A23)*raw[[births]:[births]]*(LEN(raw_ub[m_8084])&gt;1)*(LEN(raw_ub[[bd_cov]:[bd_cov]])&gt;interactive!$C$6))</f>
        <v>8.7342337390371283E-2</v>
      </c>
      <c r="AU23" s="71" cm="1">
        <f t="array" ref="AU23">SUMPRODUCT((raw_ub[[who_region]:[who_region]]=$A23)*raw[[births]:[births]]*raw_ub[m_8589]*(LEN(raw_ub[m_8589])&gt;1)*(LEN(raw_ub[[bd_cov]:[bd_cov]])&gt;interactive!$C$6))/SUMPRODUCT((raw_ub[[who_region]:[who_region]]=$A23)*raw[[births]:[births]]*(LEN(raw_ub[m_8589])&gt;1)*(LEN(raw_ub[[bd_cov]:[bd_cov]])&gt;interactive!$C$6))</f>
        <v>0.12158202571046493</v>
      </c>
      <c r="AV23" s="71" cm="1">
        <f t="array" ref="AV23">SUMPRODUCT((raw_ub[[who_region]:[who_region]]=$A23)*raw[[births]:[births]]*raw_ub[m_9094]*(LEN(raw_ub[m_9094])&gt;1)*(LEN(raw_ub[[bd_cov]:[bd_cov]])&gt;interactive!$C$6))/SUMPRODUCT((raw_ub[[who_region]:[who_region]]=$A23)*raw[[births]:[births]]*(LEN(raw_ub[m_9094])&gt;1)*(LEN(raw_ub[[bd_cov]:[bd_cov]])&gt;interactive!$C$6))</f>
        <v>0.15486822332074129</v>
      </c>
      <c r="AW23" s="71" cm="1">
        <f t="array" ref="AW23">SUMPRODUCT((raw_ub[[who_region]:[who_region]]=$A23)*raw[[births]:[births]]*raw_ub[m_95+]*(LEN(raw_ub[m_95+])&gt;1)*(LEN(raw_ub[[bd_cov]:[bd_cov]])&gt;interactive!$C$6))/SUMPRODUCT((raw_ub[[who_region]:[who_region]]=$A23)*raw[[births]:[births]]*(LEN(raw_ub[m_95+])&gt;1)*(LEN(raw_ub[[bd_cov]:[bd_cov]])&gt;interactive!$C$6))</f>
        <v>0.18009185867435759</v>
      </c>
      <c r="AX23" s="71" cm="1">
        <f t="array" ref="AX23">SUMPRODUCT((raw_ub[[who_region]:[who_region]]=$A23)*raw[[births]:[births]]*raw_ub[av_life]*(LEN(raw_ub[av_life])&gt;1)*(LEN(raw_ub[[bd_cov]:[bd_cov]])&gt;interactive!$C$6))/SUMPRODUCT((raw_ub[[who_region]:[who_region]]=$A23)*raw[[births]:[births]]*(LEN(raw_ub[av_life])&gt;1)*(LEN(raw_ub[[bd_cov]:[bd_cov]])&gt;interactive!$C$6))</f>
        <v>77.624442987801089</v>
      </c>
    </row>
    <row r="24" spans="1:51" x14ac:dyDescent="0.25">
      <c r="A24" s="65" t="s">
        <v>225</v>
      </c>
      <c r="J24" s="68" cm="1">
        <f t="array" ref="J24">SUMPRODUCT((raw_ub[[who_region]:[who_region]]=$A24)*raw[[births]:[births]]*raw_ub[fac_birth]*(LEN(raw_ub[fac_birth])&gt;1)*(LEN(raw_ub[[bd_cov]:[bd_cov]])&gt;interactive!$C$6))/SUMPRODUCT((raw_ub[[who_region]:[who_region]]=$A24)*raw[[births]:[births]]*(LEN(raw_ub[fac_birth])&gt;1)*(LEN(raw_ub[[bd_cov]:[bd_cov]])&gt;interactive!$C$6))</f>
        <v>0.82048161329744818</v>
      </c>
      <c r="K24" s="68" cm="1">
        <f t="array" ref="K24">SUMPRODUCT((raw_ub[[who_region]:[who_region]]=$A24)*raw[[births]:[births]]*raw_ub[bd_cov]*(LEN(raw_ub[bd_cov])&gt;1)*(LEN(raw_ub[[bd_cov]:[bd_cov]])&gt;interactive!$C$6))/SUMPRODUCT((raw_ub[[who_region]:[who_region]]=$A24)*raw[[births]:[births]]*(LEN(raw_ub[bd_cov])&gt;1)*(LEN(raw_ub[[bd_cov]:[bd_cov]])&gt;interactive!$C$6))</f>
        <v>0.60284439092331699</v>
      </c>
      <c r="L24" s="68" cm="1">
        <f t="array" ref="L24">SUMPRODUCT((raw_ub[[who_region]:[who_region]]=$A24)*raw[[births]:[births]]*raw_ub[hbv3_cov]*(LEN(raw_ub[hbv3_cov])&gt;1)*(LEN(raw_ub[[bd_cov]:[bd_cov]])&gt;interactive!$C$6))/SUMPRODUCT((raw_ub[[who_region]:[who_region]]=$A24)*raw[[births]:[births]]*(LEN(raw_ub[hbv3_cov])&gt;1)*(LEN(raw_ub[[bd_cov]:[bd_cov]])&gt;interactive!$C$6))</f>
        <v>0.88281074433018358</v>
      </c>
      <c r="M24" s="68" cm="1">
        <f t="array" ref="M24">SUMPRODUCT((raw_ub[[who_region]:[who_region]]=$A24)*raw[[births]:[births]]*raw_ub[hbv_prev]*(LEN(raw_ub[hbv_prev])&gt;1)*(LEN(raw_ub[[bd_cov]:[bd_cov]])&gt;interactive!$C$6))/SUMPRODUCT((raw_ub[[who_region]:[who_region]]=$A24)*raw[[births]:[births]]*(LEN(raw_ub[hbv_prev])&gt;1)*(LEN(raw_ub[[bd_cov]:[bd_cov]])&gt;interactive!$C$6))</f>
        <v>3.4119212097277196E-2</v>
      </c>
      <c r="N24" s="68" cm="1">
        <f t="array" ref="N24">SUMPRODUCT((raw_ub[[who_region]:[who_region]]=$A24)*raw[[births]:[births]]*raw_ub[hbe_prev]*(LEN(raw_ub[hbe_prev])&gt;1)*(LEN(raw_ub[[bd_cov]:[bd_cov]])&gt;interactive!$C$6))/SUMPRODUCT((raw_ub[[who_region]:[who_region]]=$A24)*raw[[births]:[births]]*(LEN(raw_ub[hbe_prev])&gt;1)*(LEN(raw_ub[[bd_cov]:[bd_cov]])&gt;interactive!$C$6))</f>
        <v>0.38481881466972878</v>
      </c>
      <c r="O24" s="68" cm="1">
        <f t="array" ref="O24">SUMPRODUCT((raw_ub[[who_region]:[who_region]]=$A24)*raw[[births]:[births]]*raw_ub[epos]*(LEN(raw_ub[epos])&gt;1)*(LEN(raw_ub[[bd_cov]:[bd_cov]])&gt;interactive!$C$6))/SUMPRODUCT((raw_ub[[who_region]:[who_region]]=$A24)*raw[[births]:[births]]*(LEN(raw_ub[epos])&gt;1)*(LEN(raw_ub[[bd_cov]:[bd_cov]])&gt;interactive!$C$6))</f>
        <v>0.90000000000000013</v>
      </c>
      <c r="P24" s="68" cm="1">
        <f t="array" ref="P24">SUMPRODUCT((raw_ub[[who_region]:[who_region]]=$A24)*raw[[births]:[births]]*raw_ub[eneg]*(LEN(raw_ub[eneg])&gt;1)*(LEN(raw_ub[[bd_cov]:[bd_cov]])&gt;interactive!$C$6))/SUMPRODUCT((raw_ub[[who_region]:[who_region]]=$A24)*raw[[births]:[births]]*(LEN(raw_ub[eneg])&gt;1)*(LEN(raw_ub[[bd_cov]:[bd_cov]])&gt;interactive!$C$6))</f>
        <v>0.3</v>
      </c>
      <c r="Q24" s="69" cm="1">
        <f t="array" ref="Q24">SUMPRODUCT((raw_ub[[who_region]:[who_region]]=$A24)*raw[[births]:[births]]*raw_ub[c_diag]*(LEN(raw_ub[c_diag])&gt;1)*(LEN(raw_ub[[bd_cov]:[bd_cov]])&gt;interactive!$C$6))/SUMPRODUCT((raw_ub[[who_region]:[who_region]]=$A24)*raw[[births]:[births]]*(LEN(raw_ub[c_diag])&gt;1)*(LEN(raw_ub[[bd_cov]:[bd_cov]])&gt;interactive!$C$6))</f>
        <v>9.9667002047596274</v>
      </c>
      <c r="R24" s="69" cm="1">
        <f t="array" ref="R24">SUMPRODUCT((raw_ub[[who_region]:[who_region]]=$A24)*raw[[births]:[births]]*raw_ub[c_C]*(LEN(raw_ub[c_C])&gt;1)*(LEN(raw_ub[[bd_cov]:[bd_cov]])&gt;interactive!$C$6))/SUMPRODUCT((raw_ub[[who_region]:[who_region]]=$A24)*raw[[births]:[births]]*(LEN(raw_ub[c_C])&gt;1)*(LEN(raw_ub[[bd_cov]:[bd_cov]])&gt;interactive!$C$6))</f>
        <v>118.95250020475962</v>
      </c>
      <c r="S24" s="69" cm="1">
        <f t="array" ref="S24">SUMPRODUCT((raw_ub[[who_region]:[who_region]]=$A24)*raw[[births]:[births]]*raw_ub[c_CC]*(LEN(raw_ub[c_CC])&gt;1)*(LEN(raw_ub[[bd_cov]:[bd_cov]])&gt;interactive!$C$6))/SUMPRODUCT((raw_ub[[who_region]:[who_region]]=$A24)*raw[[births]:[births]]*(LEN(raw_ub[c_CC])&gt;1)*(LEN(raw_ub[[bd_cov]:[bd_cov]])&gt;interactive!$C$6))</f>
        <v>157.48588624128527</v>
      </c>
      <c r="T24" s="69" cm="1">
        <f t="array" ref="T24">SUMPRODUCT((raw_ub[[who_region]:[who_region]]=$A24)*raw[[births]:[births]]*raw_ub[c_DC]*(LEN(raw_ub[c_DC])&gt;1)*(LEN(raw_ub[[bd_cov]:[bd_cov]])&gt;interactive!$C$6))/SUMPRODUCT((raw_ub[[who_region]:[who_region]]=$A24)*raw[[births]:[births]]*(LEN(raw_ub[c_DC])&gt;1)*(LEN(raw_ub[[bd_cov]:[bd_cov]])&gt;interactive!$C$6))</f>
        <v>162.33317815976801</v>
      </c>
      <c r="U24" s="69" cm="1">
        <f t="array" ref="U24">SUMPRODUCT((raw_ub[[who_region]:[who_region]]=$A24)*raw[[births]:[births]]*raw_ub[c_HCC]*(LEN(raw_ub[c_HCC])&gt;1)*(LEN(raw_ub[[bd_cov]:[bd_cov]])&gt;interactive!$C$6))/SUMPRODUCT((raw_ub[[who_region]:[who_region]]=$A24)*raw[[births]:[births]]*(LEN(raw_ub[c_HCC])&gt;1)*(LEN(raw_ub[[bd_cov]:[bd_cov]])&gt;interactive!$C$6))</f>
        <v>160.10740416949915</v>
      </c>
      <c r="V24" s="69" cm="1">
        <f t="array" ref="V24">SUMPRODUCT((raw_ub[[who_region]:[who_region]]=$A24)*raw[[births]:[births]]*raw_ub[bl1_f]*(LEN(raw_ub[bl1_f])&gt;1)*(LEN(raw_ub[[bd_cov]:[bd_cov]])&gt;interactive!$C$6))/SUMPRODUCT((raw_ub[[who_region]:[who_region]]=$A24)*raw[[births]:[births]]*(LEN(raw_ub[bl1_f])&gt;1)*(LEN(raw_ub[[bd_cov]:[bd_cov]])&gt;interactive!$C$6))</f>
        <v>3.4294681519146732</v>
      </c>
      <c r="W24" s="69" cm="1">
        <f t="array" ref="W24">SUMPRODUCT((raw_ub[[who_region]:[who_region]]=$A24)*raw[[births]:[births]]*raw_ub[bl1_c]*(LEN(raw_ub[bl1_c])&gt;1)*(LEN(raw_ub[[bd_cov]:[bd_cov]])&gt;interactive!$C$6))/SUMPRODUCT((raw_ub[[who_region]:[who_region]]=$A24)*raw[[births]:[births]]*(LEN(raw_ub[bl1_c])&gt;1)*(LEN(raw_ub[[bd_cov]:[bd_cov]])&gt;interactive!$C$6))</f>
        <v>5.0663763330427534</v>
      </c>
      <c r="X24" s="69" cm="1">
        <f t="array" ref="X24">SUMPRODUCT((raw_ub[[who_region]:[who_region]]=$A24)*raw[[births]:[births]]*raw_ub[map_f]*(LEN(raw_ub[map_f])&gt;1)*(LEN(raw_ub[[bd_cov]:[bd_cov]])&gt;interactive!$C$6))/SUMPRODUCT((raw_ub[[who_region]:[who_region]]=$A24)*raw[[births]:[births]]*(LEN(raw_ub[map_f])&gt;1)*(LEN(raw_ub[[bd_cov]:[bd_cov]])&gt;interactive!$C$6))</f>
        <v>3.404206925558277</v>
      </c>
      <c r="Y24" s="69" cm="1">
        <f t="array" ref="Y24">SUMPRODUCT((raw_ub[[who_region]:[who_region]]=$A24)*raw[[births]:[births]]*raw_ub[map_cq]*(LEN(raw_ub[map_cq])&gt;1)*(LEN(raw_ub[[bd_cov]:[bd_cov]])&gt;interactive!$C$6))/SUMPRODUCT((raw_ub[[who_region]:[who_region]]=$A24)*raw[[births]:[births]]*(LEN(raw_ub[map_cq])&gt;1)*(LEN(raw_ub[[bd_cov]:[bd_cov]])&gt;interactive!$C$6))</f>
        <v>5.041115106686358</v>
      </c>
      <c r="Z24" s="69" cm="1">
        <f t="array" ref="Z24">SUMPRODUCT((raw_ub[[who_region]:[who_region]]=$A24)*raw[[births]:[births]]*raw_ub[map_cl]*(LEN(raw_ub[map_cl])&gt;1)*(LEN(raw_ub[[bd_cov]:[bd_cov]])&gt;interactive!$C$6))/SUMPRODUCT((raw_ub[[who_region]:[who_region]]=$A24)*raw[[births]:[births]]*(LEN(raw_ub[map_cl])&gt;1)*(LEN(raw_ub[[bd_cov]:[bd_cov]])&gt;interactive!$C$6))</f>
        <v>5.0268050729973526</v>
      </c>
      <c r="AA24" s="69" cm="1">
        <f t="array" ref="AA24">SUMPRODUCT((raw_ub[[who_region]:[who_region]]=$A24)*raw[[births]:[births]]*raw_ub[ctc_f]*(LEN(raw_ub[ctc_f])&gt;1)*(LEN(raw_ub[[bd_cov]:[bd_cov]])&gt;interactive!$C$6))/SUMPRODUCT((raw_ub[[who_region]:[who_region]]=$A24)*raw[[births]:[births]]*(LEN(raw_ub[ctc_f])&gt;1)*(LEN(raw_ub[[bd_cov]:[bd_cov]])&gt;interactive!$C$6))</f>
        <v>3.4352976656892262</v>
      </c>
      <c r="AB24" s="69" cm="1">
        <f t="array" ref="AB24">SUMPRODUCT((raw_ub[[who_region]:[who_region]]=$A24)*raw[[births]:[births]]*raw_ub[ctc_c]*(LEN(raw_ub[ctc_c])&gt;1)*(LEN(raw_ub[[bd_cov]:[bd_cov]])&gt;interactive!$C$6))/SUMPRODUCT((raw_ub[[who_region]:[who_region]]=$A24)*raw[[births]:[births]]*(LEN(raw_ub[ctc_c])&gt;1)*(LEN(raw_ub[[bd_cov]:[bd_cov]])&gt;interactive!$C$6))</f>
        <v>5.0722058468173064</v>
      </c>
      <c r="AC24" s="71" cm="1">
        <f t="array" ref="AC24">SUMPRODUCT((raw_ub[[who_region]:[who_region]]=$A24)*raw[[births]:[births]]*raw_ub[m_01]*(LEN(raw_ub[m_01])&gt;1)*(LEN(raw_ub[[bd_cov]:[bd_cov]])&gt;interactive!$C$6))/SUMPRODUCT((raw_ub[[who_region]:[who_region]]=$A24)*raw[[births]:[births]]*(LEN(raw_ub[m_01])&gt;1)*(LEN(raw_ub[[bd_cov]:[bd_cov]])&gt;interactive!$C$6))</f>
        <v>3.0865352286050769E-2</v>
      </c>
      <c r="AD24" s="71" cm="1">
        <f t="array" ref="AD24">SUMPRODUCT((raw_ub[[who_region]:[who_region]]=$A24)*raw[[births]:[births]]*raw_ub[m_14]*(LEN(raw_ub[m_14])&gt;1)*(LEN(raw_ub[[bd_cov]:[bd_cov]])&gt;interactive!$C$6))/SUMPRODUCT((raw_ub[[who_region]:[who_region]]=$A24)*raw[[births]:[births]]*(LEN(raw_ub[m_14])&gt;1)*(LEN(raw_ub[[bd_cov]:[bd_cov]])&gt;interactive!$C$6))</f>
        <v>1.9160151560094689E-3</v>
      </c>
      <c r="AE24" s="71" cm="1">
        <f t="array" ref="AE24">SUMPRODUCT((raw_ub[[who_region]:[who_region]]=$A24)*raw[[births]:[births]]*raw_ub[m_59]*(LEN(raw_ub[m_59])&gt;1)*(LEN(raw_ub[[bd_cov]:[bd_cov]])&gt;interactive!$C$6))/SUMPRODUCT((raw_ub[[who_region]:[who_region]]=$A24)*raw[[births]:[births]]*(LEN(raw_ub[m_59])&gt;1)*(LEN(raw_ub[[bd_cov]:[bd_cov]])&gt;interactive!$C$6))</f>
        <v>7.1657365198378724E-4</v>
      </c>
      <c r="AF24" s="71" cm="1">
        <f t="array" ref="AF24">SUMPRODUCT((raw_ub[[who_region]:[who_region]]=$A24)*raw[[births]:[births]]*raw_ub[m_1014]*(LEN(raw_ub[m_1014])&gt;1)*(LEN(raw_ub[[bd_cov]:[bd_cov]])&gt;interactive!$C$6))/SUMPRODUCT((raw_ub[[who_region]:[who_region]]=$A24)*raw[[births]:[births]]*(LEN(raw_ub[m_1014])&gt;1)*(LEN(raw_ub[[bd_cov]:[bd_cov]])&gt;interactive!$C$6))</f>
        <v>6.1036161962657468E-4</v>
      </c>
      <c r="AG24" s="71" cm="1">
        <f t="array" ref="AG24">SUMPRODUCT((raw_ub[[who_region]:[who_region]]=$A24)*raw[[births]:[births]]*raw_ub[m_1519]*(LEN(raw_ub[m_1519])&gt;1)*(LEN(raw_ub[[bd_cov]:[bd_cov]])&gt;interactive!$C$6))/SUMPRODUCT((raw_ub[[who_region]:[who_region]]=$A24)*raw[[births]:[births]]*(LEN(raw_ub[m_1519])&gt;1)*(LEN(raw_ub[[bd_cov]:[bd_cov]])&gt;interactive!$C$6))</f>
        <v>1.0091561746007525E-3</v>
      </c>
      <c r="AH24" s="71" cm="1">
        <f t="array" ref="AH24">SUMPRODUCT((raw_ub[[who_region]:[who_region]]=$A24)*raw[[births]:[births]]*raw_ub[m_2024]*(LEN(raw_ub[m_2024])&gt;1)*(LEN(raw_ub[[bd_cov]:[bd_cov]])&gt;interactive!$C$6))/SUMPRODUCT((raw_ub[[who_region]:[who_region]]=$A24)*raw[[births]:[births]]*(LEN(raw_ub[m_2024])&gt;1)*(LEN(raw_ub[[bd_cov]:[bd_cov]])&gt;interactive!$C$6))</f>
        <v>1.4284520091123033E-3</v>
      </c>
      <c r="AI24" s="71" cm="1">
        <f t="array" ref="AI24">SUMPRODUCT((raw_ub[[who_region]:[who_region]]=$A24)*raw[[births]:[births]]*raw_ub[m_2529]*(LEN(raw_ub[m_2529])&gt;1)*(LEN(raw_ub[[bd_cov]:[bd_cov]])&gt;interactive!$C$6))/SUMPRODUCT((raw_ub[[who_region]:[who_region]]=$A24)*raw[[births]:[births]]*(LEN(raw_ub[m_2529])&gt;1)*(LEN(raw_ub[[bd_cov]:[bd_cov]])&gt;interactive!$C$6))</f>
        <v>1.5985019775399509E-3</v>
      </c>
      <c r="AJ24" s="71" cm="1">
        <f t="array" ref="AJ24">SUMPRODUCT((raw_ub[[who_region]:[who_region]]=$A24)*raw[[births]:[births]]*raw_ub[m_3034]*(LEN(raw_ub[m_3034])&gt;1)*(LEN(raw_ub[[bd_cov]:[bd_cov]])&gt;interactive!$C$6))/SUMPRODUCT((raw_ub[[who_region]:[who_region]]=$A24)*raw[[births]:[births]]*(LEN(raw_ub[m_3034])&gt;1)*(LEN(raw_ub[[bd_cov]:[bd_cov]])&gt;interactive!$C$6))</f>
        <v>2.0142960677513328E-3</v>
      </c>
      <c r="AK24" s="71" cm="1">
        <f t="array" ref="AK24">SUMPRODUCT((raw_ub[[who_region]:[who_region]]=$A24)*raw[[births]:[births]]*raw_ub[m_3539]*(LEN(raw_ub[m_3539])&gt;1)*(LEN(raw_ub[[bd_cov]:[bd_cov]])&gt;interactive!$C$6))/SUMPRODUCT((raw_ub[[who_region]:[who_region]]=$A24)*raw[[births]:[births]]*(LEN(raw_ub[m_3539])&gt;1)*(LEN(raw_ub[[bd_cov]:[bd_cov]])&gt;interactive!$C$6))</f>
        <v>2.7697734287654703E-3</v>
      </c>
      <c r="AL24" s="71" cm="1">
        <f t="array" ref="AL24">SUMPRODUCT((raw_ub[[who_region]:[who_region]]=$A24)*raw[[births]:[births]]*raw_ub[m_4044]*(LEN(raw_ub[m_4044])&gt;1)*(LEN(raw_ub[[bd_cov]:[bd_cov]])&gt;interactive!$C$6))/SUMPRODUCT((raw_ub[[who_region]:[who_region]]=$A24)*raw[[births]:[births]]*(LEN(raw_ub[m_4044])&gt;1)*(LEN(raw_ub[[bd_cov]:[bd_cov]])&gt;interactive!$C$6))</f>
        <v>3.7540926422410348E-3</v>
      </c>
      <c r="AM24" s="71" cm="1">
        <f t="array" ref="AM24">SUMPRODUCT((raw_ub[[who_region]:[who_region]]=$A24)*raw[[births]:[births]]*raw_ub[m_4549]*(LEN(raw_ub[m_4549])&gt;1)*(LEN(raw_ub[[bd_cov]:[bd_cov]])&gt;interactive!$C$6))/SUMPRODUCT((raw_ub[[who_region]:[who_region]]=$A24)*raw[[births]:[births]]*(LEN(raw_ub[m_4549])&gt;1)*(LEN(raw_ub[[bd_cov]:[bd_cov]])&gt;interactive!$C$6))</f>
        <v>5.4253168828633886E-3</v>
      </c>
      <c r="AN24" s="71" cm="1">
        <f t="array" ref="AN24">SUMPRODUCT((raw_ub[[who_region]:[who_region]]=$A24)*raw[[births]:[births]]*raw_ub[m_5054]*(LEN(raw_ub[m_5054])&gt;1)*(LEN(raw_ub[[bd_cov]:[bd_cov]])&gt;interactive!$C$6))/SUMPRODUCT((raw_ub[[who_region]:[who_region]]=$A24)*raw[[births]:[births]]*(LEN(raw_ub[m_5054])&gt;1)*(LEN(raw_ub[[bd_cov]:[bd_cov]])&gt;interactive!$C$6))</f>
        <v>8.5788268370849199E-3</v>
      </c>
      <c r="AO24" s="71" cm="1">
        <f t="array" ref="AO24">SUMPRODUCT((raw_ub[[who_region]:[who_region]]=$A24)*raw[[births]:[births]]*raw_ub[m_5559]*(LEN(raw_ub[m_5559])&gt;1)*(LEN(raw_ub[[bd_cov]:[bd_cov]])&gt;interactive!$C$6))/SUMPRODUCT((raw_ub[[who_region]:[who_region]]=$A24)*raw[[births]:[births]]*(LEN(raw_ub[m_5559])&gt;1)*(LEN(raw_ub[[bd_cov]:[bd_cov]])&gt;interactive!$C$6))</f>
        <v>1.2834379426671975E-2</v>
      </c>
      <c r="AP24" s="71" cm="1">
        <f t="array" ref="AP24">SUMPRODUCT((raw_ub[[who_region]:[who_region]]=$A24)*raw[[births]:[births]]*raw_ub[m_6064]*(LEN(raw_ub[m_6064])&gt;1)*(LEN(raw_ub[[bd_cov]:[bd_cov]])&gt;interactive!$C$6))/SUMPRODUCT((raw_ub[[who_region]:[who_region]]=$A24)*raw[[births]:[births]]*(LEN(raw_ub[m_6064])&gt;1)*(LEN(raw_ub[[bd_cov]:[bd_cov]])&gt;interactive!$C$6))</f>
        <v>1.9140181768595246E-2</v>
      </c>
      <c r="AQ24" s="71" cm="1">
        <f t="array" ref="AQ24">SUMPRODUCT((raw_ub[[who_region]:[who_region]]=$A24)*raw[[births]:[births]]*raw_ub[m_6569]*(LEN(raw_ub[m_6569])&gt;1)*(LEN(raw_ub[[bd_cov]:[bd_cov]])&gt;interactive!$C$6))/SUMPRODUCT((raw_ub[[who_region]:[who_region]]=$A24)*raw[[births]:[births]]*(LEN(raw_ub[m_6569])&gt;1)*(LEN(raw_ub[[bd_cov]:[bd_cov]])&gt;interactive!$C$6))</f>
        <v>2.8740843586987714E-2</v>
      </c>
      <c r="AR24" s="71" cm="1">
        <f t="array" ref="AR24">SUMPRODUCT((raw_ub[[who_region]:[who_region]]=$A24)*raw[[births]:[births]]*raw_ub[m_7074]*(LEN(raw_ub[m_7074])&gt;1)*(LEN(raw_ub[[bd_cov]:[bd_cov]])&gt;interactive!$C$6))/SUMPRODUCT((raw_ub[[who_region]:[who_region]]=$A24)*raw[[births]:[births]]*(LEN(raw_ub[m_7074])&gt;1)*(LEN(raw_ub[[bd_cov]:[bd_cov]])&gt;interactive!$C$6))</f>
        <v>4.4096744672289669E-2</v>
      </c>
      <c r="AS24" s="71" cm="1">
        <f t="array" ref="AS24">SUMPRODUCT((raw_ub[[who_region]:[who_region]]=$A24)*raw[[births]:[births]]*raw_ub[m_7079]*(LEN(raw_ub[m_7079])&gt;1)*(LEN(raw_ub[[bd_cov]:[bd_cov]])&gt;interactive!$C$6))/SUMPRODUCT((raw_ub[[who_region]:[who_region]]=$A24)*raw[[births]:[births]]*(LEN(raw_ub[m_7079])&gt;1)*(LEN(raw_ub[[bd_cov]:[bd_cov]])&gt;interactive!$C$6))</f>
        <v>6.3583904283581211E-2</v>
      </c>
      <c r="AT24" s="71" cm="1">
        <f t="array" ref="AT24">SUMPRODUCT((raw_ub[[who_region]:[who_region]]=$A24)*raw[[births]:[births]]*raw_ub[m_8084]*(LEN(raw_ub[m_8084])&gt;1)*(LEN(raw_ub[[bd_cov]:[bd_cov]])&gt;interactive!$C$6))/SUMPRODUCT((raw_ub[[who_region]:[who_region]]=$A24)*raw[[births]:[births]]*(LEN(raw_ub[m_8084])&gt;1)*(LEN(raw_ub[[bd_cov]:[bd_cov]])&gt;interactive!$C$6))</f>
        <v>9.1237156547314707E-2</v>
      </c>
      <c r="AU24" s="71" cm="1">
        <f t="array" ref="AU24">SUMPRODUCT((raw_ub[[who_region]:[who_region]]=$A24)*raw[[births]:[births]]*raw_ub[m_8589]*(LEN(raw_ub[m_8589])&gt;1)*(LEN(raw_ub[[bd_cov]:[bd_cov]])&gt;interactive!$C$6))/SUMPRODUCT((raw_ub[[who_region]:[who_region]]=$A24)*raw[[births]:[births]]*(LEN(raw_ub[m_8589])&gt;1)*(LEN(raw_ub[[bd_cov]:[bd_cov]])&gt;interactive!$C$6))</f>
        <v>0.1228158165521888</v>
      </c>
      <c r="AV24" s="71" cm="1">
        <f t="array" ref="AV24">SUMPRODUCT((raw_ub[[who_region]:[who_region]]=$A24)*raw[[births]:[births]]*raw_ub[m_9094]*(LEN(raw_ub[m_9094])&gt;1)*(LEN(raw_ub[[bd_cov]:[bd_cov]])&gt;interactive!$C$6))/SUMPRODUCT((raw_ub[[who_region]:[who_region]]=$A24)*raw[[births]:[births]]*(LEN(raw_ub[m_9094])&gt;1)*(LEN(raw_ub[[bd_cov]:[bd_cov]])&gt;interactive!$C$6))</f>
        <v>0.15172873632139691</v>
      </c>
      <c r="AW24" s="71" cm="1">
        <f t="array" ref="AW24">SUMPRODUCT((raw_ub[[who_region]:[who_region]]=$A24)*raw[[births]:[births]]*raw_ub[m_95+]*(LEN(raw_ub[m_95+])&gt;1)*(LEN(raw_ub[[bd_cov]:[bd_cov]])&gt;interactive!$C$6))/SUMPRODUCT((raw_ub[[who_region]:[who_region]]=$A24)*raw[[births]:[births]]*(LEN(raw_ub[m_95+])&gt;1)*(LEN(raw_ub[[bd_cov]:[bd_cov]])&gt;interactive!$C$6))</f>
        <v>0.15262973762700613</v>
      </c>
      <c r="AX24" s="71" cm="1">
        <f t="array" ref="AX24">SUMPRODUCT((raw_ub[[who_region]:[who_region]]=$A24)*raw[[births]:[births]]*raw_ub[av_life]*(LEN(raw_ub[av_life])&gt;1)*(LEN(raw_ub[[bd_cov]:[bd_cov]])&gt;interactive!$C$6))/SUMPRODUCT((raw_ub[[who_region]:[who_region]]=$A24)*raw[[births]:[births]]*(LEN(raw_ub[av_life])&gt;1)*(LEN(raw_ub[[bd_cov]:[bd_cov]])&gt;interactive!$C$6))</f>
        <v>73.221934308596701</v>
      </c>
    </row>
    <row r="25" spans="1:51" x14ac:dyDescent="0.25">
      <c r="A25" s="66" t="s">
        <v>260</v>
      </c>
      <c r="J25" s="68" cm="1">
        <f t="array" ref="J25">SUMPRODUCT((raw_ub[[who_region]:[who_region]]=$A25)*raw[[births]:[births]]*raw_ub[fac_birth]*(LEN(raw_ub[fac_birth])&gt;1)*(LEN(raw_ub[[bd_cov]:[bd_cov]])&gt;interactive!$C$6))/SUMPRODUCT((raw_ub[[who_region]:[who_region]]=$A25)*raw[[births]:[births]]*(LEN(raw_ub[fac_birth])&gt;1)*(LEN(raw_ub[[bd_cov]:[bd_cov]])&gt;interactive!$C$6))</f>
        <v>0.97014360688794177</v>
      </c>
      <c r="K25" s="68" cm="1">
        <f t="array" ref="K25">SUMPRODUCT((raw_ub[[who_region]:[who_region]]=$A25)*raw[[births]:[births]]*raw_ub[bd_cov]*(LEN(raw_ub[bd_cov])&gt;1)*(LEN(raw_ub[[bd_cov]:[bd_cov]])&gt;interactive!$C$6))/SUMPRODUCT((raw_ub[[who_region]:[who_region]]=$A25)*raw[[births]:[births]]*(LEN(raw_ub[bd_cov])&gt;1)*(LEN(raw_ub[[bd_cov]:[bd_cov]])&gt;interactive!$C$6))</f>
        <v>0.93179108383262144</v>
      </c>
      <c r="L25" s="68" cm="1">
        <f t="array" ref="L25">SUMPRODUCT((raw_ub[[who_region]:[who_region]]=$A25)*raw[[births]:[births]]*raw_ub[hbv3_cov]*(LEN(raw_ub[hbv3_cov])&gt;1)*(LEN(raw_ub[[bd_cov]:[bd_cov]])&gt;interactive!$C$6))/SUMPRODUCT((raw_ub[[who_region]:[who_region]]=$A25)*raw[[births]:[births]]*(LEN(raw_ub[hbv3_cov])&gt;1)*(LEN(raw_ub[[bd_cov]:[bd_cov]])&gt;interactive!$C$6))</f>
        <v>0.96440661007913853</v>
      </c>
      <c r="M25" s="68" cm="1">
        <f t="array" ref="M25">SUMPRODUCT((raw_ub[[who_region]:[who_region]]=$A25)*raw[[births]:[births]]*raw_ub[hbv_prev]*(LEN(raw_ub[hbv_prev])&gt;1)*(LEN(raw_ub[[bd_cov]:[bd_cov]])&gt;interactive!$C$6))/SUMPRODUCT((raw_ub[[who_region]:[who_region]]=$A25)*raw[[births]:[births]]*(LEN(raw_ub[hbv_prev])&gt;1)*(LEN(raw_ub[[bd_cov]:[bd_cov]])&gt;interactive!$C$6))</f>
        <v>6.5463040840308906E-2</v>
      </c>
      <c r="N25" s="68" cm="1">
        <f t="array" ref="N25">SUMPRODUCT((raw_ub[[who_region]:[who_region]]=$A25)*raw[[births]:[births]]*raw_ub[hbe_prev]*(LEN(raw_ub[hbe_prev])&gt;1)*(LEN(raw_ub[[bd_cov]:[bd_cov]])&gt;interactive!$C$6))/SUMPRODUCT((raw_ub[[who_region]:[who_region]]=$A25)*raw[[births]:[births]]*(LEN(raw_ub[hbe_prev])&gt;1)*(LEN(raw_ub[[bd_cov]:[bd_cov]])&gt;interactive!$C$6))</f>
        <v>0.48804013996551276</v>
      </c>
      <c r="O25" s="68" cm="1">
        <f t="array" ref="O25">SUMPRODUCT((raw_ub[[who_region]:[who_region]]=$A25)*raw[[births]:[births]]*raw_ub[epos]*(LEN(raw_ub[epos])&gt;1)*(LEN(raw_ub[[bd_cov]:[bd_cov]])&gt;interactive!$C$6))/SUMPRODUCT((raw_ub[[who_region]:[who_region]]=$A25)*raw[[births]:[births]]*(LEN(raw_ub[epos])&gt;1)*(LEN(raw_ub[[bd_cov]:[bd_cov]])&gt;interactive!$C$6))</f>
        <v>0.9</v>
      </c>
      <c r="P25" s="68" cm="1">
        <f t="array" ref="P25">SUMPRODUCT((raw_ub[[who_region]:[who_region]]=$A25)*raw[[births]:[births]]*raw_ub[eneg]*(LEN(raw_ub[eneg])&gt;1)*(LEN(raw_ub[[bd_cov]:[bd_cov]])&gt;interactive!$C$6))/SUMPRODUCT((raw_ub[[who_region]:[who_region]]=$A25)*raw[[births]:[births]]*(LEN(raw_ub[eneg])&gt;1)*(LEN(raw_ub[[bd_cov]:[bd_cov]])&gt;interactive!$C$6))</f>
        <v>0.3</v>
      </c>
      <c r="Q25" s="69" cm="1">
        <f t="array" ref="Q25">SUMPRODUCT((raw_ub[[who_region]:[who_region]]=$A25)*raw[[births]:[births]]*raw_ub[c_diag]*(LEN(raw_ub[c_diag])&gt;1)*(LEN(raw_ub[[bd_cov]:[bd_cov]])&gt;interactive!$C$6))/SUMPRODUCT((raw_ub[[who_region]:[who_region]]=$A25)*raw[[births]:[births]]*(LEN(raw_ub[c_diag])&gt;1)*(LEN(raw_ub[[bd_cov]:[bd_cov]])&gt;interactive!$C$6))</f>
        <v>17.984509276229382</v>
      </c>
      <c r="R25" s="69" cm="1">
        <f t="array" ref="R25">SUMPRODUCT((raw_ub[[who_region]:[who_region]]=$A25)*raw[[births]:[births]]*raw_ub[c_C]*(LEN(raw_ub[c_C])&gt;1)*(LEN(raw_ub[[bd_cov]:[bd_cov]])&gt;interactive!$C$6))/SUMPRODUCT((raw_ub[[who_region]:[who_region]]=$A25)*raw[[births]:[births]]*(LEN(raw_ub[c_C])&gt;1)*(LEN(raw_ub[[bd_cov]:[bd_cov]])&gt;interactive!$C$6))</f>
        <v>126.97030927622939</v>
      </c>
      <c r="S25" s="69" cm="1">
        <f t="array" ref="S25">SUMPRODUCT((raw_ub[[who_region]:[who_region]]=$A25)*raw[[births]:[births]]*raw_ub[c_CC]*(LEN(raw_ub[c_CC])&gt;1)*(LEN(raw_ub[[bd_cov]:[bd_cov]])&gt;interactive!$C$6))/SUMPRODUCT((raw_ub[[who_region]:[who_region]]=$A25)*raw[[births]:[births]]*(LEN(raw_ub[c_CC])&gt;1)*(LEN(raw_ub[[bd_cov]:[bd_cov]])&gt;interactive!$C$6))</f>
        <v>184.47073962327983</v>
      </c>
      <c r="T25" s="69" cm="1">
        <f t="array" ref="T25">SUMPRODUCT((raw_ub[[who_region]:[who_region]]=$A25)*raw[[births]:[births]]*raw_ub[c_DC]*(LEN(raw_ub[c_DC])&gt;1)*(LEN(raw_ub[[bd_cov]:[bd_cov]])&gt;interactive!$C$6))/SUMPRODUCT((raw_ub[[who_region]:[who_region]]=$A25)*raw[[births]:[births]]*(LEN(raw_ub[c_DC])&gt;1)*(LEN(raw_ub[[bd_cov]:[bd_cov]])&gt;interactive!$C$6))</f>
        <v>199.1897151854279</v>
      </c>
      <c r="U25" s="69" cm="1">
        <f t="array" ref="U25">SUMPRODUCT((raw_ub[[who_region]:[who_region]]=$A25)*raw[[births]:[births]]*raw_ub[c_HCC]*(LEN(raw_ub[c_HCC])&gt;1)*(LEN(raw_ub[[bd_cov]:[bd_cov]])&gt;interactive!$C$6))/SUMPRODUCT((raw_ub[[who_region]:[who_region]]=$A25)*raw[[births]:[births]]*(LEN(raw_ub[c_HCC])&gt;1)*(LEN(raw_ub[[bd_cov]:[bd_cov]])&gt;interactive!$C$6))</f>
        <v>192.43107272679777</v>
      </c>
      <c r="V25" s="69" cm="1">
        <f t="array" ref="V25">SUMPRODUCT((raw_ub[[who_region]:[who_region]]=$A25)*raw[[births]:[births]]*raw_ub[bl1_f]*(LEN(raw_ub[bl1_f])&gt;1)*(LEN(raw_ub[[bd_cov]:[bd_cov]])&gt;interactive!$C$6))/SUMPRODUCT((raw_ub[[who_region]:[who_region]]=$A25)*raw[[births]:[births]]*(LEN(raw_ub[bl1_f])&gt;1)*(LEN(raw_ub[[bd_cov]:[bd_cov]])&gt;interactive!$C$6))</f>
        <v>5.7806083524397751</v>
      </c>
      <c r="W25" s="69" cm="1">
        <f t="array" ref="W25">SUMPRODUCT((raw_ub[[who_region]:[who_region]]=$A25)*raw[[births]:[births]]*raw_ub[bl1_c]*(LEN(raw_ub[bl1_c])&gt;1)*(LEN(raw_ub[[bd_cov]:[bd_cov]])&gt;interactive!$C$6))/SUMPRODUCT((raw_ub[[who_region]:[who_region]]=$A25)*raw[[births]:[births]]*(LEN(raw_ub[bl1_c])&gt;1)*(LEN(raw_ub[[bd_cov]:[bd_cov]])&gt;interactive!$C$6))</f>
        <v>6.4549348286176302</v>
      </c>
      <c r="X25" s="69" cm="1">
        <f t="array" ref="X25">SUMPRODUCT((raw_ub[[who_region]:[who_region]]=$A25)*raw[[births]:[births]]*raw_ub[map_f]*(LEN(raw_ub[map_f])&gt;1)*(LEN(raw_ub[[bd_cov]:[bd_cov]])&gt;interactive!$C$6))/SUMPRODUCT((raw_ub[[who_region]:[who_region]]=$A25)*raw[[births]:[births]]*(LEN(raw_ub[map_f])&gt;1)*(LEN(raw_ub[[bd_cov]:[bd_cov]])&gt;interactive!$C$6))</f>
        <v>5.7241186589111672</v>
      </c>
      <c r="Y25" s="69" cm="1">
        <f t="array" ref="Y25">SUMPRODUCT((raw_ub[[who_region]:[who_region]]=$A25)*raw[[births]:[births]]*raw_ub[map_cq]*(LEN(raw_ub[map_cq])&gt;1)*(LEN(raw_ub[[bd_cov]:[bd_cov]])&gt;interactive!$C$6))/SUMPRODUCT((raw_ub[[who_region]:[who_region]]=$A25)*raw[[births]:[births]]*(LEN(raw_ub[map_cq])&gt;1)*(LEN(raw_ub[[bd_cov]:[bd_cov]])&gt;interactive!$C$6))</f>
        <v>6.3984451350890206</v>
      </c>
      <c r="Z25" s="69" cm="1">
        <f t="array" ref="Z25">SUMPRODUCT((raw_ub[[who_region]:[who_region]]=$A25)*raw[[births]:[births]]*raw_ub[map_cl]*(LEN(raw_ub[map_cl])&gt;1)*(LEN(raw_ub[[bd_cov]:[bd_cov]])&gt;interactive!$C$6))/SUMPRODUCT((raw_ub[[who_region]:[who_region]]=$A25)*raw[[births]:[births]]*(LEN(raw_ub[map_cl])&gt;1)*(LEN(raw_ub[[bd_cov]:[bd_cov]])&gt;interactive!$C$6))</f>
        <v>6.3664676550095365</v>
      </c>
      <c r="AA25" s="69" cm="1">
        <f t="array" ref="AA25">SUMPRODUCT((raw_ub[[who_region]:[who_region]]=$A25)*raw[[births]:[births]]*raw_ub[ctc_f]*(LEN(raw_ub[ctc_f])&gt;1)*(LEN(raw_ub[[bd_cov]:[bd_cov]])&gt;interactive!$C$6))/SUMPRODUCT((raw_ub[[who_region]:[who_region]]=$A25)*raw[[births]:[births]]*(LEN(raw_ub[ctc_f])&gt;1)*(LEN(raw_ub[[bd_cov]:[bd_cov]])&gt;interactive!$C$6))</f>
        <v>5.7936444355617631</v>
      </c>
      <c r="AB25" s="69" cm="1">
        <f t="array" ref="AB25">SUMPRODUCT((raw_ub[[who_region]:[who_region]]=$A25)*raw[[births]:[births]]*raw_ub[ctc_c]*(LEN(raw_ub[ctc_c])&gt;1)*(LEN(raw_ub[[bd_cov]:[bd_cov]])&gt;interactive!$C$6))/SUMPRODUCT((raw_ub[[who_region]:[who_region]]=$A25)*raw[[births]:[births]]*(LEN(raw_ub[ctc_c])&gt;1)*(LEN(raw_ub[[bd_cov]:[bd_cov]])&gt;interactive!$C$6))</f>
        <v>6.4679709117396165</v>
      </c>
      <c r="AC25" s="71" cm="1">
        <f t="array" ref="AC25">SUMPRODUCT((raw_ub[[who_region]:[who_region]]=$A25)*raw[[births]:[births]]*raw_ub[m_01]*(LEN(raw_ub[m_01])&gt;1)*(LEN(raw_ub[[bd_cov]:[bd_cov]])&gt;interactive!$C$6))/SUMPRODUCT((raw_ub[[who_region]:[who_region]]=$A25)*raw[[births]:[births]]*(LEN(raw_ub[m_01])&gt;1)*(LEN(raw_ub[[bd_cov]:[bd_cov]])&gt;interactive!$C$6))</f>
        <v>1.2736768276497189E-2</v>
      </c>
      <c r="AD25" s="71" cm="1">
        <f t="array" ref="AD25">SUMPRODUCT((raw_ub[[who_region]:[who_region]]=$A25)*raw[[births]:[births]]*raw_ub[m_14]*(LEN(raw_ub[m_14])&gt;1)*(LEN(raw_ub[[bd_cov]:[bd_cov]])&gt;interactive!$C$6))/SUMPRODUCT((raw_ub[[who_region]:[who_region]]=$A25)*raw[[births]:[births]]*(LEN(raw_ub[m_14])&gt;1)*(LEN(raw_ub[[bd_cov]:[bd_cov]])&gt;interactive!$C$6))</f>
        <v>7.1197544726729438E-4</v>
      </c>
      <c r="AE25" s="71" cm="1">
        <f t="array" ref="AE25">SUMPRODUCT((raw_ub[[who_region]:[who_region]]=$A25)*raw[[births]:[births]]*raw_ub[m_59]*(LEN(raw_ub[m_59])&gt;1)*(LEN(raw_ub[[bd_cov]:[bd_cov]])&gt;interactive!$C$6))/SUMPRODUCT((raw_ub[[who_region]:[who_region]]=$A25)*raw[[births]:[births]]*(LEN(raw_ub[m_59])&gt;1)*(LEN(raw_ub[[bd_cov]:[bd_cov]])&gt;interactive!$C$6))</f>
        <v>4.109902786833356E-4</v>
      </c>
      <c r="AF25" s="71" cm="1">
        <f t="array" ref="AF25">SUMPRODUCT((raw_ub[[who_region]:[who_region]]=$A25)*raw[[births]:[births]]*raw_ub[m_1014]*(LEN(raw_ub[m_1014])&gt;1)*(LEN(raw_ub[[bd_cov]:[bd_cov]])&gt;interactive!$C$6))/SUMPRODUCT((raw_ub[[who_region]:[who_region]]=$A25)*raw[[births]:[births]]*(LEN(raw_ub[m_1014])&gt;1)*(LEN(raw_ub[[bd_cov]:[bd_cov]])&gt;interactive!$C$6))</f>
        <v>3.2379172218225576E-4</v>
      </c>
      <c r="AG25" s="71" cm="1">
        <f t="array" ref="AG25">SUMPRODUCT((raw_ub[[who_region]:[who_region]]=$A25)*raw[[births]:[births]]*raw_ub[m_1519]*(LEN(raw_ub[m_1519])&gt;1)*(LEN(raw_ub[[bd_cov]:[bd_cov]])&gt;interactive!$C$6))/SUMPRODUCT((raw_ub[[who_region]:[who_region]]=$A25)*raw[[births]:[births]]*(LEN(raw_ub[m_1519])&gt;1)*(LEN(raw_ub[[bd_cov]:[bd_cov]])&gt;interactive!$C$6))</f>
        <v>5.1508320628082798E-4</v>
      </c>
      <c r="AH25" s="71" cm="1">
        <f t="array" ref="AH25">SUMPRODUCT((raw_ub[[who_region]:[who_region]]=$A25)*raw[[births]:[births]]*raw_ub[m_2024]*(LEN(raw_ub[m_2024])&gt;1)*(LEN(raw_ub[[bd_cov]:[bd_cov]])&gt;interactive!$C$6))/SUMPRODUCT((raw_ub[[who_region]:[who_region]]=$A25)*raw[[births]:[births]]*(LEN(raw_ub[m_2024])&gt;1)*(LEN(raw_ub[[bd_cov]:[bd_cov]])&gt;interactive!$C$6))</f>
        <v>7.1658147477289221E-4</v>
      </c>
      <c r="AI25" s="71" cm="1">
        <f t="array" ref="AI25">SUMPRODUCT((raw_ub[[who_region]:[who_region]]=$A25)*raw[[births]:[births]]*raw_ub[m_2529]*(LEN(raw_ub[m_2529])&gt;1)*(LEN(raw_ub[[bd_cov]:[bd_cov]])&gt;interactive!$C$6))/SUMPRODUCT((raw_ub[[who_region]:[who_region]]=$A25)*raw[[births]:[births]]*(LEN(raw_ub[m_2529])&gt;1)*(LEN(raw_ub[[bd_cov]:[bd_cov]])&gt;interactive!$C$6))</f>
        <v>8.943655783002478E-4</v>
      </c>
      <c r="AJ25" s="71" cm="1">
        <f t="array" ref="AJ25">SUMPRODUCT((raw_ub[[who_region]:[who_region]]=$A25)*raw[[births]:[births]]*raw_ub[m_3034]*(LEN(raw_ub[m_3034])&gt;1)*(LEN(raw_ub[[bd_cov]:[bd_cov]])&gt;interactive!$C$6))/SUMPRODUCT((raw_ub[[who_region]:[who_region]]=$A25)*raw[[births]:[births]]*(LEN(raw_ub[m_3034])&gt;1)*(LEN(raw_ub[[bd_cov]:[bd_cov]])&gt;interactive!$C$6))</f>
        <v>1.1132663162265251E-3</v>
      </c>
      <c r="AK25" s="71" cm="1">
        <f t="array" ref="AK25">SUMPRODUCT((raw_ub[[who_region]:[who_region]]=$A25)*raw[[births]:[births]]*raw_ub[m_3539]*(LEN(raw_ub[m_3539])&gt;1)*(LEN(raw_ub[[bd_cov]:[bd_cov]])&gt;interactive!$C$6))/SUMPRODUCT((raw_ub[[who_region]:[who_region]]=$A25)*raw[[births]:[births]]*(LEN(raw_ub[m_3539])&gt;1)*(LEN(raw_ub[[bd_cov]:[bd_cov]])&gt;interactive!$C$6))</f>
        <v>1.4301264730464231E-3</v>
      </c>
      <c r="AL25" s="71" cm="1">
        <f t="array" ref="AL25">SUMPRODUCT((raw_ub[[who_region]:[who_region]]=$A25)*raw[[births]:[births]]*raw_ub[m_4044]*(LEN(raw_ub[m_4044])&gt;1)*(LEN(raw_ub[[bd_cov]:[bd_cov]])&gt;interactive!$C$6))/SUMPRODUCT((raw_ub[[who_region]:[who_region]]=$A25)*raw[[births]:[births]]*(LEN(raw_ub[m_4044])&gt;1)*(LEN(raw_ub[[bd_cov]:[bd_cov]])&gt;interactive!$C$6))</f>
        <v>2.012973851863077E-3</v>
      </c>
      <c r="AM25" s="71" cm="1">
        <f t="array" ref="AM25">SUMPRODUCT((raw_ub[[who_region]:[who_region]]=$A25)*raw[[births]:[births]]*raw_ub[m_4549]*(LEN(raw_ub[m_4549])&gt;1)*(LEN(raw_ub[[bd_cov]:[bd_cov]])&gt;interactive!$C$6))/SUMPRODUCT((raw_ub[[who_region]:[who_region]]=$A25)*raw[[births]:[births]]*(LEN(raw_ub[m_4549])&gt;1)*(LEN(raw_ub[[bd_cov]:[bd_cov]])&gt;interactive!$C$6))</f>
        <v>2.9504315725906636E-3</v>
      </c>
      <c r="AN25" s="71" cm="1">
        <f t="array" ref="AN25">SUMPRODUCT((raw_ub[[who_region]:[who_region]]=$A25)*raw[[births]:[births]]*raw_ub[m_5054]*(LEN(raw_ub[m_5054])&gt;1)*(LEN(raw_ub[[bd_cov]:[bd_cov]])&gt;interactive!$C$6))/SUMPRODUCT((raw_ub[[who_region]:[who_region]]=$A25)*raw[[births]:[births]]*(LEN(raw_ub[m_5054])&gt;1)*(LEN(raw_ub[[bd_cov]:[bd_cov]])&gt;interactive!$C$6))</f>
        <v>4.6978269081258068E-3</v>
      </c>
      <c r="AO25" s="71" cm="1">
        <f t="array" ref="AO25">SUMPRODUCT((raw_ub[[who_region]:[who_region]]=$A25)*raw[[births]:[births]]*raw_ub[m_5559]*(LEN(raw_ub[m_5559])&gt;1)*(LEN(raw_ub[[bd_cov]:[bd_cov]])&gt;interactive!$C$6))/SUMPRODUCT((raw_ub[[who_region]:[who_region]]=$A25)*raw[[births]:[births]]*(LEN(raw_ub[m_5559])&gt;1)*(LEN(raw_ub[[bd_cov]:[bd_cov]])&gt;interactive!$C$6))</f>
        <v>7.5165836793858768E-3</v>
      </c>
      <c r="AP25" s="71" cm="1">
        <f t="array" ref="AP25">SUMPRODUCT((raw_ub[[who_region]:[who_region]]=$A25)*raw[[births]:[births]]*raw_ub[m_6064]*(LEN(raw_ub[m_6064])&gt;1)*(LEN(raw_ub[[bd_cov]:[bd_cov]])&gt;interactive!$C$6))/SUMPRODUCT((raw_ub[[who_region]:[who_region]]=$A25)*raw[[births]:[births]]*(LEN(raw_ub[m_6064])&gt;1)*(LEN(raw_ub[[bd_cov]:[bd_cov]])&gt;interactive!$C$6))</f>
        <v>1.2738920158375485E-2</v>
      </c>
      <c r="AQ25" s="71" cm="1">
        <f t="array" ref="AQ25">SUMPRODUCT((raw_ub[[who_region]:[who_region]]=$A25)*raw[[births]:[births]]*raw_ub[m_6569]*(LEN(raw_ub[m_6569])&gt;1)*(LEN(raw_ub[[bd_cov]:[bd_cov]])&gt;interactive!$C$6))/SUMPRODUCT((raw_ub[[who_region]:[who_region]]=$A25)*raw[[births]:[births]]*(LEN(raw_ub[m_6569])&gt;1)*(LEN(raw_ub[[bd_cov]:[bd_cov]])&gt;interactive!$C$6))</f>
        <v>2.1411810157936622E-2</v>
      </c>
      <c r="AR25" s="71" cm="1">
        <f t="array" ref="AR25">SUMPRODUCT((raw_ub[[who_region]:[who_region]]=$A25)*raw[[births]:[births]]*raw_ub[m_7074]*(LEN(raw_ub[m_7074])&gt;1)*(LEN(raw_ub[[bd_cov]:[bd_cov]])&gt;interactive!$C$6))/SUMPRODUCT((raw_ub[[who_region]:[who_region]]=$A25)*raw[[births]:[births]]*(LEN(raw_ub[m_7074])&gt;1)*(LEN(raw_ub[[bd_cov]:[bd_cov]])&gt;interactive!$C$6))</f>
        <v>3.614564151011352E-2</v>
      </c>
      <c r="AS25" s="71" cm="1">
        <f t="array" ref="AS25">SUMPRODUCT((raw_ub[[who_region]:[who_region]]=$A25)*raw[[births]:[births]]*raw_ub[m_7079]*(LEN(raw_ub[m_7079])&gt;1)*(LEN(raw_ub[[bd_cov]:[bd_cov]])&gt;interactive!$C$6))/SUMPRODUCT((raw_ub[[who_region]:[who_region]]=$A25)*raw[[births]:[births]]*(LEN(raw_ub[m_7079])&gt;1)*(LEN(raw_ub[[bd_cov]:[bd_cov]])&gt;interactive!$C$6))</f>
        <v>5.6560971250705964E-2</v>
      </c>
      <c r="AT25" s="71" cm="1">
        <f t="array" ref="AT25">SUMPRODUCT((raw_ub[[who_region]:[who_region]]=$A25)*raw[[births]:[births]]*raw_ub[m_8084]*(LEN(raw_ub[m_8084])&gt;1)*(LEN(raw_ub[[bd_cov]:[bd_cov]])&gt;interactive!$C$6))/SUMPRODUCT((raw_ub[[who_region]:[who_region]]=$A25)*raw[[births]:[births]]*(LEN(raw_ub[m_8084])&gt;1)*(LEN(raw_ub[[bd_cov]:[bd_cov]])&gt;interactive!$C$6))</f>
        <v>8.0667873593105774E-2</v>
      </c>
      <c r="AU25" s="71" cm="1">
        <f t="array" ref="AU25">SUMPRODUCT((raw_ub[[who_region]:[who_region]]=$A25)*raw[[births]:[births]]*raw_ub[m_8589]*(LEN(raw_ub[m_8589])&gt;1)*(LEN(raw_ub[[bd_cov]:[bd_cov]])&gt;interactive!$C$6))/SUMPRODUCT((raw_ub[[who_region]:[who_region]]=$A25)*raw[[births]:[births]]*(LEN(raw_ub[m_8589])&gt;1)*(LEN(raw_ub[[bd_cov]:[bd_cov]])&gt;interactive!$C$6))</f>
        <v>0.11120227445965716</v>
      </c>
      <c r="AV25" s="71" cm="1">
        <f t="array" ref="AV25">SUMPRODUCT((raw_ub[[who_region]:[who_region]]=$A25)*raw[[births]:[births]]*raw_ub[m_9094]*(LEN(raw_ub[m_9094])&gt;1)*(LEN(raw_ub[[bd_cov]:[bd_cov]])&gt;interactive!$C$6))/SUMPRODUCT((raw_ub[[who_region]:[who_region]]=$A25)*raw[[births]:[births]]*(LEN(raw_ub[m_9094])&gt;1)*(LEN(raw_ub[[bd_cov]:[bd_cov]])&gt;interactive!$C$6))</f>
        <v>0.13871877026634002</v>
      </c>
      <c r="AW25" s="71" cm="1">
        <f t="array" ref="AW25">SUMPRODUCT((raw_ub[[who_region]:[who_region]]=$A25)*raw[[births]:[births]]*raw_ub[m_95+]*(LEN(raw_ub[m_95+])&gt;1)*(LEN(raw_ub[[bd_cov]:[bd_cov]])&gt;interactive!$C$6))/SUMPRODUCT((raw_ub[[who_region]:[who_region]]=$A25)*raw[[births]:[births]]*(LEN(raw_ub[m_95+])&gt;1)*(LEN(raw_ub[[bd_cov]:[bd_cov]])&gt;interactive!$C$6))</f>
        <v>0.1618412077726073</v>
      </c>
      <c r="AX25" s="71" cm="1">
        <f t="array" ref="AX25">SUMPRODUCT((raw_ub[[who_region]:[who_region]]=$A25)*raw[[births]:[births]]*raw_ub[av_life]*(LEN(raw_ub[av_life])&gt;1)*(LEN(raw_ub[[bd_cov]:[bd_cov]])&gt;interactive!$C$6))/SUMPRODUCT((raw_ub[[who_region]:[who_region]]=$A25)*raw[[births]:[births]]*(LEN(raw_ub[av_life])&gt;1)*(LEN(raw_ub[[bd_cov]:[bd_cov]])&gt;interactive!$C$6))</f>
        <v>79.358549215450296</v>
      </c>
    </row>
    <row r="26" spans="1:51" x14ac:dyDescent="0.25">
      <c r="A26" s="65" t="s">
        <v>505</v>
      </c>
      <c r="J26" s="68" cm="1">
        <f t="array" ref="J26">SUMPRODUCT(raw[[births]:[births]]*raw_ub[fac_birth]*(LEN(raw_ub[fac_birth])&gt;1)*(LEN(raw_ub[[bd_cov]:[bd_cov]])&gt;interactive!$C$6))/SUMPRODUCT(raw[[births]:[births]]*(LEN(raw_ub[fac_birth])&gt;1)*(LEN(raw_ub[[bd_cov]:[bd_cov]])&gt;interactive!$C$6))</f>
        <v>0.89928068361238367</v>
      </c>
      <c r="K26" s="68" cm="1">
        <f t="array" ref="K26">SUMPRODUCT(raw[[births]:[births]]*raw_ub[bd_cov]*(LEN(raw_ub[bd_cov])&gt;1)*(LEN(raw_ub[[bd_cov]:[bd_cov]])&gt;interactive!$C$6))/SUMPRODUCT(raw[[births]:[births]]*(LEN(raw_ub[bd_cov])&gt;1)*(LEN(raw_ub[[bd_cov]:[bd_cov]])&gt;interactive!$C$6))</f>
        <v>0.74772994699253914</v>
      </c>
      <c r="L26" s="68" cm="1">
        <f t="array" ref="L26">SUMPRODUCT(raw[[births]:[births]]*raw_ub[hbv3_cov]*(LEN(raw_ub[hbv3_cov])&gt;1)*(LEN(raw_ub[[bd_cov]:[bd_cov]])&gt;interactive!$C$6))/SUMPRODUCT(raw[[births]:[births]]*(LEN(raw_ub[hbv3_cov])&gt;1)*(LEN(raw_ub[[bd_cov]:[bd_cov]])&gt;interactive!$C$6))</f>
        <v>0.90506276870659119</v>
      </c>
      <c r="M26" s="68" cm="1">
        <f t="array" ref="M26">SUMPRODUCT(raw[[births]:[births]]*raw_ub[hbv_prev]*(LEN(raw_ub[hbv_prev])&gt;1)*(LEN(raw_ub[[bd_cov]:[bd_cov]])&gt;interactive!$C$6))/SUMPRODUCT(raw[[births]:[births]]*(LEN(raw_ub[hbv_prev])&gt;1)*(LEN(raw_ub[[bd_cov]:[bd_cov]])&gt;interactive!$C$6))</f>
        <v>4.1522664623497414E-2</v>
      </c>
      <c r="N26" s="68" cm="1">
        <f t="array" ref="N26">SUMPRODUCT(raw[[births]:[births]]*raw_ub[hbe_prev]*(LEN(raw_ub[hbe_prev])&gt;1)*(LEN(raw_ub[[bd_cov]:[bd_cov]])&gt;interactive!$C$6))/SUMPRODUCT(raw[[births]:[births]]*(LEN(raw_ub[hbe_prev])&gt;1)*(LEN(raw_ub[[bd_cov]:[bd_cov]])&gt;interactive!$C$6))</f>
        <v>0.4209860426179538</v>
      </c>
      <c r="O26" s="68" cm="1">
        <f t="array" ref="O26">SUMPRODUCT(raw[[births]:[births]]*raw_ub[epos]*(LEN(raw_ub[epos])&gt;1)*(LEN(raw_ub[[bd_cov]:[bd_cov]])&gt;interactive!$C$6))/SUMPRODUCT(raw[[births]:[births]]*(LEN(raw_ub[epos])&gt;1)*(LEN(raw_ub[[bd_cov]:[bd_cov]])&gt;interactive!$C$6))</f>
        <v>0.89464801941556038</v>
      </c>
      <c r="P26" s="68" cm="1">
        <f t="array" ref="P26">SUMPRODUCT(raw[[births]:[births]]*raw_ub[eneg]*(LEN(raw_ub[eneg])&gt;1)*(LEN(raw_ub[[bd_cov]:[bd_cov]])&gt;interactive!$C$6))/SUMPRODUCT(raw[[births]:[births]]*(LEN(raw_ub[eneg])&gt;1)*(LEN(raw_ub[[bd_cov]:[bd_cov]])&gt;interactive!$C$6))</f>
        <v>0.29427063616922139</v>
      </c>
      <c r="Q26" s="69" cm="1">
        <f t="array" ref="Q26">SUMPRODUCT(raw[[births]:[births]]*raw_ub[c_diag]*(LEN(raw_ub[c_diag])&gt;1)*(LEN(raw_ub[[bd_cov]:[bd_cov]])&gt;interactive!$C$6))/SUMPRODUCT(raw[[births]:[births]]*(LEN(raw_ub[c_diag])&gt;1)*(LEN(raw_ub[[bd_cov]:[bd_cov]])&gt;interactive!$C$6))</f>
        <v>15.818674099740903</v>
      </c>
      <c r="R26" s="69" cm="1">
        <f t="array" ref="R26">SUMPRODUCT(raw[[births]:[births]]*raw_ub[c_C]*(LEN(raw_ub[c_C])&gt;1)*(LEN(raw_ub[[bd_cov]:[bd_cov]])&gt;interactive!$C$6))/SUMPRODUCT(raw[[births]:[births]]*(LEN(raw_ub[c_C])&gt;1)*(LEN(raw_ub[[bd_cov]:[bd_cov]])&gt;interactive!$C$6))</f>
        <v>124.8044740997409</v>
      </c>
      <c r="S26" s="69" cm="1">
        <f t="array" ref="S26">SUMPRODUCT(raw[[births]:[births]]*raw_ub[c_CC]*(LEN(raw_ub[c_CC])&gt;1)*(LEN(raw_ub[[bd_cov]:[bd_cov]])&gt;interactive!$C$6))/SUMPRODUCT(raw[[births]:[births]]*(LEN(raw_ub[c_CC])&gt;1)*(LEN(raw_ub[[bd_cov]:[bd_cov]])&gt;interactive!$C$6))</f>
        <v>178.9897964640019</v>
      </c>
      <c r="T26" s="69" cm="1">
        <f t="array" ref="T26">SUMPRODUCT(raw[[births]:[births]]*raw_ub[c_DC]*(LEN(raw_ub[c_DC])&gt;1)*(LEN(raw_ub[[bd_cov]:[bd_cov]])&gt;interactive!$C$6))/SUMPRODUCT(raw[[births]:[births]]*(LEN(raw_ub[c_DC])&gt;1)*(LEN(raw_ub[[bd_cov]:[bd_cov]])&gt;interactive!$C$6))</f>
        <v>191.98337418793596</v>
      </c>
      <c r="U26" s="69" cm="1">
        <f t="array" ref="U26">SUMPRODUCT(raw[[births]:[births]]*raw_ub[c_HCC]*(LEN(raw_ub[c_HCC])&gt;1)*(LEN(raw_ub[[bd_cov]:[bd_cov]])&gt;interactive!$C$6))/SUMPRODUCT(raw[[births]:[births]]*(LEN(raw_ub[c_HCC])&gt;1)*(LEN(raw_ub[[bd_cov]:[bd_cov]])&gt;interactive!$C$6))</f>
        <v>186.01699794634956</v>
      </c>
      <c r="V26" s="69" cm="1">
        <f t="array" ref="V26">SUMPRODUCT(raw[[births]:[births]]*raw_ub[bl1_f]*(LEN(raw_ub[bl1_f])&gt;1)*(LEN(raw_ub[[bd_cov]:[bd_cov]])&gt;interactive!$C$6))/SUMPRODUCT(raw[[births]:[births]]*(LEN(raw_ub[bl1_f])&gt;1)*(LEN(raw_ub[[bd_cov]:[bd_cov]])&gt;interactive!$C$6))</f>
        <v>5.1067241198099271</v>
      </c>
      <c r="W26" s="69" cm="1">
        <f t="array" ref="W26">SUMPRODUCT(raw[[births]:[births]]*raw_ub[bl1_c]*(LEN(raw_ub[bl1_c])&gt;1)*(LEN(raw_ub[[bd_cov]:[bd_cov]])&gt;interactive!$C$6))/SUMPRODUCT(raw[[births]:[births]]*(LEN(raw_ub[bl1_c])&gt;1)*(LEN(raw_ub[[bd_cov]:[bd_cov]])&gt;interactive!$C$6))</f>
        <v>6.3492078042947231</v>
      </c>
      <c r="X26" s="69" cm="1">
        <f t="array" ref="X26">SUMPRODUCT(raw[[births]:[births]]*raw_ub[map_f]*(LEN(raw_ub[map_f])&gt;1)*(LEN(raw_ub[[bd_cov]:[bd_cov]])&gt;interactive!$C$6))/SUMPRODUCT(raw[[births]:[births]]*(LEN(raw_ub[map_f])&gt;1)*(LEN(raw_ub[[bd_cov]:[bd_cov]])&gt;interactive!$C$6))</f>
        <v>5.0690275321093141</v>
      </c>
      <c r="Y26" s="69" cm="1">
        <f t="array" ref="Y26">SUMPRODUCT(raw[[births]:[births]]*raw_ub[map_cq]*(LEN(raw_ub[map_cq])&gt;1)*(LEN(raw_ub[[bd_cov]:[bd_cov]])&gt;interactive!$C$6))/SUMPRODUCT(raw[[births]:[births]]*(LEN(raw_ub[map_cq])&gt;1)*(LEN(raw_ub[[bd_cov]:[bd_cov]])&gt;interactive!$C$6))</f>
        <v>6.3115112165941127</v>
      </c>
      <c r="Z26" s="69" cm="1">
        <f t="array" ref="Z26">SUMPRODUCT(raw[[births]:[births]]*raw_ub[map_cl]*(LEN(raw_ub[map_cl])&gt;1)*(LEN(raw_ub[[bd_cov]:[bd_cov]])&gt;interactive!$C$6))/SUMPRODUCT(raw[[births]:[births]]*(LEN(raw_ub[map_cl])&gt;1)*(LEN(raw_ub[[bd_cov]:[bd_cov]])&gt;interactive!$C$6))</f>
        <v>6.2901135045333456</v>
      </c>
      <c r="AA26" s="69" cm="1">
        <f t="array" ref="AA26">SUMPRODUCT(raw[[births]:[births]]*raw_ub[ctc_f]*(LEN(raw_ub[ctc_f])&gt;1)*(LEN(raw_ub[[bd_cov]:[bd_cov]])&gt;interactive!$C$6))/SUMPRODUCT(raw[[births]:[births]]*(LEN(raw_ub[ctc_f])&gt;1)*(LEN(raw_ub[[bd_cov]:[bd_cov]])&gt;interactive!$C$6))</f>
        <v>5.1154233323562259</v>
      </c>
      <c r="AB26" s="69" cm="1">
        <f t="array" ref="AB26">SUMPRODUCT(raw[[births]:[births]]*raw_ub[ctc_c]*(LEN(raw_ub[ctc_c])&gt;1)*(LEN(raw_ub[[bd_cov]:[bd_cov]])&gt;interactive!$C$6))/SUMPRODUCT(raw[[births]:[births]]*(LEN(raw_ub[ctc_c])&gt;1)*(LEN(raw_ub[[bd_cov]:[bd_cov]])&gt;interactive!$C$6))</f>
        <v>6.3579070168410228</v>
      </c>
      <c r="AC26" s="71" cm="1">
        <f t="array" ref="AC26">SUMPRODUCT(raw[[births]:[births]]*raw_ub[m_01]*(LEN(raw_ub[m_01])&gt;1)*(LEN(raw_ub[[bd_cov]:[bd_cov]])&gt;interactive!$C$6))/SUMPRODUCT(raw[[births]:[births]]*(LEN(raw_ub[m_01])&gt;1)*(LEN(raw_ub[[bd_cov]:[bd_cov]])&gt;interactive!$C$6))</f>
        <v>2.2858686788450561E-2</v>
      </c>
      <c r="AD26" s="71" cm="1">
        <f t="array" ref="AD26">SUMPRODUCT(raw[[births]:[births]]*raw_ub[m_14]*(LEN(raw_ub[m_14])&gt;1)*(LEN(raw_ub[[bd_cov]:[bd_cov]])&gt;interactive!$C$6))/SUMPRODUCT(raw[[births]:[births]]*(LEN(raw_ub[m_14])&gt;1)*(LEN(raw_ub[[bd_cov]:[bd_cov]])&gt;interactive!$C$6))</f>
        <v>1.4625351193726104E-3</v>
      </c>
      <c r="AE26" s="71" cm="1">
        <f t="array" ref="AE26">SUMPRODUCT(raw[[births]:[births]]*raw_ub[m_59]*(LEN(raw_ub[m_59])&gt;1)*(LEN(raw_ub[[bd_cov]:[bd_cov]])&gt;interactive!$C$6))/SUMPRODUCT(raw[[births]:[births]]*(LEN(raw_ub[m_59])&gt;1)*(LEN(raw_ub[[bd_cov]:[bd_cov]])&gt;interactive!$C$6))</f>
        <v>5.9313924268179579E-4</v>
      </c>
      <c r="AF26" s="71" cm="1">
        <f t="array" ref="AF26">SUMPRODUCT(raw[[births]:[births]]*raw_ub[m_1014]*(LEN(raw_ub[m_1014])&gt;1)*(LEN(raw_ub[[bd_cov]:[bd_cov]])&gt;interactive!$C$6))/SUMPRODUCT(raw[[births]:[births]]*(LEN(raw_ub[m_1014])&gt;1)*(LEN(raw_ub[[bd_cov]:[bd_cov]])&gt;interactive!$C$6))</f>
        <v>5.0082181987797186E-4</v>
      </c>
      <c r="AG26" s="71" cm="1">
        <f t="array" ref="AG26">SUMPRODUCT(raw[[births]:[births]]*raw_ub[m_1519]*(LEN(raw_ub[m_1519])&gt;1)*(LEN(raw_ub[[bd_cov]:[bd_cov]])&gt;interactive!$C$6))/SUMPRODUCT(raw[[births]:[births]]*(LEN(raw_ub[m_1519])&gt;1)*(LEN(raw_ub[[bd_cov]:[bd_cov]])&gt;interactive!$C$6))</f>
        <v>8.5705664593662258E-4</v>
      </c>
      <c r="AH26" s="71" cm="1">
        <f t="array" ref="AH26">SUMPRODUCT(raw[[births]:[births]]*raw_ub[m_2024]*(LEN(raw_ub[m_2024])&gt;1)*(LEN(raw_ub[[bd_cov]:[bd_cov]])&gt;interactive!$C$6))/SUMPRODUCT(raw[[births]:[births]]*(LEN(raw_ub[m_2024])&gt;1)*(LEN(raw_ub[[bd_cov]:[bd_cov]])&gt;interactive!$C$6))</f>
        <v>1.2382342072757299E-3</v>
      </c>
      <c r="AI26" s="71" cm="1">
        <f t="array" ref="AI26">SUMPRODUCT(raw[[births]:[births]]*raw_ub[m_2529]*(LEN(raw_ub[m_2529])&gt;1)*(LEN(raw_ub[[bd_cov]:[bd_cov]])&gt;interactive!$C$6))/SUMPRODUCT(raw[[births]:[births]]*(LEN(raw_ub[m_2529])&gt;1)*(LEN(raw_ub[[bd_cov]:[bd_cov]])&gt;interactive!$C$6))</f>
        <v>1.4278148606093855E-3</v>
      </c>
      <c r="AJ26" s="71" cm="1">
        <f t="array" ref="AJ26">SUMPRODUCT(raw[[births]:[births]]*raw_ub[m_3034]*(LEN(raw_ub[m_3034])&gt;1)*(LEN(raw_ub[[bd_cov]:[bd_cov]])&gt;interactive!$C$6))/SUMPRODUCT(raw[[births]:[births]]*(LEN(raw_ub[m_3034])&gt;1)*(LEN(raw_ub[[bd_cov]:[bd_cov]])&gt;interactive!$C$6))</f>
        <v>1.757900045895397E-3</v>
      </c>
      <c r="AK26" s="71" cm="1">
        <f t="array" ref="AK26">SUMPRODUCT(raw[[births]:[births]]*raw_ub[m_3539]*(LEN(raw_ub[m_3539])&gt;1)*(LEN(raw_ub[[bd_cov]:[bd_cov]])&gt;interactive!$C$6))/SUMPRODUCT(raw[[births]:[births]]*(LEN(raw_ub[m_3539])&gt;1)*(LEN(raw_ub[[bd_cov]:[bd_cov]])&gt;interactive!$C$6))</f>
        <v>2.3032989892242191E-3</v>
      </c>
      <c r="AL26" s="71" cm="1">
        <f t="array" ref="AL26">SUMPRODUCT(raw[[births]:[births]]*raw_ub[m_4044]*(LEN(raw_ub[m_4044])&gt;1)*(LEN(raw_ub[[bd_cov]:[bd_cov]])&gt;interactive!$C$6))/SUMPRODUCT(raw[[births]:[births]]*(LEN(raw_ub[m_4044])&gt;1)*(LEN(raw_ub[[bd_cov]:[bd_cov]])&gt;interactive!$C$6))</f>
        <v>3.1044836424815371E-3</v>
      </c>
      <c r="AM26" s="71" cm="1">
        <f t="array" ref="AM26">SUMPRODUCT(raw[[births]:[births]]*raw_ub[m_4549]*(LEN(raw_ub[m_4549])&gt;1)*(LEN(raw_ub[[bd_cov]:[bd_cov]])&gt;interactive!$C$6))/SUMPRODUCT(raw[[births]:[births]]*(LEN(raw_ub[m_4549])&gt;1)*(LEN(raw_ub[[bd_cov]:[bd_cov]])&gt;interactive!$C$6))</f>
        <v>4.4772251229948249E-3</v>
      </c>
      <c r="AN26" s="71" cm="1">
        <f t="array" ref="AN26">SUMPRODUCT(raw[[births]:[births]]*raw_ub[m_5054]*(LEN(raw_ub[m_5054])&gt;1)*(LEN(raw_ub[[bd_cov]:[bd_cov]])&gt;interactive!$C$6))/SUMPRODUCT(raw[[births]:[births]]*(LEN(raw_ub[m_5054])&gt;1)*(LEN(raw_ub[[bd_cov]:[bd_cov]])&gt;interactive!$C$6))</f>
        <v>6.9596294745858465E-3</v>
      </c>
      <c r="AO26" s="71" cm="1">
        <f t="array" ref="AO26">SUMPRODUCT(raw[[births]:[births]]*raw_ub[m_5559]*(LEN(raw_ub[m_5559])&gt;1)*(LEN(raw_ub[[bd_cov]:[bd_cov]])&gt;interactive!$C$6))/SUMPRODUCT(raw[[births]:[births]]*(LEN(raw_ub[m_5559])&gt;1)*(LEN(raw_ub[[bd_cov]:[bd_cov]])&gt;interactive!$C$6))</f>
        <v>1.0437485766556773E-2</v>
      </c>
      <c r="AP26" s="71" cm="1">
        <f t="array" ref="AP26">SUMPRODUCT(raw[[births]:[births]]*raw_ub[m_6064]*(LEN(raw_ub[m_6064])&gt;1)*(LEN(raw_ub[[bd_cov]:[bd_cov]])&gt;interactive!$C$6))/SUMPRODUCT(raw[[births]:[births]]*(LEN(raw_ub[m_6064])&gt;1)*(LEN(raw_ub[[bd_cov]:[bd_cov]])&gt;interactive!$C$6))</f>
        <v>1.614235341528408E-2</v>
      </c>
      <c r="AQ26" s="71" cm="1">
        <f t="array" ref="AQ26">SUMPRODUCT(raw[[births]:[births]]*raw_ub[m_6569]*(LEN(raw_ub[m_6569])&gt;1)*(LEN(raw_ub[[bd_cov]:[bd_cov]])&gt;interactive!$C$6))/SUMPRODUCT(raw[[births]:[births]]*(LEN(raw_ub[m_6569])&gt;1)*(LEN(raw_ub[[bd_cov]:[bd_cov]])&gt;interactive!$C$6))</f>
        <v>2.4992990233678816E-2</v>
      </c>
      <c r="AR26" s="71" cm="1">
        <f t="array" ref="AR26">SUMPRODUCT(raw[[births]:[births]]*raw_ub[m_7074]*(LEN(raw_ub[m_7074])&gt;1)*(LEN(raw_ub[[bd_cov]:[bd_cov]])&gt;interactive!$C$6))/SUMPRODUCT(raw[[births]:[births]]*(LEN(raw_ub[m_7074])&gt;1)*(LEN(raw_ub[[bd_cov]:[bd_cov]])&gt;interactive!$C$6))</f>
        <v>3.9513554073092115E-2</v>
      </c>
      <c r="AS26" s="71" cm="1">
        <f t="array" ref="AS26">SUMPRODUCT(raw[[births]:[births]]*raw_ub[m_7079]*(LEN(raw_ub[m_7079])&gt;1)*(LEN(raw_ub[[bd_cov]:[bd_cov]])&gt;interactive!$C$6))/SUMPRODUCT(raw[[births]:[births]]*(LEN(raw_ub[m_7079])&gt;1)*(LEN(raw_ub[[bd_cov]:[bd_cov]])&gt;interactive!$C$6))</f>
        <v>5.957818370264744E-2</v>
      </c>
      <c r="AT26" s="71" cm="1">
        <f t="array" ref="AT26">SUMPRODUCT(raw[[births]:[births]]*raw_ub[m_8084]*(LEN(raw_ub[m_8084])&gt;1)*(LEN(raw_ub[[bd_cov]:[bd_cov]])&gt;interactive!$C$6))/SUMPRODUCT(raw[[births]:[births]]*(LEN(raw_ub[m_8084])&gt;1)*(LEN(raw_ub[[bd_cov]:[bd_cov]])&gt;interactive!$C$6))</f>
        <v>8.6149924122275123E-2</v>
      </c>
      <c r="AU26" s="71" cm="1">
        <f t="array" ref="AU26">SUMPRODUCT(raw[[births]:[births]]*raw_ub[m_8589]*(LEN(raw_ub[m_8589])&gt;1)*(LEN(raw_ub[[bd_cov]:[bd_cov]])&gt;interactive!$C$6))/SUMPRODUCT(raw[[births]:[births]]*(LEN(raw_ub[m_8589])&gt;1)*(LEN(raw_ub[[bd_cov]:[bd_cov]])&gt;interactive!$C$6))</f>
        <v>0.11767851178671331</v>
      </c>
      <c r="AV26" s="71" cm="1">
        <f t="array" ref="AV26">SUMPRODUCT(raw[[births]:[births]]*raw_ub[m_9094]*(LEN(raw_ub[m_9094])&gt;1)*(LEN(raw_ub[[bd_cov]:[bd_cov]])&gt;interactive!$C$6))/SUMPRODUCT(raw[[births]:[births]]*(LEN(raw_ub[m_9094])&gt;1)*(LEN(raw_ub[[bd_cov]:[bd_cov]])&gt;interactive!$C$6))</f>
        <v>0.1465961796153312</v>
      </c>
      <c r="AW26" s="71" cm="1">
        <f t="array" ref="AW26">SUMPRODUCT(raw[[births]:[births]]*raw_ub[m_95+]*(LEN(raw_ub[m_95+])&gt;1)*(LEN(raw_ub[[bd_cov]:[bd_cov]])&gt;interactive!$C$6))/SUMPRODUCT(raw[[births]:[births]]*(LEN(raw_ub[m_95+])&gt;1)*(LEN(raw_ub[[bd_cov]:[bd_cov]])&gt;interactive!$C$6))</f>
        <v>0.16172620985176678</v>
      </c>
      <c r="AX26" s="71" cm="1">
        <f t="array" ref="AX26">SUMPRODUCT(raw[[births]:[births]]*raw_ub[av_life]*(LEN(raw_ub[av_life])&gt;1)*(LEN(raw_ub[[bd_cov]:[bd_cov]])&gt;interactive!$C$6))/SUMPRODUCT(raw[[births]:[births]]*(LEN(raw_ub[av_life])&gt;1)*(LEN(raw_ub[[bd_cov]:[bd_cov]])&gt;interactive!$C$6))</f>
        <v>75.937292217111278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31CB-CD86-4F58-9B9B-AC1ACB350402}">
  <dimension ref="A1:AJ137"/>
  <sheetViews>
    <sheetView workbookViewId="0">
      <selection activeCell="T14" sqref="T14"/>
    </sheetView>
  </sheetViews>
  <sheetFormatPr defaultRowHeight="15" x14ac:dyDescent="0.25"/>
  <cols>
    <col min="1" max="1" width="38.5703125" customWidth="1"/>
    <col min="4" max="4" width="13.7109375" customWidth="1"/>
    <col min="5" max="5" width="13.140625" customWidth="1"/>
    <col min="6" max="6" width="12.42578125" customWidth="1"/>
    <col min="7" max="7" width="11" customWidth="1"/>
    <col min="8" max="8" width="9.42578125" customWidth="1"/>
    <col min="9" max="9" width="15.7109375" customWidth="1"/>
    <col min="10" max="10" width="14.7109375" customWidth="1"/>
    <col min="11" max="12" width="14.85546875" customWidth="1"/>
    <col min="13" max="13" width="13" customWidth="1"/>
    <col min="14" max="15" width="13.5703125" customWidth="1"/>
    <col min="16" max="16" width="14.5703125" customWidth="1"/>
    <col min="17" max="18" width="15.140625" customWidth="1"/>
    <col min="19" max="19" width="14" customWidth="1"/>
    <col min="20" max="21" width="14.5703125" customWidth="1"/>
    <col min="22" max="22" width="11" customWidth="1"/>
    <col min="24" max="24" width="10" customWidth="1"/>
    <col min="25" max="25" width="10.140625" customWidth="1"/>
    <col min="26" max="26" width="11.28515625" customWidth="1"/>
    <col min="27" max="27" width="9.42578125" customWidth="1"/>
    <col min="28" max="28" width="10.5703125" customWidth="1"/>
    <col min="29" max="29" width="10.7109375" customWidth="1"/>
    <col min="30" max="30" width="11.85546875" customWidth="1"/>
    <col min="31" max="31" width="9.5703125" customWidth="1"/>
    <col min="32" max="32" width="13.28515625" customWidth="1"/>
    <col min="33" max="33" width="10" customWidth="1"/>
    <col min="36" max="36" width="13.5703125" customWidth="1"/>
  </cols>
  <sheetData>
    <row r="1" spans="1:36" x14ac:dyDescent="0.25">
      <c r="A1" s="49" t="s">
        <v>144</v>
      </c>
      <c r="B1" s="49" t="s">
        <v>145</v>
      </c>
      <c r="C1" s="49" t="s">
        <v>146</v>
      </c>
      <c r="D1" s="49" t="s">
        <v>147</v>
      </c>
      <c r="E1" s="49" t="s">
        <v>148</v>
      </c>
      <c r="F1" s="49" t="s">
        <v>149</v>
      </c>
      <c r="G1" s="49" t="s">
        <v>150</v>
      </c>
      <c r="H1" s="49" t="s">
        <v>154</v>
      </c>
      <c r="I1" s="50" t="s">
        <v>506</v>
      </c>
      <c r="J1" s="50" t="s">
        <v>507</v>
      </c>
      <c r="K1" s="50" t="s">
        <v>508</v>
      </c>
      <c r="L1" s="50" t="s">
        <v>509</v>
      </c>
      <c r="M1" s="50" t="s">
        <v>510</v>
      </c>
      <c r="N1" s="50" t="s">
        <v>511</v>
      </c>
      <c r="O1" s="50" t="s">
        <v>512</v>
      </c>
      <c r="P1" s="50" t="s">
        <v>513</v>
      </c>
      <c r="Q1" s="50" t="s">
        <v>514</v>
      </c>
      <c r="R1" s="50" t="s">
        <v>515</v>
      </c>
      <c r="S1" s="50" t="s">
        <v>516</v>
      </c>
      <c r="T1" s="50" t="s">
        <v>517</v>
      </c>
      <c r="U1" s="50" t="s">
        <v>518</v>
      </c>
      <c r="V1" s="50" t="s">
        <v>519</v>
      </c>
      <c r="W1" s="50" t="s">
        <v>520</v>
      </c>
      <c r="X1" s="50" t="s">
        <v>521</v>
      </c>
      <c r="Y1" s="50" t="s">
        <v>522</v>
      </c>
      <c r="Z1" s="50" t="s">
        <v>523</v>
      </c>
      <c r="AA1" s="50" t="s">
        <v>524</v>
      </c>
      <c r="AB1" s="50" t="s">
        <v>525</v>
      </c>
      <c r="AC1" s="50" t="s">
        <v>526</v>
      </c>
      <c r="AD1" s="50" t="s">
        <v>527</v>
      </c>
      <c r="AE1" s="50" t="s">
        <v>528</v>
      </c>
      <c r="AF1" s="50" t="s">
        <v>529</v>
      </c>
      <c r="AG1" s="50" t="s">
        <v>530</v>
      </c>
      <c r="AH1" s="50" t="s">
        <v>531</v>
      </c>
      <c r="AI1" s="50" t="s">
        <v>532</v>
      </c>
      <c r="AJ1" s="51" t="s">
        <v>504</v>
      </c>
    </row>
    <row r="2" spans="1:36" x14ac:dyDescent="0.25">
      <c r="A2" s="53" t="s">
        <v>194</v>
      </c>
      <c r="D2" t="s">
        <v>196</v>
      </c>
      <c r="H2">
        <f>VLOOKUP($A2,raw[],11,FALSE)</f>
        <v>0.38</v>
      </c>
      <c r="I2" s="70">
        <v>0.77295000000000003</v>
      </c>
      <c r="J2">
        <v>0.35440260000000001</v>
      </c>
      <c r="K2">
        <v>0.40098760754208751</v>
      </c>
      <c r="L2">
        <v>0.46794444444444444</v>
      </c>
      <c r="M2">
        <v>0.53515463917525785</v>
      </c>
      <c r="N2">
        <v>0.60270833333333329</v>
      </c>
      <c r="O2">
        <v>0.67157894736842105</v>
      </c>
      <c r="P2">
        <v>2.8936559878187411E-3</v>
      </c>
      <c r="Q2">
        <v>4.3983571014844861E-3</v>
      </c>
      <c r="R2">
        <v>1.1574623951274964E-2</v>
      </c>
      <c r="S2">
        <v>1.4752832731388615E-3</v>
      </c>
      <c r="T2">
        <v>2.2424305751710697E-3</v>
      </c>
      <c r="U2">
        <v>5.9011330925554462E-3</v>
      </c>
      <c r="V2" s="70">
        <v>0.48</v>
      </c>
      <c r="W2">
        <v>7.6286794258373209</v>
      </c>
      <c r="X2">
        <v>37.063427902606179</v>
      </c>
      <c r="Y2">
        <v>37.123874981649003</v>
      </c>
      <c r="Z2">
        <v>37.123874981649003</v>
      </c>
      <c r="AA2">
        <v>114.4164114832536</v>
      </c>
      <c r="AB2">
        <v>144.37610068101299</v>
      </c>
      <c r="AC2">
        <v>144.76108305546052</v>
      </c>
      <c r="AD2">
        <v>144.58430728660494</v>
      </c>
      <c r="AF2">
        <v>0</v>
      </c>
      <c r="AG2">
        <v>258.373935403779</v>
      </c>
      <c r="AH2">
        <v>516.747870807558</v>
      </c>
      <c r="AI2">
        <v>1550.243612422674</v>
      </c>
      <c r="AJ2" t="str">
        <f t="shared" ref="AJ2:AJ33" si="0">IF($H2=0, "Yes", "No")</f>
        <v>No</v>
      </c>
    </row>
    <row r="3" spans="1:36" x14ac:dyDescent="0.25">
      <c r="A3" s="55" t="s">
        <v>199</v>
      </c>
      <c r="D3" t="s">
        <v>201</v>
      </c>
      <c r="H3">
        <f>VLOOKUP($A3,raw[],11,FALSE)</f>
        <v>0.99</v>
      </c>
      <c r="I3" s="70">
        <v>6.6679819999999994</v>
      </c>
      <c r="J3">
        <v>0.35440260000000001</v>
      </c>
      <c r="K3">
        <v>0.40098760754208751</v>
      </c>
      <c r="L3">
        <v>0.46794444444444444</v>
      </c>
      <c r="M3">
        <v>0.53515463917525785</v>
      </c>
      <c r="N3">
        <v>0.60270833333333329</v>
      </c>
      <c r="O3">
        <v>0.67157894736842105</v>
      </c>
      <c r="P3">
        <v>9.4115432669898032E-3</v>
      </c>
      <c r="Q3">
        <v>1.43055457658245E-2</v>
      </c>
      <c r="R3">
        <v>3.7646173067959213E-2</v>
      </c>
      <c r="S3">
        <v>5.262484566552708E-3</v>
      </c>
      <c r="T3">
        <v>7.9989765411601146E-3</v>
      </c>
      <c r="U3">
        <v>2.1049938266210832E-2</v>
      </c>
      <c r="V3" s="70">
        <v>4.07</v>
      </c>
      <c r="W3">
        <v>8.6601424418604704</v>
      </c>
      <c r="X3">
        <v>44.526499742991774</v>
      </c>
      <c r="Y3">
        <v>47.98569642041646</v>
      </c>
      <c r="Z3">
        <v>46.397306424245912</v>
      </c>
      <c r="AA3">
        <v>128.63070348837209</v>
      </c>
      <c r="AB3">
        <v>190.91415595879803</v>
      </c>
      <c r="AC3">
        <v>208.12252736405156</v>
      </c>
      <c r="AD3">
        <v>200.22080695339207</v>
      </c>
      <c r="AF3">
        <v>3113.608358439124</v>
      </c>
      <c r="AG3">
        <v>2623.1461531739651</v>
      </c>
      <c r="AH3">
        <v>5246.2923063479302</v>
      </c>
      <c r="AI3">
        <v>15738.8769190438</v>
      </c>
      <c r="AJ3" t="str">
        <f t="shared" si="0"/>
        <v>No</v>
      </c>
    </row>
    <row r="4" spans="1:36" x14ac:dyDescent="0.25">
      <c r="A4" s="53" t="s">
        <v>205</v>
      </c>
      <c r="D4" t="s">
        <v>207</v>
      </c>
      <c r="H4">
        <f>VLOOKUP($A4,raw[],11,FALSE)</f>
        <v>0.99</v>
      </c>
      <c r="I4" s="70">
        <v>2.9062919999999997</v>
      </c>
      <c r="J4">
        <v>0.35440260000000001</v>
      </c>
      <c r="K4">
        <v>0.40098760754208751</v>
      </c>
      <c r="L4">
        <v>0.46794444444444444</v>
      </c>
      <c r="M4">
        <v>0.53515463917525785</v>
      </c>
      <c r="N4">
        <v>0.60270833333333329</v>
      </c>
      <c r="O4">
        <v>0.67157894736842105</v>
      </c>
      <c r="P4">
        <v>1.1924984165132884E-2</v>
      </c>
      <c r="Q4">
        <v>1.8125975931001983E-2</v>
      </c>
      <c r="R4">
        <v>4.7699936660531538E-2</v>
      </c>
      <c r="S4">
        <v>6.1238114970019264E-3</v>
      </c>
      <c r="T4">
        <v>9.3081934754429274E-3</v>
      </c>
      <c r="U4">
        <v>2.4495245988007706E-2</v>
      </c>
      <c r="V4" s="70">
        <v>0.48</v>
      </c>
      <c r="W4">
        <v>8.3694415029888987</v>
      </c>
      <c r="X4">
        <v>42.649061354791435</v>
      </c>
      <c r="Y4">
        <v>45.282416648135076</v>
      </c>
      <c r="Z4">
        <v>44.073235559471499</v>
      </c>
      <c r="AA4">
        <v>124.92404141759181</v>
      </c>
      <c r="AB4">
        <v>181.95889054519026</v>
      </c>
      <c r="AC4">
        <v>196.43554735521155</v>
      </c>
      <c r="AD4">
        <v>189.78817254559212</v>
      </c>
      <c r="AF4">
        <v>5078.5108628709886</v>
      </c>
      <c r="AG4">
        <v>1653.4291041905201</v>
      </c>
      <c r="AH4">
        <v>3306.8582083810402</v>
      </c>
      <c r="AI4">
        <v>9920.574625143121</v>
      </c>
      <c r="AJ4" t="str">
        <f t="shared" si="0"/>
        <v>No</v>
      </c>
    </row>
    <row r="5" spans="1:36" x14ac:dyDescent="0.25">
      <c r="A5" s="55" t="s">
        <v>208</v>
      </c>
      <c r="D5" t="s">
        <v>207</v>
      </c>
      <c r="H5">
        <f>VLOOKUP($A5,raw[],11,FALSE)</f>
        <v>0</v>
      </c>
      <c r="I5" s="70">
        <v>1.08213</v>
      </c>
      <c r="J5">
        <v>0.35440260000000001</v>
      </c>
      <c r="K5">
        <v>0.40098760754208751</v>
      </c>
      <c r="L5">
        <v>0.46794444444444444</v>
      </c>
      <c r="M5">
        <v>0.53515463917525785</v>
      </c>
      <c r="N5">
        <v>0.60270833333333329</v>
      </c>
      <c r="O5">
        <v>0.67157894736842105</v>
      </c>
      <c r="P5">
        <v>6.1817650004367189E-3</v>
      </c>
      <c r="Q5">
        <v>9.3962828006638119E-3</v>
      </c>
      <c r="R5">
        <v>2.4727060001746876E-2</v>
      </c>
      <c r="S5">
        <v>3.2891979035098327E-3</v>
      </c>
      <c r="T5">
        <v>4.9995808133349454E-3</v>
      </c>
      <c r="U5">
        <v>1.3156791614039331E-2</v>
      </c>
      <c r="V5" s="70">
        <v>4.83</v>
      </c>
      <c r="W5">
        <v>8.5836659564005906</v>
      </c>
      <c r="X5">
        <v>43.178202071058976</v>
      </c>
      <c r="Y5">
        <v>45.975460272534349</v>
      </c>
      <c r="Z5">
        <v>44.691018432922803</v>
      </c>
      <c r="AA5">
        <v>128.2483642025897</v>
      </c>
      <c r="AB5">
        <v>186.56325956075275</v>
      </c>
      <c r="AC5">
        <v>201.70613569469833</v>
      </c>
      <c r="AD5">
        <v>194.7528470536154</v>
      </c>
      <c r="AF5">
        <v>0</v>
      </c>
      <c r="AG5">
        <v>888.08343394765495</v>
      </c>
      <c r="AH5">
        <v>1776.1668678953099</v>
      </c>
      <c r="AI5">
        <v>5328.5006036859295</v>
      </c>
      <c r="AJ5" t="str">
        <f t="shared" si="0"/>
        <v>Yes</v>
      </c>
    </row>
    <row r="6" spans="1:36" x14ac:dyDescent="0.25">
      <c r="A6" s="53" t="s">
        <v>213</v>
      </c>
      <c r="D6" t="s">
        <v>215</v>
      </c>
      <c r="H6">
        <f>VLOOKUP($A6,raw[],11,FALSE)</f>
        <v>0.72</v>
      </c>
      <c r="I6" s="70">
        <v>3.2773080000000001</v>
      </c>
      <c r="J6">
        <v>0.35440260000000001</v>
      </c>
      <c r="K6">
        <v>0.40098760754208751</v>
      </c>
      <c r="L6">
        <v>0.46794444444444444</v>
      </c>
      <c r="M6">
        <v>0.53515463917525785</v>
      </c>
      <c r="N6">
        <v>0.60270833333333329</v>
      </c>
      <c r="O6">
        <v>0.67157894736842105</v>
      </c>
      <c r="P6">
        <v>1.6567112082077638E-2</v>
      </c>
      <c r="Q6">
        <v>2.518201036475801E-2</v>
      </c>
      <c r="R6">
        <v>6.6268448328310553E-2</v>
      </c>
      <c r="S6">
        <v>8.6054962230739801E-3</v>
      </c>
      <c r="T6">
        <v>1.3080354259072448E-2</v>
      </c>
      <c r="U6">
        <v>3.442198489229592E-2</v>
      </c>
      <c r="V6" s="70">
        <v>0.02</v>
      </c>
      <c r="W6">
        <v>9.9024816122804502</v>
      </c>
      <c r="X6">
        <v>58.454740705870691</v>
      </c>
      <c r="Y6">
        <v>68.516505879445901</v>
      </c>
      <c r="Z6">
        <v>63.896355990361698</v>
      </c>
      <c r="AA6">
        <v>152.29609973160052</v>
      </c>
      <c r="AB6">
        <v>281.27005904167936</v>
      </c>
      <c r="AC6">
        <v>333.18850834723287</v>
      </c>
      <c r="AD6">
        <v>309.34865384233535</v>
      </c>
      <c r="AF6">
        <v>6941.6782671149249</v>
      </c>
      <c r="AG6">
        <v>4289.5088865784146</v>
      </c>
      <c r="AH6">
        <v>8579.0177731568292</v>
      </c>
      <c r="AI6">
        <v>25737.053319470488</v>
      </c>
      <c r="AJ6" t="str">
        <f t="shared" si="0"/>
        <v>No</v>
      </c>
    </row>
    <row r="7" spans="1:36" x14ac:dyDescent="0.25">
      <c r="A7" s="55" t="s">
        <v>218</v>
      </c>
      <c r="D7" t="s">
        <v>201</v>
      </c>
      <c r="H7">
        <f>VLOOKUP($A7,raw[],11,FALSE)</f>
        <v>0.97</v>
      </c>
      <c r="I7" s="70">
        <v>5.0087159999999997</v>
      </c>
      <c r="J7">
        <v>0.35440260000000001</v>
      </c>
      <c r="K7">
        <v>0.40098760754208751</v>
      </c>
      <c r="L7">
        <v>0.46794444444444444</v>
      </c>
      <c r="M7">
        <v>0.53515463917525785</v>
      </c>
      <c r="N7">
        <v>0.60270833333333329</v>
      </c>
      <c r="O7">
        <v>0.67157894736842105</v>
      </c>
      <c r="P7">
        <v>7.9311053821476737E-3</v>
      </c>
      <c r="Q7">
        <v>1.2055280180864462E-2</v>
      </c>
      <c r="R7">
        <v>3.1724421528590695E-2</v>
      </c>
      <c r="S7">
        <v>4.2791847966607236E-3</v>
      </c>
      <c r="T7">
        <v>6.5043608909243003E-3</v>
      </c>
      <c r="U7">
        <v>1.7116739186642894E-2</v>
      </c>
      <c r="V7" s="70">
        <v>4.07</v>
      </c>
      <c r="W7">
        <v>8.4206279257465706</v>
      </c>
      <c r="X7">
        <v>42.652038824038769</v>
      </c>
      <c r="Y7">
        <v>45.260303042038515</v>
      </c>
      <c r="Z7">
        <v>44.062643244815092</v>
      </c>
      <c r="AA7">
        <v>126.90888297013721</v>
      </c>
      <c r="AB7">
        <v>178.11442755619333</v>
      </c>
      <c r="AC7">
        <v>189.55713509322453</v>
      </c>
      <c r="AD7">
        <v>184.3028856602443</v>
      </c>
      <c r="AF7">
        <v>1335.9775616489146</v>
      </c>
      <c r="AG7">
        <v>2133.0090371047299</v>
      </c>
      <c r="AH7">
        <v>4266.0180742094599</v>
      </c>
      <c r="AI7">
        <v>12798.05422262838</v>
      </c>
      <c r="AJ7" t="str">
        <f t="shared" si="0"/>
        <v>No</v>
      </c>
    </row>
    <row r="8" spans="1:36" x14ac:dyDescent="0.25">
      <c r="A8" s="53" t="s">
        <v>221</v>
      </c>
      <c r="D8" t="s">
        <v>201</v>
      </c>
      <c r="H8">
        <f>VLOOKUP($A8,raw[],11,FALSE)</f>
        <v>0.98</v>
      </c>
      <c r="I8" s="70">
        <v>4.4006619999999996</v>
      </c>
      <c r="J8">
        <v>0.35440260000000001</v>
      </c>
      <c r="K8">
        <v>0.40098760754208751</v>
      </c>
      <c r="L8">
        <v>0.46794444444444444</v>
      </c>
      <c r="M8">
        <v>0.53515463917525785</v>
      </c>
      <c r="N8">
        <v>0.60270833333333329</v>
      </c>
      <c r="O8">
        <v>0.67157894736842105</v>
      </c>
      <c r="P8">
        <v>7.7340116925971739E-3</v>
      </c>
      <c r="Q8">
        <v>1.1755697772747703E-2</v>
      </c>
      <c r="R8">
        <v>3.0936046770388696E-2</v>
      </c>
      <c r="S8">
        <v>4.2344365139058825E-3</v>
      </c>
      <c r="T8">
        <v>6.4363435011369407E-3</v>
      </c>
      <c r="U8">
        <v>1.693774605562353E-2</v>
      </c>
      <c r="V8" s="70">
        <v>4.07</v>
      </c>
      <c r="W8">
        <v>9.0015708167984823</v>
      </c>
      <c r="X8">
        <v>49.472366474957482</v>
      </c>
      <c r="Y8">
        <v>55.328012386811046</v>
      </c>
      <c r="Z8">
        <v>52.639223556674416</v>
      </c>
      <c r="AA8">
        <v>134.55323066566527</v>
      </c>
      <c r="AB8">
        <v>221.69198571092022</v>
      </c>
      <c r="AC8">
        <v>251.83667338502664</v>
      </c>
      <c r="AD8">
        <v>237.99486998260102</v>
      </c>
      <c r="AF8">
        <v>1675.6766249547813</v>
      </c>
      <c r="AG8">
        <v>2110.7037392392399</v>
      </c>
      <c r="AH8">
        <v>4221.4074784784798</v>
      </c>
      <c r="AI8">
        <v>12664.22243543544</v>
      </c>
      <c r="AJ8" t="str">
        <f t="shared" si="0"/>
        <v>No</v>
      </c>
    </row>
    <row r="9" spans="1:36" x14ac:dyDescent="0.25">
      <c r="A9" s="55" t="s">
        <v>223</v>
      </c>
      <c r="D9" t="s">
        <v>225</v>
      </c>
      <c r="H9">
        <f>VLOOKUP($A9,raw[],11,FALSE)</f>
        <v>0</v>
      </c>
      <c r="I9" s="70">
        <v>2.1127299999999996</v>
      </c>
      <c r="J9">
        <v>0.35440260000000001</v>
      </c>
      <c r="K9">
        <v>0.40098760754208751</v>
      </c>
      <c r="L9">
        <v>0.46794444444444444</v>
      </c>
      <c r="M9">
        <v>0.53515463917525785</v>
      </c>
      <c r="N9">
        <v>0.60270833333333329</v>
      </c>
      <c r="O9">
        <v>0.67157894736842105</v>
      </c>
      <c r="P9">
        <v>7.1541175030299248E-3</v>
      </c>
      <c r="Q9">
        <v>1.0874258604605485E-2</v>
      </c>
      <c r="R9">
        <v>2.8616470012119699E-2</v>
      </c>
      <c r="S9">
        <v>3.632618053312222E-3</v>
      </c>
      <c r="T9">
        <v>5.5215794410345773E-3</v>
      </c>
      <c r="U9">
        <v>1.4530472213248888E-2</v>
      </c>
      <c r="V9" s="70">
        <v>1.8098474610082642</v>
      </c>
      <c r="W9">
        <v>7.9338672007268993</v>
      </c>
      <c r="X9">
        <v>39.1706580270655</v>
      </c>
      <c r="Y9">
        <v>40.22032716302116</v>
      </c>
      <c r="Z9">
        <v>39.738341282969316</v>
      </c>
      <c r="AA9">
        <v>118.95250020475962</v>
      </c>
      <c r="AB9">
        <v>157.48588624128527</v>
      </c>
      <c r="AC9">
        <v>162.33317815976801</v>
      </c>
      <c r="AD9">
        <v>160.10740416949915</v>
      </c>
      <c r="AF9">
        <v>147.85341269981555</v>
      </c>
      <c r="AG9">
        <v>980.80687439430005</v>
      </c>
      <c r="AH9">
        <v>1961.6137487886001</v>
      </c>
      <c r="AI9">
        <v>5884.8412463658005</v>
      </c>
      <c r="AJ9" t="str">
        <f t="shared" si="0"/>
        <v>Yes</v>
      </c>
    </row>
    <row r="10" spans="1:36" x14ac:dyDescent="0.25">
      <c r="A10" s="53" t="s">
        <v>227</v>
      </c>
      <c r="D10" t="s">
        <v>201</v>
      </c>
      <c r="H10">
        <f>VLOOKUP($A10,raw[],11,FALSE)</f>
        <v>0.97</v>
      </c>
      <c r="I10" s="70">
        <v>5.0602460000000002</v>
      </c>
      <c r="J10">
        <v>0.35440260000000001</v>
      </c>
      <c r="K10">
        <v>0.40098760754208751</v>
      </c>
      <c r="L10">
        <v>0.46794444444444444</v>
      </c>
      <c r="M10">
        <v>0.53515463917525785</v>
      </c>
      <c r="N10">
        <v>0.60270833333333329</v>
      </c>
      <c r="O10">
        <v>0.67157894736842105</v>
      </c>
      <c r="P10">
        <v>1.1699814193789347E-2</v>
      </c>
      <c r="Q10">
        <v>1.7783717574559807E-2</v>
      </c>
      <c r="R10">
        <v>4.6799256775157387E-2</v>
      </c>
      <c r="S10">
        <v>6.4439798066013784E-3</v>
      </c>
      <c r="T10">
        <v>9.7948493060340952E-3</v>
      </c>
      <c r="U10">
        <v>2.5775919226405514E-2</v>
      </c>
      <c r="V10" s="70">
        <v>4.07</v>
      </c>
      <c r="W10">
        <v>8.9941944058277308</v>
      </c>
      <c r="X10">
        <v>49.183564058552783</v>
      </c>
      <c r="Y10">
        <v>54.892737570739797</v>
      </c>
      <c r="Z10">
        <v>52.27120577049795</v>
      </c>
      <c r="AA10">
        <v>133.34403881443592</v>
      </c>
      <c r="AB10">
        <v>219.02878339088298</v>
      </c>
      <c r="AC10">
        <v>248.41670943530912</v>
      </c>
      <c r="AD10">
        <v>234.92239497732962</v>
      </c>
      <c r="AF10">
        <v>4577.4419764162149</v>
      </c>
      <c r="AG10">
        <v>3212.0760882136101</v>
      </c>
      <c r="AH10">
        <v>6424.1521764272202</v>
      </c>
      <c r="AI10">
        <v>19272.456529281662</v>
      </c>
      <c r="AJ10" t="str">
        <f t="shared" si="0"/>
        <v>No</v>
      </c>
    </row>
    <row r="11" spans="1:36" x14ac:dyDescent="0.25">
      <c r="A11" s="55" t="s">
        <v>230</v>
      </c>
      <c r="D11" t="s">
        <v>215</v>
      </c>
      <c r="H11">
        <f>VLOOKUP($A11,raw[],11,FALSE)</f>
        <v>0.67</v>
      </c>
      <c r="I11" s="70">
        <v>9.5639679999999991</v>
      </c>
      <c r="J11">
        <v>0.35440260000000001</v>
      </c>
      <c r="K11">
        <v>0.40098760754208751</v>
      </c>
      <c r="L11">
        <v>0.46794444444444444</v>
      </c>
      <c r="M11">
        <v>0.53515463917525785</v>
      </c>
      <c r="N11">
        <v>0.60270833333333329</v>
      </c>
      <c r="O11">
        <v>0.67157894736842105</v>
      </c>
      <c r="P11">
        <v>1.4262684404513178E-2</v>
      </c>
      <c r="Q11">
        <v>2.1679280294860031E-2</v>
      </c>
      <c r="R11">
        <v>5.705073761805271E-2</v>
      </c>
      <c r="S11">
        <v>7.6206981628818881E-3</v>
      </c>
      <c r="T11">
        <v>1.158346120758047E-2</v>
      </c>
      <c r="U11">
        <v>3.0482792651527552E-2</v>
      </c>
      <c r="V11" s="70">
        <v>0.02</v>
      </c>
      <c r="W11">
        <v>8.7510152617985408</v>
      </c>
      <c r="X11">
        <v>45.94781629562182</v>
      </c>
      <c r="Y11">
        <v>50.099462435377568</v>
      </c>
      <c r="Z11">
        <v>48.193114282621607</v>
      </c>
      <c r="AA11">
        <v>132.11320262972532</v>
      </c>
      <c r="AB11">
        <v>198.63072462983635</v>
      </c>
      <c r="AC11">
        <v>218.04278123970246</v>
      </c>
      <c r="AD11">
        <v>209.12917516305603</v>
      </c>
      <c r="AF11">
        <v>3960.7429253157097</v>
      </c>
      <c r="AG11">
        <v>2057.5885039781101</v>
      </c>
      <c r="AH11">
        <v>4115.1770079562202</v>
      </c>
      <c r="AI11">
        <v>12345.531023868662</v>
      </c>
      <c r="AJ11" t="str">
        <f t="shared" si="0"/>
        <v>No</v>
      </c>
    </row>
    <row r="12" spans="1:36" x14ac:dyDescent="0.25">
      <c r="A12" s="53" t="s">
        <v>233</v>
      </c>
      <c r="D12" t="s">
        <v>207</v>
      </c>
      <c r="H12">
        <f>VLOOKUP($A12,raw[],11,FALSE)</f>
        <v>0.21</v>
      </c>
      <c r="I12" s="70">
        <v>1.5149819999999998</v>
      </c>
      <c r="J12">
        <v>0.35440260000000001</v>
      </c>
      <c r="K12">
        <v>0.40098760754208751</v>
      </c>
      <c r="L12">
        <v>0.46794444444444444</v>
      </c>
      <c r="M12">
        <v>0.53515463917525785</v>
      </c>
      <c r="N12">
        <v>0.60270833333333329</v>
      </c>
      <c r="O12">
        <v>0.67157894736842105</v>
      </c>
      <c r="P12">
        <v>4.3352708333117135E-3</v>
      </c>
      <c r="Q12">
        <v>6.5896116666338041E-3</v>
      </c>
      <c r="R12">
        <v>1.7341083333246854E-2</v>
      </c>
      <c r="S12">
        <v>2.390816615100759E-3</v>
      </c>
      <c r="T12">
        <v>3.6340412549531538E-3</v>
      </c>
      <c r="U12">
        <v>9.563266460403036E-3</v>
      </c>
      <c r="V12" s="70">
        <v>4.83</v>
      </c>
      <c r="W12">
        <v>7.7956902303415418</v>
      </c>
      <c r="X12">
        <v>37.815178761770213</v>
      </c>
      <c r="Y12">
        <v>38.231284599337279</v>
      </c>
      <c r="Z12">
        <v>38.040217594083401</v>
      </c>
      <c r="AA12">
        <v>116.50054805401113</v>
      </c>
      <c r="AB12">
        <v>149.46826702068492</v>
      </c>
      <c r="AC12">
        <v>151.41882375576034</v>
      </c>
      <c r="AD12">
        <v>150.52316933253064</v>
      </c>
      <c r="AF12">
        <v>194.01355829578853</v>
      </c>
      <c r="AG12">
        <v>645.52048607720496</v>
      </c>
      <c r="AH12">
        <v>1291.0409721544099</v>
      </c>
      <c r="AI12">
        <v>3873.1229164632296</v>
      </c>
      <c r="AJ12" t="str">
        <f t="shared" si="0"/>
        <v>No</v>
      </c>
    </row>
    <row r="13" spans="1:36" x14ac:dyDescent="0.25">
      <c r="A13" s="55" t="s">
        <v>236</v>
      </c>
      <c r="D13" t="s">
        <v>225</v>
      </c>
      <c r="H13">
        <f>VLOOKUP($A13,raw[],11,FALSE)</f>
        <v>0.85</v>
      </c>
      <c r="I13" s="70">
        <v>7.5542980000000002</v>
      </c>
      <c r="J13">
        <v>0.35440260000000001</v>
      </c>
      <c r="K13">
        <v>0.40098760754208751</v>
      </c>
      <c r="L13">
        <v>0.46794444444444444</v>
      </c>
      <c r="M13">
        <v>0.53515463917525785</v>
      </c>
      <c r="N13">
        <v>0.60270833333333329</v>
      </c>
      <c r="O13">
        <v>0.67157894736842105</v>
      </c>
      <c r="P13">
        <v>1.0112956431489019E-2</v>
      </c>
      <c r="Q13">
        <v>1.5371693775863308E-2</v>
      </c>
      <c r="R13">
        <v>4.0451825725956077E-2</v>
      </c>
      <c r="S13">
        <v>5.5569987537588145E-3</v>
      </c>
      <c r="T13">
        <v>8.4466381057133975E-3</v>
      </c>
      <c r="U13">
        <v>2.2227995015035258E-2</v>
      </c>
      <c r="V13" s="70">
        <v>1.8098474610082642</v>
      </c>
      <c r="W13">
        <v>8.148435412209972</v>
      </c>
      <c r="X13">
        <v>40.661847742543443</v>
      </c>
      <c r="Y13">
        <v>42.375953751941978</v>
      </c>
      <c r="Z13">
        <v>41.588872504011476</v>
      </c>
      <c r="AA13">
        <v>122.07161922000988</v>
      </c>
      <c r="AB13">
        <v>167.04784029178174</v>
      </c>
      <c r="AC13">
        <v>175.24840266163275</v>
      </c>
      <c r="AD13">
        <v>171.48287775920326</v>
      </c>
      <c r="AF13">
        <v>0</v>
      </c>
      <c r="AG13">
        <v>1500.3896635148801</v>
      </c>
      <c r="AH13">
        <v>3000.7793270297602</v>
      </c>
      <c r="AI13">
        <v>9002.3379810892802</v>
      </c>
      <c r="AJ13" t="str">
        <f t="shared" si="0"/>
        <v>No</v>
      </c>
    </row>
    <row r="14" spans="1:36" x14ac:dyDescent="0.25">
      <c r="A14" s="53" t="s">
        <v>238</v>
      </c>
      <c r="D14" t="s">
        <v>215</v>
      </c>
      <c r="H14">
        <f>VLOOKUP($A14,raw[],11,FALSE)</f>
        <v>0</v>
      </c>
      <c r="I14" s="70">
        <v>2.7207840000000001</v>
      </c>
      <c r="J14">
        <v>0.35440260000000001</v>
      </c>
      <c r="K14">
        <v>0.40098760754208751</v>
      </c>
      <c r="L14">
        <v>0.46794444444444444</v>
      </c>
      <c r="M14">
        <v>0.53515463917525785</v>
      </c>
      <c r="N14">
        <v>0.60270833333333329</v>
      </c>
      <c r="O14">
        <v>0.67157894736842105</v>
      </c>
      <c r="P14">
        <v>1.1252155592154036E-2</v>
      </c>
      <c r="Q14">
        <v>1.7103276500074132E-2</v>
      </c>
      <c r="R14">
        <v>4.5008622368616143E-2</v>
      </c>
      <c r="S14">
        <v>5.8020366726204437E-3</v>
      </c>
      <c r="T14">
        <v>8.8190957423830742E-3</v>
      </c>
      <c r="U14">
        <v>2.3208146690481775E-2</v>
      </c>
      <c r="V14" s="70">
        <v>0.02</v>
      </c>
      <c r="W14">
        <v>8.0989506545820742</v>
      </c>
      <c r="X14">
        <v>40.403251577139912</v>
      </c>
      <c r="Y14">
        <v>42.008522407474885</v>
      </c>
      <c r="Z14">
        <v>41.271415973287759</v>
      </c>
      <c r="AA14">
        <v>121.78688821752267</v>
      </c>
      <c r="AB14">
        <v>165.64559175715087</v>
      </c>
      <c r="AC14">
        <v>173.26452531004114</v>
      </c>
      <c r="AD14">
        <v>169.76607206629305</v>
      </c>
      <c r="AF14">
        <v>2467.3464313902941</v>
      </c>
      <c r="AG14">
        <v>1566.54990160752</v>
      </c>
      <c r="AH14">
        <v>3133.0998032150401</v>
      </c>
      <c r="AI14">
        <v>9399.2994096451202</v>
      </c>
      <c r="AJ14" t="str">
        <f t="shared" si="0"/>
        <v>Yes</v>
      </c>
    </row>
    <row r="15" spans="1:36" x14ac:dyDescent="0.25">
      <c r="A15" s="55" t="s">
        <v>241</v>
      </c>
      <c r="D15" t="s">
        <v>201</v>
      </c>
      <c r="H15">
        <f>VLOOKUP($A15,raw[],11,FALSE)</f>
        <v>0</v>
      </c>
      <c r="I15" s="70">
        <v>3.0196580000000002</v>
      </c>
      <c r="J15">
        <v>0.35440260000000001</v>
      </c>
      <c r="K15">
        <v>0.40098760754208751</v>
      </c>
      <c r="L15">
        <v>0.46794444444444444</v>
      </c>
      <c r="M15">
        <v>0.53515463917525785</v>
      </c>
      <c r="N15">
        <v>0.60270833333333329</v>
      </c>
      <c r="O15">
        <v>0.67157894736842105</v>
      </c>
      <c r="P15">
        <v>1.0962866340483763E-2</v>
      </c>
      <c r="Q15">
        <v>1.6663556837535318E-2</v>
      </c>
      <c r="R15">
        <v>4.3851465361935051E-2</v>
      </c>
      <c r="S15">
        <v>6.0985029097861835E-3</v>
      </c>
      <c r="T15">
        <v>9.2697244228749989E-3</v>
      </c>
      <c r="U15">
        <v>2.4394011639144734E-2</v>
      </c>
      <c r="V15" s="70">
        <v>4.07</v>
      </c>
      <c r="W15">
        <v>8.8379278668925014</v>
      </c>
      <c r="X15">
        <v>46.360233627044195</v>
      </c>
      <c r="Y15">
        <v>50.681293600090193</v>
      </c>
      <c r="Z15">
        <v>48.697154196039584</v>
      </c>
      <c r="AA15">
        <v>131.4672740858822</v>
      </c>
      <c r="AB15">
        <v>200.95887628225267</v>
      </c>
      <c r="AC15">
        <v>221.91883768675629</v>
      </c>
      <c r="AD15">
        <v>212.2944664469515</v>
      </c>
      <c r="AF15">
        <v>0</v>
      </c>
      <c r="AG15">
        <v>3039.8691427241902</v>
      </c>
      <c r="AH15">
        <v>6079.7382854483803</v>
      </c>
      <c r="AI15">
        <v>18239.214856345141</v>
      </c>
      <c r="AJ15" t="str">
        <f t="shared" si="0"/>
        <v>Yes</v>
      </c>
    </row>
    <row r="16" spans="1:36" x14ac:dyDescent="0.25">
      <c r="A16" s="53" t="s">
        <v>243</v>
      </c>
      <c r="D16" t="s">
        <v>207</v>
      </c>
      <c r="H16">
        <f>VLOOKUP($A16,raw[],11,FALSE)</f>
        <v>0</v>
      </c>
      <c r="I16" s="70">
        <v>7.0286920000000004</v>
      </c>
      <c r="J16">
        <v>0.35440260000000001</v>
      </c>
      <c r="K16">
        <v>0.40098760754208751</v>
      </c>
      <c r="L16">
        <v>0.46794444444444444</v>
      </c>
      <c r="M16">
        <v>0.53515463917525785</v>
      </c>
      <c r="N16">
        <v>0.60270833333333329</v>
      </c>
      <c r="O16">
        <v>0.67157894736842105</v>
      </c>
      <c r="P16">
        <v>1.1092115790121759E-2</v>
      </c>
      <c r="Q16">
        <v>1.6860016000985075E-2</v>
      </c>
      <c r="R16">
        <v>4.4368463160487037E-2</v>
      </c>
      <c r="S16">
        <v>6.4246681412561445E-3</v>
      </c>
      <c r="T16">
        <v>9.7654955747093382E-3</v>
      </c>
      <c r="U16">
        <v>2.5698672565024578E-2</v>
      </c>
      <c r="V16" s="70">
        <v>4.83</v>
      </c>
      <c r="W16">
        <v>9.6568038176033912</v>
      </c>
      <c r="X16">
        <v>56.133765837762908</v>
      </c>
      <c r="Y16">
        <v>65.115411418631481</v>
      </c>
      <c r="Z16">
        <v>60.991229615698515</v>
      </c>
      <c r="AA16">
        <v>144.3806086956522</v>
      </c>
      <c r="AB16">
        <v>258.37795671969855</v>
      </c>
      <c r="AC16">
        <v>302.50160330062181</v>
      </c>
      <c r="AD16">
        <v>282.24095744573481</v>
      </c>
      <c r="AF16">
        <v>2795.3072142869737</v>
      </c>
      <c r="AG16">
        <v>3202.4499657953702</v>
      </c>
      <c r="AH16">
        <v>6404.8999315907404</v>
      </c>
      <c r="AI16">
        <v>19214.699794772219</v>
      </c>
      <c r="AJ16" t="str">
        <f t="shared" si="0"/>
        <v>Yes</v>
      </c>
    </row>
    <row r="17" spans="1:36" x14ac:dyDescent="0.25">
      <c r="A17" s="55" t="s">
        <v>246</v>
      </c>
      <c r="D17" t="s">
        <v>215</v>
      </c>
      <c r="H17">
        <f>VLOOKUP($A17,raw[],11,FALSE)</f>
        <v>0.63</v>
      </c>
      <c r="I17" s="70">
        <v>1.9787519999999998</v>
      </c>
      <c r="J17">
        <v>0.35440260000000001</v>
      </c>
      <c r="K17">
        <v>0.40098760754208751</v>
      </c>
      <c r="L17">
        <v>0.46794444444444444</v>
      </c>
      <c r="M17">
        <v>0.53515463917525785</v>
      </c>
      <c r="N17">
        <v>0.60270833333333329</v>
      </c>
      <c r="O17">
        <v>0.67157894736842105</v>
      </c>
      <c r="P17">
        <v>1.1999797876498545E-2</v>
      </c>
      <c r="Q17">
        <v>1.8239692772277789E-2</v>
      </c>
      <c r="R17">
        <v>4.7999191505994181E-2</v>
      </c>
      <c r="S17">
        <v>6.8178224575327169E-3</v>
      </c>
      <c r="T17">
        <v>1.036309013544973E-2</v>
      </c>
      <c r="U17">
        <v>2.7271289830130867E-2</v>
      </c>
      <c r="V17" s="70">
        <v>0.02</v>
      </c>
      <c r="W17">
        <v>8.0641717246484106</v>
      </c>
      <c r="X17">
        <v>40.962910488080126</v>
      </c>
      <c r="Y17">
        <v>42.877565438305311</v>
      </c>
      <c r="Z17">
        <v>41.998396355811792</v>
      </c>
      <c r="AA17">
        <v>121.34522575869727</v>
      </c>
      <c r="AB17">
        <v>168.79327280226792</v>
      </c>
      <c r="AC17">
        <v>178.28033419728618</v>
      </c>
      <c r="AD17">
        <v>173.924076135625</v>
      </c>
      <c r="AF17">
        <v>8145.9723111015892</v>
      </c>
      <c r="AG17">
        <v>3398.422271139385</v>
      </c>
      <c r="AH17">
        <v>6796.8445422787699</v>
      </c>
      <c r="AI17">
        <v>20390.53362683631</v>
      </c>
      <c r="AJ17" t="str">
        <f t="shared" si="0"/>
        <v>No</v>
      </c>
    </row>
    <row r="18" spans="1:36" x14ac:dyDescent="0.25">
      <c r="A18" s="53" t="s">
        <v>249</v>
      </c>
      <c r="D18" t="s">
        <v>201</v>
      </c>
      <c r="H18">
        <f>VLOOKUP($A18,raw[],11,FALSE)</f>
        <v>0.98</v>
      </c>
      <c r="I18" s="70">
        <v>5.1220819999999998</v>
      </c>
      <c r="J18">
        <v>0.35440260000000001</v>
      </c>
      <c r="K18">
        <v>0.40098760754208751</v>
      </c>
      <c r="L18">
        <v>0.46794444444444444</v>
      </c>
      <c r="M18">
        <v>0.53515463917525785</v>
      </c>
      <c r="N18">
        <v>0.60270833333333329</v>
      </c>
      <c r="O18">
        <v>0.67157894736842105</v>
      </c>
      <c r="P18">
        <v>1.8882009859797173E-2</v>
      </c>
      <c r="Q18">
        <v>2.8700654986891699E-2</v>
      </c>
      <c r="R18">
        <v>7.5528039439188691E-2</v>
      </c>
      <c r="S18">
        <v>1.0110312033631476E-2</v>
      </c>
      <c r="T18">
        <v>1.5367674291119843E-2</v>
      </c>
      <c r="U18">
        <v>4.0441248134525903E-2</v>
      </c>
      <c r="V18" s="70">
        <v>4.07</v>
      </c>
      <c r="W18">
        <v>9.0912765744751809</v>
      </c>
      <c r="X18">
        <v>52.30086220531161</v>
      </c>
      <c r="Y18">
        <v>59.581952574091552</v>
      </c>
      <c r="Z18">
        <v>56.238629779391744</v>
      </c>
      <c r="AA18">
        <v>139.14168832611352</v>
      </c>
      <c r="AB18">
        <v>236.63241737140149</v>
      </c>
      <c r="AC18">
        <v>272.16494569915517</v>
      </c>
      <c r="AD18">
        <v>255.8491597530178</v>
      </c>
      <c r="AF18">
        <v>5782.0990155458439</v>
      </c>
      <c r="AG18">
        <v>5039.6016906101504</v>
      </c>
      <c r="AH18">
        <v>10079.203381220301</v>
      </c>
      <c r="AI18">
        <v>30237.610143660902</v>
      </c>
      <c r="AJ18" t="str">
        <f t="shared" si="0"/>
        <v>No</v>
      </c>
    </row>
    <row r="19" spans="1:36" x14ac:dyDescent="0.25">
      <c r="A19" s="55" t="s">
        <v>251</v>
      </c>
      <c r="D19" t="s">
        <v>207</v>
      </c>
      <c r="H19">
        <f>VLOOKUP($A19,raw[],11,FALSE)</f>
        <v>0</v>
      </c>
      <c r="I19" s="70">
        <v>2.050894</v>
      </c>
      <c r="J19">
        <v>0.35440260000000001</v>
      </c>
      <c r="K19">
        <v>0.40098760754208751</v>
      </c>
      <c r="L19">
        <v>0.46794444444444444</v>
      </c>
      <c r="M19">
        <v>0.53515463917525785</v>
      </c>
      <c r="N19">
        <v>0.60270833333333329</v>
      </c>
      <c r="O19">
        <v>0.67157894736842105</v>
      </c>
      <c r="P19">
        <v>4.3180852412679823E-3</v>
      </c>
      <c r="Q19">
        <v>6.5634895667273322E-3</v>
      </c>
      <c r="R19">
        <v>1.7272340965071929E-2</v>
      </c>
      <c r="S19">
        <v>2.4493449843409143E-3</v>
      </c>
      <c r="T19">
        <v>3.72300437619819E-3</v>
      </c>
      <c r="U19">
        <v>9.7973799373636573E-3</v>
      </c>
      <c r="V19" s="70">
        <v>4.83</v>
      </c>
      <c r="W19">
        <v>8.0019219132628212</v>
      </c>
      <c r="X19">
        <v>39.586728264144917</v>
      </c>
      <c r="Y19">
        <v>40.817527317083545</v>
      </c>
      <c r="Z19">
        <v>40.252370407751819</v>
      </c>
      <c r="AA19">
        <v>119.83458753935003</v>
      </c>
      <c r="AB19">
        <v>161.42169624364792</v>
      </c>
      <c r="AC19">
        <v>167.85834407959484</v>
      </c>
      <c r="AD19">
        <v>164.90277144673067</v>
      </c>
      <c r="AF19">
        <v>166.11085009234634</v>
      </c>
      <c r="AG19">
        <v>428.9663648251115</v>
      </c>
      <c r="AH19">
        <v>857.932729650223</v>
      </c>
      <c r="AI19">
        <v>2573.7981889506691</v>
      </c>
      <c r="AJ19" t="str">
        <f t="shared" si="0"/>
        <v>Yes</v>
      </c>
    </row>
    <row r="20" spans="1:36" x14ac:dyDescent="0.25">
      <c r="A20" s="53" t="s">
        <v>253</v>
      </c>
      <c r="D20" t="s">
        <v>207</v>
      </c>
      <c r="H20">
        <f>VLOOKUP($A20,raw[],11,FALSE)</f>
        <v>0</v>
      </c>
      <c r="I20" s="70">
        <v>1.8241619999999998</v>
      </c>
      <c r="J20">
        <v>0.35440260000000001</v>
      </c>
      <c r="K20">
        <v>0.40098760754208751</v>
      </c>
      <c r="L20">
        <v>0.46794444444444444</v>
      </c>
      <c r="M20">
        <v>0.53515463917525785</v>
      </c>
      <c r="N20">
        <v>0.60270833333333329</v>
      </c>
      <c r="O20">
        <v>0.67157894736842105</v>
      </c>
      <c r="P20">
        <v>1.2072912511204464E-3</v>
      </c>
      <c r="Q20">
        <v>1.8350827017030785E-3</v>
      </c>
      <c r="R20">
        <v>4.8291650044817854E-3</v>
      </c>
      <c r="S20">
        <v>6.823037698063545E-4</v>
      </c>
      <c r="T20">
        <v>1.0371017301056588E-3</v>
      </c>
      <c r="U20">
        <v>2.729215079225418E-3</v>
      </c>
      <c r="V20" s="70">
        <v>4.83</v>
      </c>
      <c r="W20">
        <v>7.6141095890410959</v>
      </c>
      <c r="X20">
        <v>37.00029337693573</v>
      </c>
      <c r="Y20">
        <v>37.086786230220802</v>
      </c>
      <c r="Z20">
        <v>37.047070540218307</v>
      </c>
      <c r="AA20">
        <v>114.1930684931507</v>
      </c>
      <c r="AB20">
        <v>144.11130844067571</v>
      </c>
      <c r="AC20">
        <v>144.47471792907513</v>
      </c>
      <c r="AD20">
        <v>144.30784797350012</v>
      </c>
      <c r="AF20">
        <v>113.65890958429512</v>
      </c>
      <c r="AG20">
        <v>119.495362928248</v>
      </c>
      <c r="AH20">
        <v>238.990725856496</v>
      </c>
      <c r="AI20">
        <v>716.97217756948794</v>
      </c>
      <c r="AJ20" t="str">
        <f t="shared" si="0"/>
        <v>Yes</v>
      </c>
    </row>
    <row r="21" spans="1:36" x14ac:dyDescent="0.25">
      <c r="A21" s="55" t="s">
        <v>256</v>
      </c>
      <c r="D21" t="s">
        <v>207</v>
      </c>
      <c r="H21">
        <f>VLOOKUP($A21,raw[],11,FALSE)</f>
        <v>0.96</v>
      </c>
      <c r="I21" s="70">
        <v>8.6055099999999989</v>
      </c>
      <c r="J21">
        <v>0.35440260000000001</v>
      </c>
      <c r="K21">
        <v>0.40098760754208751</v>
      </c>
      <c r="L21">
        <v>0.46794444444444444</v>
      </c>
      <c r="M21">
        <v>0.53515463917525785</v>
      </c>
      <c r="N21">
        <v>0.60270833333333329</v>
      </c>
      <c r="O21">
        <v>0.67157894736842105</v>
      </c>
      <c r="P21">
        <v>1.0729907356599297E-2</v>
      </c>
      <c r="Q21">
        <v>1.630945918203093E-2</v>
      </c>
      <c r="R21">
        <v>4.2919629426397189E-2</v>
      </c>
      <c r="S21">
        <v>5.6745784970892409E-3</v>
      </c>
      <c r="T21">
        <v>8.6253593155756446E-3</v>
      </c>
      <c r="U21">
        <v>2.2698313988356963E-2</v>
      </c>
      <c r="V21" s="70">
        <v>4.83</v>
      </c>
      <c r="W21">
        <v>8.2763846153846163</v>
      </c>
      <c r="X21">
        <v>41.097311989537182</v>
      </c>
      <c r="Y21">
        <v>42.97146883123991</v>
      </c>
      <c r="Z21">
        <v>42.110895624158935</v>
      </c>
      <c r="AA21">
        <v>124.34865384615381</v>
      </c>
      <c r="AB21">
        <v>171.32737372551114</v>
      </c>
      <c r="AC21">
        <v>180.57016673507923</v>
      </c>
      <c r="AD21">
        <v>176.32607155284086</v>
      </c>
      <c r="AF21">
        <v>2643.697206002731</v>
      </c>
      <c r="AG21">
        <v>1532.136194214095</v>
      </c>
      <c r="AH21">
        <v>3064.27238842819</v>
      </c>
      <c r="AI21">
        <v>9192.8171652845704</v>
      </c>
      <c r="AJ21" t="str">
        <f t="shared" si="0"/>
        <v>No</v>
      </c>
    </row>
    <row r="22" spans="1:36" x14ac:dyDescent="0.25">
      <c r="A22" s="53" t="s">
        <v>258</v>
      </c>
      <c r="D22" t="s">
        <v>260</v>
      </c>
      <c r="H22">
        <f>VLOOKUP($A22,raw[],11,FALSE)</f>
        <v>0.94</v>
      </c>
      <c r="I22" s="70">
        <v>2.6589480000000001</v>
      </c>
      <c r="J22">
        <v>0.35440260000000001</v>
      </c>
      <c r="K22">
        <v>0.40098760754208751</v>
      </c>
      <c r="L22">
        <v>0.46794444444444444</v>
      </c>
      <c r="M22">
        <v>0.53515463917525785</v>
      </c>
      <c r="N22">
        <v>0.60270833333333329</v>
      </c>
      <c r="O22">
        <v>0.67157894736842105</v>
      </c>
      <c r="P22">
        <v>5.2380067795437212E-3</v>
      </c>
      <c r="Q22">
        <v>7.9617703049064559E-3</v>
      </c>
      <c r="R22">
        <v>2.0952027118174885E-2</v>
      </c>
      <c r="S22">
        <v>2.858646773283E-3</v>
      </c>
      <c r="T22">
        <v>4.3451430953901594E-3</v>
      </c>
      <c r="U22">
        <v>1.1434587093132E-2</v>
      </c>
      <c r="V22" s="70">
        <v>0.63</v>
      </c>
      <c r="W22">
        <v>7.7779661190965097</v>
      </c>
      <c r="X22">
        <v>37.985626266980347</v>
      </c>
      <c r="Y22">
        <v>38.499668854098417</v>
      </c>
      <c r="Z22">
        <v>38.263631363569878</v>
      </c>
      <c r="AA22">
        <v>116.88556981519508</v>
      </c>
      <c r="AB22">
        <v>150.57617633416794</v>
      </c>
      <c r="AC22">
        <v>152.90297077446556</v>
      </c>
      <c r="AD22">
        <v>151.83455594964977</v>
      </c>
      <c r="AF22">
        <v>249.77996992221915</v>
      </c>
      <c r="AG22">
        <v>771.83462878641001</v>
      </c>
      <c r="AH22">
        <v>1543.66925757282</v>
      </c>
      <c r="AI22">
        <v>4631.0077727184598</v>
      </c>
      <c r="AJ22" t="str">
        <f t="shared" si="0"/>
        <v>No</v>
      </c>
    </row>
    <row r="23" spans="1:36" x14ac:dyDescent="0.25">
      <c r="A23" s="55" t="s">
        <v>263</v>
      </c>
      <c r="D23" t="s">
        <v>207</v>
      </c>
      <c r="H23">
        <f>VLOOKUP($A23,raw[],11,FALSE)</f>
        <v>0</v>
      </c>
      <c r="I23" s="70">
        <v>1.5974299999999999</v>
      </c>
      <c r="J23">
        <v>0.35440260000000001</v>
      </c>
      <c r="K23">
        <v>0.40098760754208751</v>
      </c>
      <c r="L23">
        <v>0.46794444444444444</v>
      </c>
      <c r="M23">
        <v>0.53515463917525785</v>
      </c>
      <c r="N23">
        <v>0.60270833333333329</v>
      </c>
      <c r="O23">
        <v>0.67157894736842105</v>
      </c>
      <c r="P23">
        <v>5.9828875966064891E-3</v>
      </c>
      <c r="Q23">
        <v>9.0939891468418636E-3</v>
      </c>
      <c r="R23">
        <v>2.3931550386425957E-2</v>
      </c>
      <c r="S23">
        <v>2.8465374413476482E-3</v>
      </c>
      <c r="T23">
        <v>4.3267369108484248E-3</v>
      </c>
      <c r="U23">
        <v>1.1386149765390593E-2</v>
      </c>
      <c r="V23" s="70">
        <v>4.83</v>
      </c>
      <c r="W23">
        <v>7.9023455657492363</v>
      </c>
      <c r="X23">
        <v>38.440388113928698</v>
      </c>
      <c r="Y23">
        <v>39.126383193156634</v>
      </c>
      <c r="Z23">
        <v>38.811388752863898</v>
      </c>
      <c r="AA23">
        <v>118.63441896024466</v>
      </c>
      <c r="AB23">
        <v>153.89788812560084</v>
      </c>
      <c r="AC23">
        <v>157.0433025999867</v>
      </c>
      <c r="AD23">
        <v>155.59899475894076</v>
      </c>
      <c r="AF23">
        <v>123.22946294782788</v>
      </c>
      <c r="AG23">
        <v>768.56510916386503</v>
      </c>
      <c r="AH23">
        <v>1537.1302183277301</v>
      </c>
      <c r="AI23">
        <v>4611.39065498319</v>
      </c>
      <c r="AJ23" t="str">
        <f t="shared" si="0"/>
        <v>Yes</v>
      </c>
    </row>
    <row r="24" spans="1:36" x14ac:dyDescent="0.25">
      <c r="A24" s="53" t="s">
        <v>265</v>
      </c>
      <c r="D24" t="s">
        <v>207</v>
      </c>
      <c r="H24">
        <f>VLOOKUP($A24,raw[],11,FALSE)</f>
        <v>0</v>
      </c>
      <c r="I24" s="70">
        <v>0.71111399999999991</v>
      </c>
      <c r="J24">
        <v>0.35440260000000001</v>
      </c>
      <c r="K24">
        <v>0.40098760754208751</v>
      </c>
      <c r="L24">
        <v>0.46794444444444444</v>
      </c>
      <c r="M24">
        <v>0.53515463917525785</v>
      </c>
      <c r="N24">
        <v>0.60270833333333329</v>
      </c>
      <c r="O24">
        <v>0.67157894736842105</v>
      </c>
      <c r="P24">
        <v>2.5714324036456978E-3</v>
      </c>
      <c r="Q24">
        <v>3.9085772535414603E-3</v>
      </c>
      <c r="R24">
        <v>1.0285729614582791E-2</v>
      </c>
      <c r="S24">
        <v>1.4069017927606196E-3</v>
      </c>
      <c r="T24">
        <v>2.1384907249961419E-3</v>
      </c>
      <c r="U24">
        <v>5.6276071710424785E-3</v>
      </c>
      <c r="V24" s="70">
        <v>4.83</v>
      </c>
      <c r="W24">
        <v>7.7162689075630251</v>
      </c>
      <c r="X24">
        <v>37.434358723808742</v>
      </c>
      <c r="Y24">
        <v>37.693597064354023</v>
      </c>
      <c r="Z24">
        <v>37.574560297976078</v>
      </c>
      <c r="AA24">
        <v>115.74919327731094</v>
      </c>
      <c r="AB24">
        <v>147.02185938103207</v>
      </c>
      <c r="AC24">
        <v>148.09020034498326</v>
      </c>
      <c r="AD24">
        <v>147.59964075618802</v>
      </c>
      <c r="AF24">
        <v>0</v>
      </c>
      <c r="AG24">
        <v>246.39793559699501</v>
      </c>
      <c r="AH24">
        <v>492.79587119399002</v>
      </c>
      <c r="AI24">
        <v>1478.3876135819701</v>
      </c>
      <c r="AJ24" t="str">
        <f t="shared" si="0"/>
        <v>Yes</v>
      </c>
    </row>
    <row r="25" spans="1:36" x14ac:dyDescent="0.25">
      <c r="A25" s="55" t="s">
        <v>267</v>
      </c>
      <c r="D25" t="s">
        <v>207</v>
      </c>
      <c r="H25">
        <f>VLOOKUP($A25,raw[],11,FALSE)</f>
        <v>0</v>
      </c>
      <c r="I25" s="70">
        <v>0.52560600000000002</v>
      </c>
      <c r="J25">
        <v>0.35440260000000001</v>
      </c>
      <c r="K25">
        <v>0.40098760754208751</v>
      </c>
      <c r="L25">
        <v>0.46794444444444444</v>
      </c>
      <c r="M25">
        <v>0.53515463917525785</v>
      </c>
      <c r="N25">
        <v>0.60270833333333329</v>
      </c>
      <c r="O25">
        <v>0.67157894736842105</v>
      </c>
      <c r="P25">
        <v>3.3670127269040217E-3</v>
      </c>
      <c r="Q25">
        <v>5.117859344894113E-3</v>
      </c>
      <c r="R25">
        <v>1.3468050907616087E-2</v>
      </c>
      <c r="S25">
        <v>1.8821752827298333E-3</v>
      </c>
      <c r="T25">
        <v>2.8609064297493462E-3</v>
      </c>
      <c r="U25">
        <v>7.5287011309193332E-3</v>
      </c>
      <c r="V25" s="70">
        <v>4.83</v>
      </c>
      <c r="W25">
        <v>7.797638655462185</v>
      </c>
      <c r="X25">
        <v>37.919931256888596</v>
      </c>
      <c r="Y25">
        <v>38.38954301976927</v>
      </c>
      <c r="Z25">
        <v>38.173907224582564</v>
      </c>
      <c r="AA25">
        <v>116.7271848739496</v>
      </c>
      <c r="AB25">
        <v>149.73928020340685</v>
      </c>
      <c r="AC25">
        <v>151.71293328430625</v>
      </c>
      <c r="AD25">
        <v>150.80667350726873</v>
      </c>
      <c r="AF25">
        <v>140.04729133054894</v>
      </c>
      <c r="AG25">
        <v>329.63502248890052</v>
      </c>
      <c r="AH25">
        <v>659.27004497780104</v>
      </c>
      <c r="AI25">
        <v>1977.8101349334031</v>
      </c>
      <c r="AJ25" t="str">
        <f t="shared" si="0"/>
        <v>Yes</v>
      </c>
    </row>
    <row r="26" spans="1:36" x14ac:dyDescent="0.25">
      <c r="A26" s="53" t="s">
        <v>269</v>
      </c>
      <c r="D26" t="s">
        <v>260</v>
      </c>
      <c r="H26">
        <f>VLOOKUP($A26,raw[],11,FALSE)</f>
        <v>0.95</v>
      </c>
      <c r="I26" s="70">
        <v>2.2054840000000002</v>
      </c>
      <c r="J26">
        <v>0.35440260000000001</v>
      </c>
      <c r="K26">
        <v>0.40098760754208751</v>
      </c>
      <c r="L26">
        <v>0.46794444444444444</v>
      </c>
      <c r="M26">
        <v>0.53515463917525785</v>
      </c>
      <c r="N26">
        <v>0.60270833333333329</v>
      </c>
      <c r="O26">
        <v>0.67157894736842105</v>
      </c>
      <c r="P26">
        <v>1.9430502623701076E-2</v>
      </c>
      <c r="Q26">
        <v>2.9534363988025635E-2</v>
      </c>
      <c r="R26">
        <v>7.7722010494804303E-2</v>
      </c>
      <c r="S26">
        <v>1.0466981283741565E-2</v>
      </c>
      <c r="T26">
        <v>1.5909811551287178E-2</v>
      </c>
      <c r="U26">
        <v>4.1867925134966261E-2</v>
      </c>
      <c r="V26" s="70">
        <v>0.63</v>
      </c>
      <c r="W26">
        <v>8.6526611589755706</v>
      </c>
      <c r="X26">
        <v>44.850925946671587</v>
      </c>
      <c r="Y26">
        <v>48.482868870305694</v>
      </c>
      <c r="Z26">
        <v>46.815157449266252</v>
      </c>
      <c r="AA26">
        <v>128.6391856485306</v>
      </c>
      <c r="AB26">
        <v>189.88246819644192</v>
      </c>
      <c r="AC26">
        <v>206.54946751215894</v>
      </c>
      <c r="AD26">
        <v>198.89633372186645</v>
      </c>
      <c r="AF26">
        <v>5159.5884823359311</v>
      </c>
      <c r="AG26">
        <v>5217.3875937419498</v>
      </c>
      <c r="AH26">
        <v>10434.7751874839</v>
      </c>
      <c r="AI26">
        <v>31304.325562451697</v>
      </c>
      <c r="AJ26" t="str">
        <f t="shared" si="0"/>
        <v>No</v>
      </c>
    </row>
    <row r="27" spans="1:36" x14ac:dyDescent="0.25">
      <c r="A27" s="55" t="s">
        <v>272</v>
      </c>
      <c r="D27" t="s">
        <v>215</v>
      </c>
      <c r="H27">
        <f>VLOOKUP($A27,raw[],11,FALSE)</f>
        <v>0.88</v>
      </c>
      <c r="I27" s="70">
        <v>3.112412</v>
      </c>
      <c r="J27">
        <v>0.35440260000000001</v>
      </c>
      <c r="K27">
        <v>0.40098760754208751</v>
      </c>
      <c r="L27">
        <v>0.46794444444444444</v>
      </c>
      <c r="M27">
        <v>0.53515463917525785</v>
      </c>
      <c r="N27">
        <v>0.60270833333333329</v>
      </c>
      <c r="O27">
        <v>0.67157894736842105</v>
      </c>
      <c r="P27">
        <v>1.0334559732000603E-2</v>
      </c>
      <c r="Q27">
        <v>1.5708530792640913E-2</v>
      </c>
      <c r="R27">
        <v>4.133823892800241E-2</v>
      </c>
      <c r="S27">
        <v>5.3510207214821923E-3</v>
      </c>
      <c r="T27">
        <v>8.1335514966529316E-3</v>
      </c>
      <c r="U27">
        <v>2.1404082885928769E-2</v>
      </c>
      <c r="V27" s="70">
        <v>0.02</v>
      </c>
      <c r="W27">
        <v>10.586290960702561</v>
      </c>
      <c r="X27">
        <v>50.828822586845789</v>
      </c>
      <c r="Y27">
        <v>56.565665048124991</v>
      </c>
      <c r="Z27">
        <v>53.931428251307096</v>
      </c>
      <c r="AA27">
        <v>156.26273751441499</v>
      </c>
      <c r="AB27">
        <v>229.271674291431</v>
      </c>
      <c r="AC27">
        <v>252.06228541028096</v>
      </c>
      <c r="AD27">
        <v>241.59731851665376</v>
      </c>
      <c r="AF27">
        <v>8721.7137334522304</v>
      </c>
      <c r="AG27">
        <v>2667.2780211695849</v>
      </c>
      <c r="AH27">
        <v>5334.5560423391698</v>
      </c>
      <c r="AI27">
        <v>16003.66812701751</v>
      </c>
      <c r="AJ27" t="str">
        <f t="shared" si="0"/>
        <v>No</v>
      </c>
    </row>
    <row r="28" spans="1:36" x14ac:dyDescent="0.25">
      <c r="A28" s="53" t="s">
        <v>275</v>
      </c>
      <c r="D28" t="s">
        <v>207</v>
      </c>
      <c r="H28">
        <f>VLOOKUP($A28,raw[],11,FALSE)</f>
        <v>0</v>
      </c>
      <c r="I28" s="70">
        <v>4.8953499999999996</v>
      </c>
      <c r="J28">
        <v>0.35440260000000001</v>
      </c>
      <c r="K28">
        <v>0.40098760754208751</v>
      </c>
      <c r="L28">
        <v>0.46794444444444444</v>
      </c>
      <c r="M28">
        <v>0.53515463917525785</v>
      </c>
      <c r="N28">
        <v>0.60270833333333329</v>
      </c>
      <c r="O28">
        <v>0.67157894736842105</v>
      </c>
      <c r="P28">
        <v>4.9018290553068042E-3</v>
      </c>
      <c r="Q28">
        <v>7.4507801640663418E-3</v>
      </c>
      <c r="R28">
        <v>1.9607316221227217E-2</v>
      </c>
      <c r="S28">
        <v>2.6308550879114998E-3</v>
      </c>
      <c r="T28">
        <v>3.9988997336254791E-3</v>
      </c>
      <c r="U28">
        <v>1.0523420351645999E-2</v>
      </c>
      <c r="V28" s="70">
        <v>4.83</v>
      </c>
      <c r="W28">
        <v>7.7961583949313624</v>
      </c>
      <c r="X28">
        <v>37.783619261527143</v>
      </c>
      <c r="Y28">
        <v>38.183055818952319</v>
      </c>
      <c r="Z28">
        <v>37.999642994795906</v>
      </c>
      <c r="AA28">
        <v>116.83361140443508</v>
      </c>
      <c r="AB28">
        <v>149.49070608305419</v>
      </c>
      <c r="AC28">
        <v>151.27959373287246</v>
      </c>
      <c r="AD28">
        <v>150.45817433634375</v>
      </c>
      <c r="AF28">
        <v>237.08753987247206</v>
      </c>
      <c r="AG28">
        <v>710.33087373610499</v>
      </c>
      <c r="AH28">
        <v>1420.66174747221</v>
      </c>
      <c r="AI28">
        <v>4261.9852424166302</v>
      </c>
      <c r="AJ28" t="str">
        <f t="shared" si="0"/>
        <v>Yes</v>
      </c>
    </row>
    <row r="29" spans="1:36" x14ac:dyDescent="0.25">
      <c r="A29" s="55" t="s">
        <v>277</v>
      </c>
      <c r="D29" t="s">
        <v>207</v>
      </c>
      <c r="H29">
        <f>VLOOKUP($A29,raw[],11,FALSE)</f>
        <v>0</v>
      </c>
      <c r="I29" s="70">
        <v>1.0409059999999999</v>
      </c>
      <c r="J29">
        <v>0.35440260000000001</v>
      </c>
      <c r="K29">
        <v>0.40098760754208751</v>
      </c>
      <c r="L29">
        <v>0.46794444444444444</v>
      </c>
      <c r="M29">
        <v>0.53515463917525785</v>
      </c>
      <c r="N29">
        <v>0.60270833333333329</v>
      </c>
      <c r="O29">
        <v>0.67157894736842105</v>
      </c>
      <c r="P29">
        <v>2.7228998236468148E-3</v>
      </c>
      <c r="Q29">
        <v>4.1388077319431575E-3</v>
      </c>
      <c r="R29">
        <v>1.0891599294587259E-2</v>
      </c>
      <c r="S29">
        <v>1.5529447934478943E-3</v>
      </c>
      <c r="T29">
        <v>2.3604760860407993E-3</v>
      </c>
      <c r="U29">
        <v>6.2117791737915772E-3</v>
      </c>
      <c r="V29" s="70">
        <v>4.83</v>
      </c>
      <c r="W29">
        <v>8.0019219132628212</v>
      </c>
      <c r="X29">
        <v>39.586728264144917</v>
      </c>
      <c r="Y29">
        <v>40.817527317083545</v>
      </c>
      <c r="Z29">
        <v>40.252370407751819</v>
      </c>
      <c r="AA29">
        <v>119.83458753935003</v>
      </c>
      <c r="AB29">
        <v>161.42169624364792</v>
      </c>
      <c r="AC29">
        <v>167.85834407959484</v>
      </c>
      <c r="AD29">
        <v>164.90277144673067</v>
      </c>
      <c r="AF29">
        <v>60.658947650877487</v>
      </c>
      <c r="AG29">
        <v>271.97519625790147</v>
      </c>
      <c r="AH29">
        <v>543.95039251580295</v>
      </c>
      <c r="AI29">
        <v>1631.851177547409</v>
      </c>
      <c r="AJ29" t="str">
        <f t="shared" si="0"/>
        <v>Yes</v>
      </c>
    </row>
    <row r="30" spans="1:36" x14ac:dyDescent="0.25">
      <c r="A30" s="53" t="s">
        <v>279</v>
      </c>
      <c r="D30" t="s">
        <v>207</v>
      </c>
      <c r="H30">
        <f>VLOOKUP($A30,raw[],11,FALSE)</f>
        <v>0</v>
      </c>
      <c r="I30" s="70">
        <v>2.174566</v>
      </c>
      <c r="J30">
        <v>0.35440260000000001</v>
      </c>
      <c r="K30">
        <v>0.40098760754208751</v>
      </c>
      <c r="L30">
        <v>0.46794444444444444</v>
      </c>
      <c r="M30">
        <v>0.53515463917525785</v>
      </c>
      <c r="N30">
        <v>0.60270833333333329</v>
      </c>
      <c r="O30">
        <v>0.67157894736842105</v>
      </c>
      <c r="P30">
        <v>6.249923662013112E-3</v>
      </c>
      <c r="Q30">
        <v>9.4998839662599303E-3</v>
      </c>
      <c r="R30">
        <v>2.4999694648052448E-2</v>
      </c>
      <c r="S30">
        <v>3.4187616612721297E-3</v>
      </c>
      <c r="T30">
        <v>5.1965177251336366E-3</v>
      </c>
      <c r="U30">
        <v>1.3675046645088519E-2</v>
      </c>
      <c r="V30" s="70">
        <v>4.83</v>
      </c>
      <c r="W30">
        <v>8.3102580042065899</v>
      </c>
      <c r="X30">
        <v>41.178845780573234</v>
      </c>
      <c r="Y30">
        <v>43.07780819584265</v>
      </c>
      <c r="Z30">
        <v>42.20584479370288</v>
      </c>
      <c r="AA30">
        <v>123.64203552231831</v>
      </c>
      <c r="AB30">
        <v>170.07516865884244</v>
      </c>
      <c r="AC30">
        <v>179.03400283764856</v>
      </c>
      <c r="AD30">
        <v>174.92029554837106</v>
      </c>
      <c r="AF30">
        <v>1557.5850890077306</v>
      </c>
      <c r="AG30">
        <v>923.06564854347505</v>
      </c>
      <c r="AH30">
        <v>1846.1312970869501</v>
      </c>
      <c r="AI30">
        <v>5538.3938912608501</v>
      </c>
      <c r="AJ30" t="str">
        <f t="shared" si="0"/>
        <v>Yes</v>
      </c>
    </row>
    <row r="31" spans="1:36" x14ac:dyDescent="0.25">
      <c r="A31" s="55" t="s">
        <v>281</v>
      </c>
      <c r="D31" t="s">
        <v>215</v>
      </c>
      <c r="H31">
        <f>VLOOKUP($A31,raw[],11,FALSE)</f>
        <v>0.87</v>
      </c>
      <c r="I31" s="70">
        <v>6.4206380000000003</v>
      </c>
      <c r="J31">
        <v>0.35440260000000001</v>
      </c>
      <c r="K31">
        <v>0.40098760754208751</v>
      </c>
      <c r="L31">
        <v>0.46794444444444444</v>
      </c>
      <c r="M31">
        <v>0.53515463917525785</v>
      </c>
      <c r="N31">
        <v>0.60270833333333329</v>
      </c>
      <c r="O31">
        <v>0.67157894736842105</v>
      </c>
      <c r="P31">
        <v>2.2758398797089699E-2</v>
      </c>
      <c r="Q31">
        <v>3.459276617157634E-2</v>
      </c>
      <c r="R31">
        <v>9.1033595188358796E-2</v>
      </c>
      <c r="S31">
        <v>1.2178325926657423E-2</v>
      </c>
      <c r="T31">
        <v>1.8511055408519283E-2</v>
      </c>
      <c r="U31">
        <v>4.8713303706629692E-2</v>
      </c>
      <c r="V31" s="70">
        <v>0.02</v>
      </c>
      <c r="W31">
        <v>9.5978449345279113</v>
      </c>
      <c r="X31">
        <v>54.764236576081657</v>
      </c>
      <c r="Y31">
        <v>63.063776080824518</v>
      </c>
      <c r="Z31">
        <v>59.252802970162797</v>
      </c>
      <c r="AA31">
        <v>144.18636595451409</v>
      </c>
      <c r="AB31">
        <v>249.29303572907432</v>
      </c>
      <c r="AC31">
        <v>288.78939502054664</v>
      </c>
      <c r="AD31">
        <v>270.65350168058251</v>
      </c>
      <c r="AF31">
        <v>17696.94443658178</v>
      </c>
      <c r="AG31">
        <v>6070.4270772876998</v>
      </c>
      <c r="AH31">
        <v>12140.8541545754</v>
      </c>
      <c r="AI31">
        <v>36422.562463726201</v>
      </c>
      <c r="AJ31" t="str">
        <f t="shared" si="0"/>
        <v>No</v>
      </c>
    </row>
    <row r="32" spans="1:36" x14ac:dyDescent="0.25">
      <c r="A32" s="53" t="s">
        <v>283</v>
      </c>
      <c r="D32" t="s">
        <v>207</v>
      </c>
      <c r="H32">
        <f>VLOOKUP($A32,raw[],11,FALSE)</f>
        <v>0.62</v>
      </c>
      <c r="I32" s="70">
        <v>1.8447739999999999</v>
      </c>
      <c r="J32">
        <v>0.35440260000000001</v>
      </c>
      <c r="K32">
        <v>0.40098760754208751</v>
      </c>
      <c r="L32">
        <v>0.46794444444444444</v>
      </c>
      <c r="M32">
        <v>0.53515463917525785</v>
      </c>
      <c r="N32">
        <v>0.60270833333333329</v>
      </c>
      <c r="O32">
        <v>0.67157894736842105</v>
      </c>
      <c r="P32">
        <v>7.9833412998304223E-3</v>
      </c>
      <c r="Q32">
        <v>1.2134678775742241E-2</v>
      </c>
      <c r="R32">
        <v>3.1933365199321689E-2</v>
      </c>
      <c r="S32">
        <v>4.3068957500416111E-3</v>
      </c>
      <c r="T32">
        <v>6.5464815400632483E-3</v>
      </c>
      <c r="U32">
        <v>1.7227583000166444E-2</v>
      </c>
      <c r="V32" s="70">
        <v>4.83</v>
      </c>
      <c r="W32">
        <v>7.8455747126436783</v>
      </c>
      <c r="X32">
        <v>38.391448882082202</v>
      </c>
      <c r="Y32">
        <v>39.081520046451338</v>
      </c>
      <c r="Z32">
        <v>38.764653954019231</v>
      </c>
      <c r="AA32">
        <v>117.7149195402299</v>
      </c>
      <c r="AB32">
        <v>153.08620145333302</v>
      </c>
      <c r="AC32">
        <v>156.28772869474193</v>
      </c>
      <c r="AD32">
        <v>154.8176550571518</v>
      </c>
      <c r="AF32">
        <v>231.1065494660287</v>
      </c>
      <c r="AG32">
        <v>1162.8618525112349</v>
      </c>
      <c r="AH32">
        <v>2325.7237050224699</v>
      </c>
      <c r="AI32">
        <v>6977.1711150674091</v>
      </c>
      <c r="AJ32" t="str">
        <f t="shared" si="0"/>
        <v>No</v>
      </c>
    </row>
    <row r="33" spans="1:36" x14ac:dyDescent="0.25">
      <c r="A33" s="55" t="s">
        <v>285</v>
      </c>
      <c r="D33" t="s">
        <v>215</v>
      </c>
      <c r="H33">
        <f>VLOOKUP($A33,raw[],11,FALSE)</f>
        <v>0.99</v>
      </c>
      <c r="I33" s="70">
        <v>5.5652400000000002</v>
      </c>
      <c r="J33">
        <v>0.35440260000000001</v>
      </c>
      <c r="K33">
        <v>0.40098760754208751</v>
      </c>
      <c r="L33">
        <v>0.46794444444444444</v>
      </c>
      <c r="M33">
        <v>0.53515463917525785</v>
      </c>
      <c r="N33">
        <v>0.60270833333333329</v>
      </c>
      <c r="O33">
        <v>0.67157894736842105</v>
      </c>
      <c r="P33">
        <v>1.8015726773880001E-2</v>
      </c>
      <c r="Q33">
        <v>2.73839046962976E-2</v>
      </c>
      <c r="R33">
        <v>7.2062907095520004E-2</v>
      </c>
      <c r="S33">
        <v>9.5071055055926112E-3</v>
      </c>
      <c r="T33">
        <v>1.4450800368500768E-2</v>
      </c>
      <c r="U33">
        <v>3.8028422022370445E-2</v>
      </c>
      <c r="V33" s="70">
        <v>0.02</v>
      </c>
      <c r="W33">
        <v>9.224013561024611</v>
      </c>
      <c r="X33">
        <v>47.240188849824222</v>
      </c>
      <c r="Y33">
        <v>51.818290651224743</v>
      </c>
      <c r="Z33">
        <v>49.716123072765832</v>
      </c>
      <c r="AA33">
        <v>138.75503013561018</v>
      </c>
      <c r="AB33">
        <v>210.76558445516983</v>
      </c>
      <c r="AC33">
        <v>233.03657239952625</v>
      </c>
      <c r="AD33">
        <v>222.81020548419181</v>
      </c>
      <c r="AF33">
        <v>0</v>
      </c>
      <c r="AG33">
        <v>4738.9264366338548</v>
      </c>
      <c r="AH33">
        <v>9477.8528732677096</v>
      </c>
      <c r="AI33">
        <v>28433.558619803131</v>
      </c>
      <c r="AJ33" t="str">
        <f t="shared" si="0"/>
        <v>No</v>
      </c>
    </row>
    <row r="34" spans="1:36" x14ac:dyDescent="0.25">
      <c r="A34" s="53" t="s">
        <v>287</v>
      </c>
      <c r="D34" t="s">
        <v>196</v>
      </c>
      <c r="H34">
        <f>VLOOKUP($A34,raw[],11,FALSE)</f>
        <v>0.77</v>
      </c>
      <c r="I34" s="70">
        <v>4.1430119999999997</v>
      </c>
      <c r="J34">
        <v>0.35440260000000001</v>
      </c>
      <c r="K34">
        <v>0.40098760754208751</v>
      </c>
      <c r="L34">
        <v>0.46794444444444444</v>
      </c>
      <c r="M34">
        <v>0.53515463917525785</v>
      </c>
      <c r="N34">
        <v>0.60270833333333329</v>
      </c>
      <c r="O34">
        <v>0.67157894736842105</v>
      </c>
      <c r="P34">
        <v>1.1660238438186048E-2</v>
      </c>
      <c r="Q34">
        <v>1.7723562426042793E-2</v>
      </c>
      <c r="R34">
        <v>4.6640953752744192E-2</v>
      </c>
      <c r="S34">
        <v>6.3434892145519074E-3</v>
      </c>
      <c r="T34">
        <v>9.642103606118899E-3</v>
      </c>
      <c r="U34">
        <v>2.537395685820763E-2</v>
      </c>
      <c r="V34" s="70">
        <v>4.83</v>
      </c>
      <c r="W34">
        <v>7.9599963167587493</v>
      </c>
      <c r="X34">
        <v>38.9071948398838</v>
      </c>
      <c r="Y34">
        <v>39.8061413036001</v>
      </c>
      <c r="Z34">
        <v>39.393364088769147</v>
      </c>
      <c r="AA34">
        <v>119.43099447513814</v>
      </c>
      <c r="AB34">
        <v>156.61268520300644</v>
      </c>
      <c r="AC34">
        <v>160.75646695663514</v>
      </c>
      <c r="AD34">
        <v>158.85372996375676</v>
      </c>
      <c r="AF34">
        <v>0</v>
      </c>
      <c r="AG34">
        <v>1712.742087929015</v>
      </c>
      <c r="AH34">
        <v>3425.4841758580301</v>
      </c>
      <c r="AI34">
        <v>10276.452527574091</v>
      </c>
      <c r="AJ34" t="str">
        <f t="shared" ref="AJ34:AJ65" si="1">IF($H34=0, "Yes", "No")</f>
        <v>No</v>
      </c>
    </row>
    <row r="35" spans="1:36" x14ac:dyDescent="0.25">
      <c r="A35" s="55" t="s">
        <v>289</v>
      </c>
      <c r="D35" t="s">
        <v>215</v>
      </c>
      <c r="H35">
        <f>VLOOKUP($A35,raw[],11,FALSE)</f>
        <v>0.99</v>
      </c>
      <c r="I35" s="70">
        <v>14.964312</v>
      </c>
      <c r="J35">
        <v>0.35440260000000001</v>
      </c>
      <c r="K35">
        <v>0.40098760754208751</v>
      </c>
      <c r="L35">
        <v>0.46794444444444444</v>
      </c>
      <c r="M35">
        <v>0.53515463917525785</v>
      </c>
      <c r="N35">
        <v>0.60270833333333329</v>
      </c>
      <c r="O35">
        <v>0.67157894736842105</v>
      </c>
      <c r="P35">
        <v>1.2289327287489819E-2</v>
      </c>
      <c r="Q35">
        <v>1.8679777476984526E-2</v>
      </c>
      <c r="R35">
        <v>4.9157309149959277E-2</v>
      </c>
      <c r="S35">
        <v>7.0254758703040352E-3</v>
      </c>
      <c r="T35">
        <v>1.0678723322862134E-2</v>
      </c>
      <c r="U35">
        <v>2.8101903481216141E-2</v>
      </c>
      <c r="V35" s="70">
        <v>0.02</v>
      </c>
      <c r="W35">
        <v>9.1783258346342613</v>
      </c>
      <c r="X35">
        <v>50.331084970063586</v>
      </c>
      <c r="Y35">
        <v>56.541669036430285</v>
      </c>
      <c r="Z35">
        <v>53.689900108178044</v>
      </c>
      <c r="AA35">
        <v>137.36934746543545</v>
      </c>
      <c r="AB35">
        <v>226.03829669347306</v>
      </c>
      <c r="AC35">
        <v>256.97939695767519</v>
      </c>
      <c r="AD35">
        <v>242.77189772789524</v>
      </c>
      <c r="AF35">
        <v>8352.2093526975095</v>
      </c>
      <c r="AG35">
        <v>3501.929510736165</v>
      </c>
      <c r="AH35">
        <v>7003.8590214723299</v>
      </c>
      <c r="AI35">
        <v>21011.57706441699</v>
      </c>
      <c r="AJ35" t="str">
        <f t="shared" si="1"/>
        <v>No</v>
      </c>
    </row>
    <row r="36" spans="1:36" x14ac:dyDescent="0.25">
      <c r="A36" s="53" t="s">
        <v>291</v>
      </c>
      <c r="D36" t="s">
        <v>215</v>
      </c>
      <c r="H36">
        <f>VLOOKUP($A36,raw[],11,FALSE)</f>
        <v>0.66</v>
      </c>
      <c r="I36" s="70">
        <v>4.7098420000000001</v>
      </c>
      <c r="J36">
        <v>0.35440260000000001</v>
      </c>
      <c r="K36">
        <v>0.40098760754208751</v>
      </c>
      <c r="L36">
        <v>0.46794444444444444</v>
      </c>
      <c r="M36">
        <v>0.53515463917525785</v>
      </c>
      <c r="N36">
        <v>0.60270833333333329</v>
      </c>
      <c r="O36">
        <v>0.67157894736842105</v>
      </c>
      <c r="P36">
        <v>1.3810930739912212E-2</v>
      </c>
      <c r="Q36">
        <v>2.0992614724666563E-2</v>
      </c>
      <c r="R36">
        <v>5.5243722959648849E-2</v>
      </c>
      <c r="S36">
        <v>7.2906296161703941E-3</v>
      </c>
      <c r="T36">
        <v>1.1081757016578998E-2</v>
      </c>
      <c r="U36">
        <v>2.9162518464681576E-2</v>
      </c>
      <c r="V36" s="70">
        <v>0.02</v>
      </c>
      <c r="W36">
        <v>8.837016826488151</v>
      </c>
      <c r="X36">
        <v>47.16513968987271</v>
      </c>
      <c r="Y36">
        <v>51.905599300919</v>
      </c>
      <c r="Z36">
        <v>49.728880448077646</v>
      </c>
      <c r="AA36">
        <v>131.90226705265061</v>
      </c>
      <c r="AB36">
        <v>209.08394601129754</v>
      </c>
      <c r="AC36">
        <v>234.04632359355909</v>
      </c>
      <c r="AD36">
        <v>222.58412744522818</v>
      </c>
      <c r="AF36">
        <v>8352.2093526975095</v>
      </c>
      <c r="AG36">
        <v>3634.0984548295501</v>
      </c>
      <c r="AH36">
        <v>7268.1969096591001</v>
      </c>
      <c r="AI36">
        <v>21804.590728977302</v>
      </c>
      <c r="AJ36" t="str">
        <f t="shared" si="1"/>
        <v>No</v>
      </c>
    </row>
    <row r="37" spans="1:36" x14ac:dyDescent="0.25">
      <c r="A37" s="55" t="s">
        <v>293</v>
      </c>
      <c r="D37" t="s">
        <v>215</v>
      </c>
      <c r="H37">
        <f>VLOOKUP($A37,raw[],11,FALSE)</f>
        <v>0.62</v>
      </c>
      <c r="I37" s="70">
        <v>3.1227179999999999</v>
      </c>
      <c r="J37">
        <v>0.35440260000000001</v>
      </c>
      <c r="K37">
        <v>0.40098760754208751</v>
      </c>
      <c r="L37">
        <v>0.46794444444444444</v>
      </c>
      <c r="M37">
        <v>0.53515463917525785</v>
      </c>
      <c r="N37">
        <v>0.60270833333333329</v>
      </c>
      <c r="O37">
        <v>0.67157894736842105</v>
      </c>
      <c r="P37">
        <v>1.0475628437394427E-2</v>
      </c>
      <c r="Q37">
        <v>1.5922955224839528E-2</v>
      </c>
      <c r="R37">
        <v>4.1902513749577708E-2</v>
      </c>
      <c r="S37">
        <v>5.6176747680859824E-3</v>
      </c>
      <c r="T37">
        <v>8.5388656474906927E-3</v>
      </c>
      <c r="U37">
        <v>2.247069907234393E-2</v>
      </c>
      <c r="V37" s="70">
        <v>0.02</v>
      </c>
      <c r="W37">
        <v>9.1783258346342613</v>
      </c>
      <c r="X37">
        <v>50.331084970063586</v>
      </c>
      <c r="Y37">
        <v>56.541669036430285</v>
      </c>
      <c r="Z37">
        <v>53.689900108178044</v>
      </c>
      <c r="AA37">
        <v>137.36934746543545</v>
      </c>
      <c r="AB37">
        <v>226.03829669347306</v>
      </c>
      <c r="AC37">
        <v>256.97939695767519</v>
      </c>
      <c r="AD37">
        <v>242.77189772789524</v>
      </c>
      <c r="AF37">
        <v>5747.7273724220386</v>
      </c>
      <c r="AG37">
        <v>2800.1948074767051</v>
      </c>
      <c r="AH37">
        <v>5600.3896149534103</v>
      </c>
      <c r="AI37">
        <v>16801.168844860229</v>
      </c>
      <c r="AJ37" t="str">
        <f t="shared" si="1"/>
        <v>No</v>
      </c>
    </row>
    <row r="38" spans="1:36" x14ac:dyDescent="0.25">
      <c r="A38" s="53" t="s">
        <v>295</v>
      </c>
      <c r="D38" t="s">
        <v>196</v>
      </c>
      <c r="H38">
        <f>VLOOKUP($A38,raw[],11,FALSE)</f>
        <v>0.92</v>
      </c>
      <c r="I38" s="70">
        <v>2.3188499999999999</v>
      </c>
      <c r="J38">
        <v>0.35440260000000001</v>
      </c>
      <c r="K38">
        <v>0.40098760754208751</v>
      </c>
      <c r="L38">
        <v>0.46794444444444444</v>
      </c>
      <c r="M38">
        <v>0.53515463917525785</v>
      </c>
      <c r="N38">
        <v>0.60270833333333329</v>
      </c>
      <c r="O38">
        <v>0.67157894736842105</v>
      </c>
      <c r="P38">
        <v>1.2037998652217228E-2</v>
      </c>
      <c r="Q38">
        <v>1.8297757951370185E-2</v>
      </c>
      <c r="R38">
        <v>4.815199460886891E-2</v>
      </c>
      <c r="S38">
        <v>6.6096422985390361E-3</v>
      </c>
      <c r="T38">
        <v>1.0046656293779333E-2</v>
      </c>
      <c r="U38">
        <v>2.6438569194156145E-2</v>
      </c>
      <c r="V38" s="70">
        <v>0.48</v>
      </c>
      <c r="W38">
        <v>8.362981587165784</v>
      </c>
      <c r="X38">
        <v>43.296947842982554</v>
      </c>
      <c r="Y38">
        <v>46.258018491038726</v>
      </c>
      <c r="Z38">
        <v>44.905306491715322</v>
      </c>
      <c r="AA38">
        <v>125.10133154140887</v>
      </c>
      <c r="AB38">
        <v>183.32559742757255</v>
      </c>
      <c r="AC38">
        <v>198.42130408894653</v>
      </c>
      <c r="AD38">
        <v>191.48967467263284</v>
      </c>
      <c r="AF38">
        <v>1245.7465477794647</v>
      </c>
      <c r="AG38">
        <v>1784.6034206055399</v>
      </c>
      <c r="AH38">
        <v>3569.2068412110798</v>
      </c>
      <c r="AI38">
        <v>10707.620523633239</v>
      </c>
      <c r="AJ38" t="str">
        <f t="shared" si="1"/>
        <v>No</v>
      </c>
    </row>
    <row r="39" spans="1:36" x14ac:dyDescent="0.25">
      <c r="A39" s="55" t="s">
        <v>297</v>
      </c>
      <c r="D39" t="s">
        <v>215</v>
      </c>
      <c r="H39">
        <f>VLOOKUP($A39,raw[],11,FALSE)</f>
        <v>0.75</v>
      </c>
      <c r="I39" s="70">
        <v>2.9475159999999998</v>
      </c>
      <c r="J39">
        <v>0.35440260000000001</v>
      </c>
      <c r="K39">
        <v>0.40098760754208751</v>
      </c>
      <c r="L39">
        <v>0.46794444444444444</v>
      </c>
      <c r="M39">
        <v>0.53515463917525785</v>
      </c>
      <c r="N39">
        <v>0.60270833333333329</v>
      </c>
      <c r="O39">
        <v>0.67157894736842105</v>
      </c>
      <c r="P39">
        <v>1.3525401195943098E-2</v>
      </c>
      <c r="Q39">
        <v>2.0558609817833508E-2</v>
      </c>
      <c r="R39">
        <v>5.4101604783772392E-2</v>
      </c>
      <c r="S39">
        <v>7.0345120755985376E-3</v>
      </c>
      <c r="T39">
        <v>1.0692458354909777E-2</v>
      </c>
      <c r="U39">
        <v>2.813804830239415E-2</v>
      </c>
      <c r="V39" s="70">
        <v>0.02</v>
      </c>
      <c r="W39">
        <v>9.1783258346342613</v>
      </c>
      <c r="X39">
        <v>50.331084970063586</v>
      </c>
      <c r="Y39">
        <v>56.541669036430285</v>
      </c>
      <c r="Z39">
        <v>53.689900108178044</v>
      </c>
      <c r="AA39">
        <v>137.36934746543545</v>
      </c>
      <c r="AB39">
        <v>226.03829669347306</v>
      </c>
      <c r="AC39">
        <v>256.97939695767519</v>
      </c>
      <c r="AD39">
        <v>242.77189772789524</v>
      </c>
      <c r="AF39">
        <v>3359.2360805361373</v>
      </c>
      <c r="AG39">
        <v>1899.318260411605</v>
      </c>
      <c r="AH39">
        <v>3798.63652082321</v>
      </c>
      <c r="AI39">
        <v>11395.909562469631</v>
      </c>
      <c r="AJ39" t="str">
        <f t="shared" si="1"/>
        <v>No</v>
      </c>
    </row>
    <row r="40" spans="1:36" x14ac:dyDescent="0.25">
      <c r="A40" s="53" t="s">
        <v>299</v>
      </c>
      <c r="D40" t="s">
        <v>207</v>
      </c>
      <c r="H40">
        <f>VLOOKUP($A40,raw[],11,FALSE)</f>
        <v>0</v>
      </c>
      <c r="I40" s="70">
        <v>1.4428399999999999</v>
      </c>
      <c r="J40">
        <v>0.35440260000000001</v>
      </c>
      <c r="K40">
        <v>0.40098760754208751</v>
      </c>
      <c r="L40">
        <v>0.46794444444444444</v>
      </c>
      <c r="M40">
        <v>0.53515463917525785</v>
      </c>
      <c r="N40">
        <v>0.60270833333333329</v>
      </c>
      <c r="O40">
        <v>0.67157894736842105</v>
      </c>
      <c r="P40">
        <v>1.3351380793990446E-2</v>
      </c>
      <c r="Q40">
        <v>2.0294098806865477E-2</v>
      </c>
      <c r="R40">
        <v>5.3405523175961783E-2</v>
      </c>
      <c r="S40">
        <v>7.1652857380114961E-3</v>
      </c>
      <c r="T40">
        <v>1.0891234321777474E-2</v>
      </c>
      <c r="U40">
        <v>2.8661142952045984E-2</v>
      </c>
      <c r="V40" s="70">
        <v>4.83</v>
      </c>
      <c r="W40">
        <v>8.0019219132628212</v>
      </c>
      <c r="X40">
        <v>39.586728264144917</v>
      </c>
      <c r="Y40">
        <v>40.817527317083545</v>
      </c>
      <c r="Z40">
        <v>40.252370407751819</v>
      </c>
      <c r="AA40">
        <v>119.83458753935003</v>
      </c>
      <c r="AB40">
        <v>161.42169624364792</v>
      </c>
      <c r="AC40">
        <v>167.85834407959484</v>
      </c>
      <c r="AD40">
        <v>164.90277144673067</v>
      </c>
      <c r="AF40">
        <v>0</v>
      </c>
      <c r="AG40">
        <v>3571.6193524857299</v>
      </c>
      <c r="AH40">
        <v>7143.2387049714598</v>
      </c>
      <c r="AI40">
        <v>21429.716114914379</v>
      </c>
      <c r="AJ40" t="str">
        <f t="shared" si="1"/>
        <v>Yes</v>
      </c>
    </row>
    <row r="41" spans="1:36" x14ac:dyDescent="0.25">
      <c r="A41" s="55" t="s">
        <v>301</v>
      </c>
      <c r="D41" t="s">
        <v>207</v>
      </c>
      <c r="H41">
        <f>VLOOKUP($A41,raw[],11,FALSE)</f>
        <v>0</v>
      </c>
      <c r="I41" s="70">
        <v>3.5864879999999997</v>
      </c>
      <c r="J41">
        <v>0.35440260000000001</v>
      </c>
      <c r="K41">
        <v>0.40098760754208751</v>
      </c>
      <c r="L41">
        <v>0.46794444444444444</v>
      </c>
      <c r="M41">
        <v>0.53515463917525785</v>
      </c>
      <c r="N41">
        <v>0.60270833333333329</v>
      </c>
      <c r="O41">
        <v>0.67157894736842105</v>
      </c>
      <c r="P41">
        <v>3.2019729427164925E-3</v>
      </c>
      <c r="Q41">
        <v>4.8669988729290684E-3</v>
      </c>
      <c r="R41">
        <v>1.280789177086597E-2</v>
      </c>
      <c r="S41">
        <v>1.8343214178606717E-3</v>
      </c>
      <c r="T41">
        <v>2.788168555148221E-3</v>
      </c>
      <c r="U41">
        <v>7.3372856714426869E-3</v>
      </c>
      <c r="V41" s="70">
        <v>4.83</v>
      </c>
      <c r="W41">
        <v>7.6188823529411778</v>
      </c>
      <c r="X41">
        <v>37.013160313507775</v>
      </c>
      <c r="Y41">
        <v>37.103865900767993</v>
      </c>
      <c r="Z41">
        <v>37.062215812369963</v>
      </c>
      <c r="AA41">
        <v>114.27976470588236</v>
      </c>
      <c r="AB41">
        <v>144.15631185043065</v>
      </c>
      <c r="AC41">
        <v>144.49802169209198</v>
      </c>
      <c r="AD41">
        <v>144.34111575562702</v>
      </c>
      <c r="AF41">
        <v>141.61823973590711</v>
      </c>
      <c r="AG41">
        <v>321.25412939830147</v>
      </c>
      <c r="AH41">
        <v>642.50825879660295</v>
      </c>
      <c r="AI41">
        <v>1927.5247763898087</v>
      </c>
      <c r="AJ41" t="str">
        <f t="shared" si="1"/>
        <v>Yes</v>
      </c>
    </row>
    <row r="42" spans="1:36" x14ac:dyDescent="0.25">
      <c r="A42" s="53" t="s">
        <v>303</v>
      </c>
      <c r="D42" t="s">
        <v>207</v>
      </c>
      <c r="H42">
        <f>VLOOKUP($A42,raw[],11,FALSE)</f>
        <v>0</v>
      </c>
      <c r="I42" s="70">
        <v>5.8538079999999999</v>
      </c>
      <c r="J42">
        <v>0.35440260000000001</v>
      </c>
      <c r="K42">
        <v>0.40098760754208751</v>
      </c>
      <c r="L42">
        <v>0.46794444444444444</v>
      </c>
      <c r="M42">
        <v>0.53515463917525785</v>
      </c>
      <c r="N42">
        <v>0.60270833333333329</v>
      </c>
      <c r="O42">
        <v>0.67157894736842105</v>
      </c>
      <c r="P42">
        <v>1.1272194851173901E-2</v>
      </c>
      <c r="Q42">
        <v>1.7133736173784327E-2</v>
      </c>
      <c r="R42">
        <v>4.5088779404695606E-2</v>
      </c>
      <c r="S42">
        <v>6.3412633559835185E-3</v>
      </c>
      <c r="T42">
        <v>9.6387203010949475E-3</v>
      </c>
      <c r="U42">
        <v>2.5365053423934074E-2</v>
      </c>
      <c r="V42" s="70">
        <v>4.83</v>
      </c>
      <c r="W42">
        <v>8.4243173588924396</v>
      </c>
      <c r="X42">
        <v>42.178197859136688</v>
      </c>
      <c r="Y42">
        <v>44.537924195187848</v>
      </c>
      <c r="Z42">
        <v>43.454387739933651</v>
      </c>
      <c r="AA42">
        <v>125.9051757188498</v>
      </c>
      <c r="AB42">
        <v>177.50057231732487</v>
      </c>
      <c r="AC42">
        <v>189.14618420104492</v>
      </c>
      <c r="AD42">
        <v>183.79876538091671</v>
      </c>
      <c r="AF42">
        <v>1758.0001983946765</v>
      </c>
      <c r="AG42">
        <v>1712.14110611555</v>
      </c>
      <c r="AH42">
        <v>3424.2822122310999</v>
      </c>
      <c r="AI42">
        <v>10272.846636693299</v>
      </c>
      <c r="AJ42" t="str">
        <f t="shared" si="1"/>
        <v>Yes</v>
      </c>
    </row>
    <row r="43" spans="1:36" x14ac:dyDescent="0.25">
      <c r="A43" s="55" t="s">
        <v>305</v>
      </c>
      <c r="D43" t="s">
        <v>207</v>
      </c>
      <c r="H43">
        <f>VLOOKUP($A43,raw[],11,FALSE)</f>
        <v>0</v>
      </c>
      <c r="I43" s="70">
        <v>0.80386800000000003</v>
      </c>
      <c r="J43">
        <v>0.35440260000000001</v>
      </c>
      <c r="K43">
        <v>0.40098760754208751</v>
      </c>
      <c r="L43">
        <v>0.46794444444444444</v>
      </c>
      <c r="M43">
        <v>0.53515463917525785</v>
      </c>
      <c r="N43">
        <v>0.60270833333333329</v>
      </c>
      <c r="O43">
        <v>0.67157894736842105</v>
      </c>
      <c r="P43">
        <v>4.7223660585492709E-3</v>
      </c>
      <c r="Q43">
        <v>7.1779964089948916E-3</v>
      </c>
      <c r="R43">
        <v>1.8889464234197084E-2</v>
      </c>
      <c r="S43">
        <v>2.6731942175459654E-3</v>
      </c>
      <c r="T43">
        <v>4.063255210669867E-3</v>
      </c>
      <c r="U43">
        <v>1.0692776870183862E-2</v>
      </c>
      <c r="V43" s="70">
        <v>4.83</v>
      </c>
      <c r="W43">
        <v>7.6532951885565677</v>
      </c>
      <c r="X43">
        <v>37.192150480675082</v>
      </c>
      <c r="Y43">
        <v>37.358103515864435</v>
      </c>
      <c r="Z43">
        <v>37.281901389905769</v>
      </c>
      <c r="AA43">
        <v>114.89222366710014</v>
      </c>
      <c r="AB43">
        <v>145.51694442253566</v>
      </c>
      <c r="AC43">
        <v>146.24805247913756</v>
      </c>
      <c r="AD43">
        <v>145.91234311320156</v>
      </c>
      <c r="AF43">
        <v>198.04937409934342</v>
      </c>
      <c r="AG43">
        <v>468.17023053237449</v>
      </c>
      <c r="AH43">
        <v>936.34046106474898</v>
      </c>
      <c r="AI43">
        <v>2809.0213831942469</v>
      </c>
      <c r="AJ43" t="str">
        <f t="shared" si="1"/>
        <v>Yes</v>
      </c>
    </row>
    <row r="44" spans="1:36" x14ac:dyDescent="0.25">
      <c r="A44" s="53" t="s">
        <v>307</v>
      </c>
      <c r="D44" t="s">
        <v>260</v>
      </c>
      <c r="H44">
        <f>VLOOKUP($A44,raw[],11,FALSE)</f>
        <v>0.99</v>
      </c>
      <c r="I44" s="70">
        <v>9.2547879999999996</v>
      </c>
      <c r="J44">
        <v>0.35440260000000001</v>
      </c>
      <c r="K44">
        <v>0.40098760754208751</v>
      </c>
      <c r="L44">
        <v>0.46794444444444444</v>
      </c>
      <c r="M44">
        <v>0.53515463917525785</v>
      </c>
      <c r="N44">
        <v>0.60270833333333329</v>
      </c>
      <c r="O44">
        <v>0.67157894736842105</v>
      </c>
      <c r="P44">
        <v>8.9817253072361145E-3</v>
      </c>
      <c r="Q44">
        <v>1.3652222466998893E-2</v>
      </c>
      <c r="R44">
        <v>3.5926901228944458E-2</v>
      </c>
      <c r="S44">
        <v>5.0732418876565542E-3</v>
      </c>
      <c r="T44">
        <v>7.7113276692379624E-3</v>
      </c>
      <c r="U44">
        <v>2.0292967550626217E-2</v>
      </c>
      <c r="V44" s="70">
        <v>0.63</v>
      </c>
      <c r="W44">
        <v>8.2671451012815211</v>
      </c>
      <c r="X44">
        <v>41.72065521480279</v>
      </c>
      <c r="Y44">
        <v>43.924049262854318</v>
      </c>
      <c r="Z44">
        <v>42.912297289805949</v>
      </c>
      <c r="AA44">
        <v>124.23545266639111</v>
      </c>
      <c r="AB44">
        <v>172.8532387939683</v>
      </c>
      <c r="AC44">
        <v>182.9491084984887</v>
      </c>
      <c r="AD44">
        <v>178.31329852967241</v>
      </c>
      <c r="AF44">
        <v>0</v>
      </c>
      <c r="AG44">
        <v>2528.8159563088052</v>
      </c>
      <c r="AH44">
        <v>5057.6319126176104</v>
      </c>
      <c r="AI44">
        <v>15172.895737852832</v>
      </c>
      <c r="AJ44" t="str">
        <f t="shared" si="1"/>
        <v>No</v>
      </c>
    </row>
    <row r="45" spans="1:36" x14ac:dyDescent="0.25">
      <c r="A45" s="55" t="s">
        <v>310</v>
      </c>
      <c r="D45" t="s">
        <v>207</v>
      </c>
      <c r="H45">
        <f>VLOOKUP($A45,raw[],11,FALSE)</f>
        <v>0</v>
      </c>
      <c r="I45" s="70">
        <v>3.3803679999999998</v>
      </c>
      <c r="J45">
        <v>0.35440260000000001</v>
      </c>
      <c r="K45">
        <v>0.40098760754208751</v>
      </c>
      <c r="L45">
        <v>0.46794444444444444</v>
      </c>
      <c r="M45">
        <v>0.53515463917525785</v>
      </c>
      <c r="N45">
        <v>0.60270833333333329</v>
      </c>
      <c r="O45">
        <v>0.67157894736842105</v>
      </c>
      <c r="P45">
        <v>1.2181013852220295E-2</v>
      </c>
      <c r="Q45">
        <v>1.8515141055374846E-2</v>
      </c>
      <c r="R45">
        <v>4.8724055408881181E-2</v>
      </c>
      <c r="S45">
        <v>6.9029550540229958E-3</v>
      </c>
      <c r="T45">
        <v>1.0492491682114953E-2</v>
      </c>
      <c r="U45">
        <v>2.7611820216091983E-2</v>
      </c>
      <c r="V45" s="70">
        <v>4.83</v>
      </c>
      <c r="W45">
        <v>9.8346743017665208</v>
      </c>
      <c r="X45">
        <v>56.6386864859805</v>
      </c>
      <c r="Y45">
        <v>65.790550246460924</v>
      </c>
      <c r="Z45">
        <v>61.588207853404143</v>
      </c>
      <c r="AA45">
        <v>145.4711517476095</v>
      </c>
      <c r="AB45">
        <v>261.73905357060028</v>
      </c>
      <c r="AC45">
        <v>307.04444404541346</v>
      </c>
      <c r="AD45">
        <v>286.24116637333589</v>
      </c>
      <c r="AF45">
        <v>2811.1100034140618</v>
      </c>
      <c r="AG45">
        <v>3440.857596159155</v>
      </c>
      <c r="AH45">
        <v>6881.7151923183101</v>
      </c>
      <c r="AI45">
        <v>20645.145576954928</v>
      </c>
      <c r="AJ45" t="str">
        <f t="shared" si="1"/>
        <v>Yes</v>
      </c>
    </row>
    <row r="46" spans="1:36" x14ac:dyDescent="0.25">
      <c r="A46" s="53" t="s">
        <v>312</v>
      </c>
      <c r="D46" t="s">
        <v>207</v>
      </c>
      <c r="H46">
        <f>VLOOKUP($A46,raw[],11,FALSE)</f>
        <v>0</v>
      </c>
      <c r="I46" s="70">
        <v>3.6174059999999995</v>
      </c>
      <c r="J46">
        <v>0.35440260000000001</v>
      </c>
      <c r="K46">
        <v>0.40098760754208751</v>
      </c>
      <c r="L46">
        <v>0.46794444444444444</v>
      </c>
      <c r="M46">
        <v>0.53515463917525785</v>
      </c>
      <c r="N46">
        <v>0.60270833333333329</v>
      </c>
      <c r="O46">
        <v>0.67157894736842105</v>
      </c>
      <c r="P46">
        <v>3.8690084274531533E-3</v>
      </c>
      <c r="Q46">
        <v>5.8808928097287931E-3</v>
      </c>
      <c r="R46">
        <v>1.5476033709812613E-2</v>
      </c>
      <c r="S46">
        <v>2.2068731940597525E-3</v>
      </c>
      <c r="T46">
        <v>3.354447254970824E-3</v>
      </c>
      <c r="U46">
        <v>8.8274927762390099E-3</v>
      </c>
      <c r="V46" s="70">
        <v>4.83</v>
      </c>
      <c r="W46">
        <v>7.8111061388410796</v>
      </c>
      <c r="X46">
        <v>37.97487924852976</v>
      </c>
      <c r="Y46">
        <v>38.466080166169576</v>
      </c>
      <c r="Z46">
        <v>38.240531087454073</v>
      </c>
      <c r="AA46">
        <v>116.76544463568561</v>
      </c>
      <c r="AB46">
        <v>149.99459280564309</v>
      </c>
      <c r="AC46">
        <v>152.08121430377707</v>
      </c>
      <c r="AD46">
        <v>151.1230818173936</v>
      </c>
      <c r="AF46">
        <v>257.7157317467499</v>
      </c>
      <c r="AG46">
        <v>386.50103506776202</v>
      </c>
      <c r="AH46">
        <v>773.00207013552404</v>
      </c>
      <c r="AI46">
        <v>2319.0062104065719</v>
      </c>
      <c r="AJ46" t="str">
        <f t="shared" si="1"/>
        <v>Yes</v>
      </c>
    </row>
    <row r="47" spans="1:36" x14ac:dyDescent="0.25">
      <c r="A47" s="55" t="s">
        <v>314</v>
      </c>
      <c r="D47" t="s">
        <v>201</v>
      </c>
      <c r="H47">
        <f>VLOOKUP($A47,raw[],11,FALSE)</f>
        <v>0.97</v>
      </c>
      <c r="I47" s="70">
        <v>4.9159619999999995</v>
      </c>
      <c r="J47">
        <v>0.35440260000000001</v>
      </c>
      <c r="K47">
        <v>0.40098760754208751</v>
      </c>
      <c r="L47">
        <v>0.46794444444444444</v>
      </c>
      <c r="M47">
        <v>0.53515463917525785</v>
      </c>
      <c r="N47">
        <v>0.60270833333333329</v>
      </c>
      <c r="O47">
        <v>0.67157894736842105</v>
      </c>
      <c r="P47">
        <v>8.23197180269164E-3</v>
      </c>
      <c r="Q47">
        <v>1.2512597140091293E-2</v>
      </c>
      <c r="R47">
        <v>3.292788721076656E-2</v>
      </c>
      <c r="S47">
        <v>4.2798595932577255E-3</v>
      </c>
      <c r="T47">
        <v>6.5053865817517424E-3</v>
      </c>
      <c r="U47">
        <v>1.7119438373030902E-2</v>
      </c>
      <c r="V47" s="70">
        <v>4.07</v>
      </c>
      <c r="W47">
        <v>8.2122712173754344</v>
      </c>
      <c r="X47">
        <v>41.568939493028665</v>
      </c>
      <c r="Y47">
        <v>43.721930749203239</v>
      </c>
      <c r="Z47">
        <v>42.733322672805471</v>
      </c>
      <c r="AA47">
        <v>123.93977185617811</v>
      </c>
      <c r="AB47">
        <v>172.79781568233716</v>
      </c>
      <c r="AC47">
        <v>183.01873112168715</v>
      </c>
      <c r="AD47">
        <v>178.32550279456723</v>
      </c>
      <c r="AF47">
        <v>1121.9428506803229</v>
      </c>
      <c r="AG47">
        <v>2133.3453972546199</v>
      </c>
      <c r="AH47">
        <v>4266.6907945092398</v>
      </c>
      <c r="AI47">
        <v>12800.07238352772</v>
      </c>
      <c r="AJ47" t="str">
        <f t="shared" si="1"/>
        <v>No</v>
      </c>
    </row>
    <row r="48" spans="1:36" x14ac:dyDescent="0.25">
      <c r="A48" s="53" t="s">
        <v>316</v>
      </c>
      <c r="D48" t="s">
        <v>207</v>
      </c>
      <c r="H48">
        <f>VLOOKUP($A48,raw[],11,FALSE)</f>
        <v>0</v>
      </c>
      <c r="I48" s="70">
        <v>3.1330239999999998</v>
      </c>
      <c r="J48">
        <v>0.35440260000000001</v>
      </c>
      <c r="K48">
        <v>0.40098760754208751</v>
      </c>
      <c r="L48">
        <v>0.46794444444444444</v>
      </c>
      <c r="M48">
        <v>0.53515463917525785</v>
      </c>
      <c r="N48">
        <v>0.60270833333333329</v>
      </c>
      <c r="O48">
        <v>0.67157894736842105</v>
      </c>
      <c r="P48">
        <v>7.1955873958514053E-3</v>
      </c>
      <c r="Q48">
        <v>1.0937292841694136E-2</v>
      </c>
      <c r="R48">
        <v>2.8782349583405621E-2</v>
      </c>
      <c r="S48">
        <v>4.0843129923303695E-3</v>
      </c>
      <c r="T48">
        <v>6.2081557483421616E-3</v>
      </c>
      <c r="U48">
        <v>1.6337251969321478E-2</v>
      </c>
      <c r="V48" s="70">
        <v>4.83</v>
      </c>
      <c r="W48">
        <v>7.793058823529412</v>
      </c>
      <c r="X48">
        <v>38.040545046332205</v>
      </c>
      <c r="Y48">
        <v>38.57531571347856</v>
      </c>
      <c r="Z48">
        <v>38.329760326736832</v>
      </c>
      <c r="AA48">
        <v>117.09000000000002</v>
      </c>
      <c r="AB48">
        <v>150.82864758950075</v>
      </c>
      <c r="AC48">
        <v>153.18044572791763</v>
      </c>
      <c r="AD48">
        <v>152.10054973343634</v>
      </c>
      <c r="AF48">
        <v>432.34670243603051</v>
      </c>
      <c r="AG48">
        <v>1102.7645079291999</v>
      </c>
      <c r="AH48">
        <v>2205.5290158583998</v>
      </c>
      <c r="AI48">
        <v>6616.5870475751999</v>
      </c>
      <c r="AJ48" t="str">
        <f t="shared" si="1"/>
        <v>Yes</v>
      </c>
    </row>
    <row r="49" spans="1:36" x14ac:dyDescent="0.25">
      <c r="A49" s="55" t="s">
        <v>318</v>
      </c>
      <c r="D49" t="s">
        <v>215</v>
      </c>
      <c r="H49">
        <f>VLOOKUP($A49,raw[],11,FALSE)</f>
        <v>0.92</v>
      </c>
      <c r="I49" s="70">
        <v>16.036135999999999</v>
      </c>
      <c r="J49">
        <v>0.35440260000000001</v>
      </c>
      <c r="K49">
        <v>0.40098760754208751</v>
      </c>
      <c r="L49">
        <v>0.46794444444444444</v>
      </c>
      <c r="M49">
        <v>0.53515463917525785</v>
      </c>
      <c r="N49">
        <v>0.60270833333333329</v>
      </c>
      <c r="O49">
        <v>0.67157894736842105</v>
      </c>
      <c r="P49">
        <v>1.6375442416278193E-2</v>
      </c>
      <c r="Q49">
        <v>2.4890672472742854E-2</v>
      </c>
      <c r="R49">
        <v>6.5501769665112772E-2</v>
      </c>
      <c r="S49">
        <v>9.2901369128318284E-3</v>
      </c>
      <c r="T49">
        <v>1.4121008107504378E-2</v>
      </c>
      <c r="U49">
        <v>3.7160547651327314E-2</v>
      </c>
      <c r="V49" s="70">
        <v>0.02</v>
      </c>
      <c r="W49">
        <v>9.4544408980677517</v>
      </c>
      <c r="X49">
        <v>53.670268333696797</v>
      </c>
      <c r="Y49">
        <v>61.475072392565579</v>
      </c>
      <c r="Z49">
        <v>57.89127134127412</v>
      </c>
      <c r="AA49">
        <v>140.7347156379567</v>
      </c>
      <c r="AB49">
        <v>242.30703765133526</v>
      </c>
      <c r="AC49">
        <v>279.96389246262243</v>
      </c>
      <c r="AD49">
        <v>262.67266069778793</v>
      </c>
      <c r="AF49">
        <v>0</v>
      </c>
      <c r="AG49">
        <v>4630.77593808848</v>
      </c>
      <c r="AH49">
        <v>9261.5518761769599</v>
      </c>
      <c r="AI49">
        <v>27784.65562853088</v>
      </c>
      <c r="AJ49" t="str">
        <f t="shared" si="1"/>
        <v>No</v>
      </c>
    </row>
    <row r="50" spans="1:36" x14ac:dyDescent="0.25">
      <c r="A50" s="53" t="s">
        <v>320</v>
      </c>
      <c r="D50" t="s">
        <v>215</v>
      </c>
      <c r="H50">
        <f>VLOOKUP($A50,raw[],11,FALSE)</f>
        <v>0.48</v>
      </c>
      <c r="I50" s="70">
        <v>2.8959859999999997</v>
      </c>
      <c r="J50">
        <v>0.35440260000000001</v>
      </c>
      <c r="K50">
        <v>0.40098760754208751</v>
      </c>
      <c r="L50">
        <v>0.46794444444444444</v>
      </c>
      <c r="M50">
        <v>0.53515463917525785</v>
      </c>
      <c r="N50">
        <v>0.60270833333333329</v>
      </c>
      <c r="O50">
        <v>0.67157894736842105</v>
      </c>
      <c r="P50">
        <v>9.2839447038343594E-3</v>
      </c>
      <c r="Q50">
        <v>1.4111595949828226E-2</v>
      </c>
      <c r="R50">
        <v>3.7135778815337438E-2</v>
      </c>
      <c r="S50">
        <v>4.6175474550329285E-3</v>
      </c>
      <c r="T50">
        <v>7.0186721316500512E-3</v>
      </c>
      <c r="U50">
        <v>1.8470189820131714E-2</v>
      </c>
      <c r="V50" s="70">
        <v>0.02</v>
      </c>
      <c r="W50">
        <v>8.1552539085691684</v>
      </c>
      <c r="X50">
        <v>41.112221621663934</v>
      </c>
      <c r="Y50">
        <v>43.057182705020139</v>
      </c>
      <c r="Z50">
        <v>42.164097686782895</v>
      </c>
      <c r="AA50">
        <v>122.20009301405108</v>
      </c>
      <c r="AB50">
        <v>168.80479370717583</v>
      </c>
      <c r="AC50">
        <v>177.85292280270966</v>
      </c>
      <c r="AD50">
        <v>173.69821317512489</v>
      </c>
      <c r="AF50">
        <v>1512.59288055099</v>
      </c>
      <c r="AG50">
        <v>2301.6698083548749</v>
      </c>
      <c r="AH50">
        <v>4603.3396167097499</v>
      </c>
      <c r="AI50">
        <v>13810.01885012925</v>
      </c>
      <c r="AJ50" t="str">
        <f t="shared" si="1"/>
        <v>No</v>
      </c>
    </row>
    <row r="51" spans="1:36" x14ac:dyDescent="0.25">
      <c r="A51" s="55" t="s">
        <v>322</v>
      </c>
      <c r="D51" t="s">
        <v>207</v>
      </c>
      <c r="H51">
        <f>VLOOKUP($A51,raw[],11,FALSE)</f>
        <v>0</v>
      </c>
      <c r="I51" s="70">
        <v>0.65958399999999995</v>
      </c>
      <c r="J51">
        <v>0.35440260000000001</v>
      </c>
      <c r="K51">
        <v>0.40098760754208751</v>
      </c>
      <c r="L51">
        <v>0.46794444444444444</v>
      </c>
      <c r="M51">
        <v>0.53515463917525785</v>
      </c>
      <c r="N51">
        <v>0.60270833333333329</v>
      </c>
      <c r="O51">
        <v>0.67157894736842105</v>
      </c>
      <c r="P51">
        <v>6.4136718070641092E-3</v>
      </c>
      <c r="Q51">
        <v>9.7487811467374449E-3</v>
      </c>
      <c r="R51">
        <v>2.5654687228256437E-2</v>
      </c>
      <c r="S51">
        <v>3.4089043976616245E-3</v>
      </c>
      <c r="T51">
        <v>5.1815346844456692E-3</v>
      </c>
      <c r="U51">
        <v>1.3635617590646498E-2</v>
      </c>
      <c r="V51" s="70">
        <v>4.83</v>
      </c>
      <c r="W51">
        <v>7.6836765083440319</v>
      </c>
      <c r="X51">
        <v>37.356019990396774</v>
      </c>
      <c r="Y51">
        <v>37.591448962881472</v>
      </c>
      <c r="Z51">
        <v>37.483344955051017</v>
      </c>
      <c r="AA51">
        <v>115.24102695763801</v>
      </c>
      <c r="AB51">
        <v>146.16189957765388</v>
      </c>
      <c r="AC51">
        <v>147.04714432892237</v>
      </c>
      <c r="AD51">
        <v>146.64065865083015</v>
      </c>
      <c r="AF51">
        <v>133.61480702477743</v>
      </c>
      <c r="AG51">
        <v>597.01893234722502</v>
      </c>
      <c r="AH51">
        <v>1194.03786469445</v>
      </c>
      <c r="AI51">
        <v>3582.1135940833501</v>
      </c>
      <c r="AJ51" t="str">
        <f t="shared" si="1"/>
        <v>Yes</v>
      </c>
    </row>
    <row r="52" spans="1:36" x14ac:dyDescent="0.25">
      <c r="A52" s="53" t="s">
        <v>324</v>
      </c>
      <c r="D52" t="s">
        <v>207</v>
      </c>
      <c r="H52">
        <f>VLOOKUP($A52,raw[],11,FALSE)</f>
        <v>0</v>
      </c>
      <c r="I52" s="70">
        <v>3.1845539999999999</v>
      </c>
      <c r="J52">
        <v>0.35440260000000001</v>
      </c>
      <c r="K52">
        <v>0.40098760754208751</v>
      </c>
      <c r="L52">
        <v>0.46794444444444444</v>
      </c>
      <c r="M52">
        <v>0.53515463917525785</v>
      </c>
      <c r="N52">
        <v>0.60270833333333329</v>
      </c>
      <c r="O52">
        <v>0.67157894736842105</v>
      </c>
      <c r="P52">
        <v>3.7156102852695279E-3</v>
      </c>
      <c r="Q52">
        <v>5.647727633609682E-3</v>
      </c>
      <c r="R52">
        <v>1.4862441141078112E-2</v>
      </c>
      <c r="S52">
        <v>2.0770251816067745E-3</v>
      </c>
      <c r="T52">
        <v>3.1570782760422969E-3</v>
      </c>
      <c r="U52">
        <v>8.3081007264270978E-3</v>
      </c>
      <c r="V52" s="70">
        <v>4.83</v>
      </c>
      <c r="W52">
        <v>8.0019219132628212</v>
      </c>
      <c r="X52">
        <v>39.586728264144917</v>
      </c>
      <c r="Y52">
        <v>40.817527317083545</v>
      </c>
      <c r="Z52">
        <v>40.252370407751819</v>
      </c>
      <c r="AA52">
        <v>119.83458753935003</v>
      </c>
      <c r="AB52">
        <v>161.42169624364792</v>
      </c>
      <c r="AC52">
        <v>167.85834407959484</v>
      </c>
      <c r="AD52">
        <v>164.90277144673067</v>
      </c>
      <c r="AF52">
        <v>65.432598655097792</v>
      </c>
      <c r="AG52">
        <v>363.76008585978099</v>
      </c>
      <c r="AH52">
        <v>727.52017171956197</v>
      </c>
      <c r="AI52">
        <v>2182.560515158686</v>
      </c>
      <c r="AJ52" t="str">
        <f t="shared" si="1"/>
        <v>Yes</v>
      </c>
    </row>
    <row r="53" spans="1:36" x14ac:dyDescent="0.25">
      <c r="A53" s="55" t="s">
        <v>326</v>
      </c>
      <c r="D53" t="s">
        <v>215</v>
      </c>
      <c r="H53">
        <f>VLOOKUP($A53,raw[],11,FALSE)</f>
        <v>0.7</v>
      </c>
      <c r="I53" s="70">
        <v>7.6367459999999996</v>
      </c>
      <c r="J53">
        <v>0.35440260000000001</v>
      </c>
      <c r="K53">
        <v>0.40098760754208751</v>
      </c>
      <c r="L53">
        <v>0.46794444444444444</v>
      </c>
      <c r="M53">
        <v>0.53515463917525785</v>
      </c>
      <c r="N53">
        <v>0.60270833333333329</v>
      </c>
      <c r="O53">
        <v>0.67157894736842105</v>
      </c>
      <c r="P53">
        <v>1.2976359109537747E-2</v>
      </c>
      <c r="Q53">
        <v>1.9724065846497375E-2</v>
      </c>
      <c r="R53">
        <v>5.1905436438150987E-2</v>
      </c>
      <c r="S53">
        <v>6.977408165379056E-3</v>
      </c>
      <c r="T53">
        <v>1.0605660411376165E-2</v>
      </c>
      <c r="U53">
        <v>2.7909632661516224E-2</v>
      </c>
      <c r="V53" s="70">
        <v>0.02</v>
      </c>
      <c r="W53">
        <v>8.4728965517241388</v>
      </c>
      <c r="X53">
        <v>42.349042810308951</v>
      </c>
      <c r="Y53">
        <v>44.772404200247827</v>
      </c>
      <c r="Z53">
        <v>43.659647873322072</v>
      </c>
      <c r="AA53">
        <v>128.55137931034483</v>
      </c>
      <c r="AB53">
        <v>178.65298317739118</v>
      </c>
      <c r="AC53">
        <v>189.52112815417266</v>
      </c>
      <c r="AD53">
        <v>184.53070570415375</v>
      </c>
      <c r="AF53">
        <v>1969.0920415047419</v>
      </c>
      <c r="AG53">
        <v>3477.969608588945</v>
      </c>
      <c r="AH53">
        <v>6955.93921717789</v>
      </c>
      <c r="AI53">
        <v>20867.817651533671</v>
      </c>
      <c r="AJ53" t="str">
        <f t="shared" si="1"/>
        <v>No</v>
      </c>
    </row>
    <row r="54" spans="1:36" x14ac:dyDescent="0.25">
      <c r="A54" s="53" t="s">
        <v>328</v>
      </c>
      <c r="D54" t="s">
        <v>215</v>
      </c>
      <c r="H54">
        <f>VLOOKUP($A54,raw[],11,FALSE)</f>
        <v>0</v>
      </c>
      <c r="I54" s="70">
        <v>1.0718239999999999</v>
      </c>
      <c r="J54">
        <v>0.35440260000000001</v>
      </c>
      <c r="K54">
        <v>0.40098760754208751</v>
      </c>
      <c r="L54">
        <v>0.46794444444444444</v>
      </c>
      <c r="M54">
        <v>0.53515463917525785</v>
      </c>
      <c r="N54">
        <v>0.60270833333333329</v>
      </c>
      <c r="O54">
        <v>0.67157894736842105</v>
      </c>
      <c r="P54">
        <v>4.3496290108050667E-3</v>
      </c>
      <c r="Q54">
        <v>6.6114360964237007E-3</v>
      </c>
      <c r="R54">
        <v>1.7398516043220267E-2</v>
      </c>
      <c r="S54">
        <v>2.3562370223000925E-3</v>
      </c>
      <c r="T54">
        <v>3.5814802738961407E-3</v>
      </c>
      <c r="U54">
        <v>9.42494808920037E-3</v>
      </c>
      <c r="V54" s="70">
        <v>0.02</v>
      </c>
      <c r="W54">
        <v>7.7930157657657659</v>
      </c>
      <c r="X54">
        <v>37.881508999631137</v>
      </c>
      <c r="Y54">
        <v>38.333529373022969</v>
      </c>
      <c r="Z54">
        <v>38.125971172054939</v>
      </c>
      <c r="AA54">
        <v>117.05188063063065</v>
      </c>
      <c r="AB54">
        <v>149.71716460040886</v>
      </c>
      <c r="AC54">
        <v>151.51031449005035</v>
      </c>
      <c r="AD54">
        <v>150.68693796308708</v>
      </c>
      <c r="AF54">
        <v>165.26204919871938</v>
      </c>
      <c r="AG54">
        <v>636.183996021025</v>
      </c>
      <c r="AH54">
        <v>1272.36799204205</v>
      </c>
      <c r="AI54">
        <v>3817.10397612615</v>
      </c>
      <c r="AJ54" t="str">
        <f t="shared" si="1"/>
        <v>Yes</v>
      </c>
    </row>
    <row r="55" spans="1:36" x14ac:dyDescent="0.25">
      <c r="A55" s="55" t="s">
        <v>330</v>
      </c>
      <c r="D55" t="s">
        <v>215</v>
      </c>
      <c r="H55">
        <f>VLOOKUP($A55,raw[],11,FALSE)</f>
        <v>0.71</v>
      </c>
      <c r="I55" s="70">
        <v>3.174248</v>
      </c>
      <c r="J55">
        <v>0.35440260000000001</v>
      </c>
      <c r="K55">
        <v>0.40098760754208751</v>
      </c>
      <c r="L55">
        <v>0.46794444444444444</v>
      </c>
      <c r="M55">
        <v>0.53515463917525785</v>
      </c>
      <c r="N55">
        <v>0.60270833333333329</v>
      </c>
      <c r="O55">
        <v>0.67157894736842105</v>
      </c>
      <c r="P55">
        <v>8.2327366616836012E-3</v>
      </c>
      <c r="Q55">
        <v>1.2513759725759072E-2</v>
      </c>
      <c r="R55">
        <v>3.2930946646734405E-2</v>
      </c>
      <c r="S55">
        <v>4.4240970940203697E-3</v>
      </c>
      <c r="T55">
        <v>6.7246275829109621E-3</v>
      </c>
      <c r="U55">
        <v>1.7696388376081479E-2</v>
      </c>
      <c r="V55" s="70">
        <v>0.02</v>
      </c>
      <c r="W55">
        <v>8.1515682407887926</v>
      </c>
      <c r="X55">
        <v>40.556006645762558</v>
      </c>
      <c r="Y55">
        <v>42.213395535775106</v>
      </c>
      <c r="Z55">
        <v>41.452357590219478</v>
      </c>
      <c r="AA55">
        <v>122.78478204462897</v>
      </c>
      <c r="AB55">
        <v>166.6097940814756</v>
      </c>
      <c r="AC55">
        <v>174.21119238472477</v>
      </c>
      <c r="AD55">
        <v>170.7207909569639</v>
      </c>
      <c r="AF55">
        <v>2242.5868595310681</v>
      </c>
      <c r="AG55">
        <v>1194.5062153854999</v>
      </c>
      <c r="AH55">
        <v>2389.0124307709998</v>
      </c>
      <c r="AI55">
        <v>7167.0372923129999</v>
      </c>
      <c r="AJ55" t="str">
        <f t="shared" si="1"/>
        <v>No</v>
      </c>
    </row>
    <row r="56" spans="1:36" x14ac:dyDescent="0.25">
      <c r="A56" s="53" t="s">
        <v>332</v>
      </c>
      <c r="D56" t="s">
        <v>225</v>
      </c>
      <c r="H56">
        <f>VLOOKUP($A56,raw[],11,FALSE)</f>
        <v>0.54</v>
      </c>
      <c r="I56" s="70">
        <v>1.08213</v>
      </c>
      <c r="J56">
        <v>0.35440260000000001</v>
      </c>
      <c r="K56">
        <v>0.40098760754208751</v>
      </c>
      <c r="L56">
        <v>0.46794444444444444</v>
      </c>
      <c r="M56">
        <v>0.53515463917525785</v>
      </c>
      <c r="N56">
        <v>0.60270833333333329</v>
      </c>
      <c r="O56">
        <v>0.67157894736842105</v>
      </c>
      <c r="P56">
        <v>6.6911849828537109E-3</v>
      </c>
      <c r="Q56">
        <v>1.017060117393764E-2</v>
      </c>
      <c r="R56">
        <v>2.6764739931414844E-2</v>
      </c>
      <c r="S56">
        <v>3.5698293020247221E-3</v>
      </c>
      <c r="T56">
        <v>5.4261405390775772E-3</v>
      </c>
      <c r="U56">
        <v>1.4279317208098889E-2</v>
      </c>
      <c r="V56" s="70">
        <v>1.8098474610082642</v>
      </c>
      <c r="W56">
        <v>7.90293112467306</v>
      </c>
      <c r="X56">
        <v>38.889756884416819</v>
      </c>
      <c r="Y56">
        <v>39.80932793977577</v>
      </c>
      <c r="Z56">
        <v>39.387080348410834</v>
      </c>
      <c r="AA56">
        <v>118.36084568439408</v>
      </c>
      <c r="AB56">
        <v>155.65181324240226</v>
      </c>
      <c r="AC56">
        <v>159.85246976676817</v>
      </c>
      <c r="AD56">
        <v>157.92361708134678</v>
      </c>
      <c r="AF56">
        <v>328.19395874473463</v>
      </c>
      <c r="AG56">
        <v>963.85391154667502</v>
      </c>
      <c r="AH56">
        <v>1927.70782309335</v>
      </c>
      <c r="AI56">
        <v>5783.1234692800499</v>
      </c>
      <c r="AJ56" t="str">
        <f t="shared" si="1"/>
        <v>No</v>
      </c>
    </row>
    <row r="57" spans="1:36" x14ac:dyDescent="0.25">
      <c r="A57" s="55" t="s">
        <v>334</v>
      </c>
      <c r="D57" t="s">
        <v>225</v>
      </c>
      <c r="H57">
        <f>VLOOKUP($A57,raw[],11,FALSE)</f>
        <v>0.73</v>
      </c>
      <c r="I57" s="70">
        <v>1.33978</v>
      </c>
      <c r="J57">
        <v>0.35440260000000001</v>
      </c>
      <c r="K57">
        <v>0.40098760754208751</v>
      </c>
      <c r="L57">
        <v>0.46794444444444444</v>
      </c>
      <c r="M57">
        <v>0.53515463917525785</v>
      </c>
      <c r="N57">
        <v>0.60270833333333329</v>
      </c>
      <c r="O57">
        <v>0.67157894736842105</v>
      </c>
      <c r="P57">
        <v>1.2944076868657171E-2</v>
      </c>
      <c r="Q57">
        <v>1.9674996840358901E-2</v>
      </c>
      <c r="R57">
        <v>5.1776307474628684E-2</v>
      </c>
      <c r="S57">
        <v>7.1659044945284623E-3</v>
      </c>
      <c r="T57">
        <v>1.0892174831683263E-2</v>
      </c>
      <c r="U57">
        <v>2.8663617978113849E-2</v>
      </c>
      <c r="V57" s="70">
        <v>0.63</v>
      </c>
      <c r="W57">
        <v>8.0363664568345321</v>
      </c>
      <c r="X57">
        <v>40.127772211481336</v>
      </c>
      <c r="Y57">
        <v>41.622238547849022</v>
      </c>
      <c r="Z57">
        <v>40.936011195183042</v>
      </c>
      <c r="AA57">
        <v>121.09575539568347</v>
      </c>
      <c r="AB57">
        <v>163.52065691634758</v>
      </c>
      <c r="AC57">
        <v>170.39334663139286</v>
      </c>
      <c r="AD57">
        <v>167.23755278439791</v>
      </c>
      <c r="AF57">
        <v>669.83075676443889</v>
      </c>
      <c r="AG57">
        <v>1934.7942135226849</v>
      </c>
      <c r="AH57">
        <v>3869.5884270453698</v>
      </c>
      <c r="AI57">
        <v>11608.765281136109</v>
      </c>
      <c r="AJ57" t="str">
        <f t="shared" si="1"/>
        <v>No</v>
      </c>
    </row>
    <row r="58" spans="1:36" x14ac:dyDescent="0.25">
      <c r="A58" s="53" t="s">
        <v>336</v>
      </c>
      <c r="D58" t="s">
        <v>196</v>
      </c>
      <c r="H58">
        <f>VLOOKUP($A58,raw[],11,FALSE)</f>
        <v>0.95</v>
      </c>
      <c r="I58" s="70">
        <v>3.2257779999999996</v>
      </c>
      <c r="J58">
        <v>0.35440260000000001</v>
      </c>
      <c r="K58">
        <v>0.40098760754208751</v>
      </c>
      <c r="L58">
        <v>0.46794444444444444</v>
      </c>
      <c r="M58">
        <v>0.53515463917525785</v>
      </c>
      <c r="N58">
        <v>0.60270833333333329</v>
      </c>
      <c r="O58">
        <v>0.67157894736842105</v>
      </c>
      <c r="P58">
        <v>9.1652487895704307E-3</v>
      </c>
      <c r="Q58">
        <v>1.3931178160147056E-2</v>
      </c>
      <c r="R58">
        <v>3.6660995158281723E-2</v>
      </c>
      <c r="S58">
        <v>4.4860752904217968E-3</v>
      </c>
      <c r="T58">
        <v>6.8188344414411304E-3</v>
      </c>
      <c r="U58">
        <v>1.7944301161687187E-2</v>
      </c>
      <c r="V58" s="70">
        <v>0.48</v>
      </c>
      <c r="W58">
        <v>9.0456140085663908</v>
      </c>
      <c r="X58">
        <v>50.26974381666102</v>
      </c>
      <c r="Y58">
        <v>56.517473823663096</v>
      </c>
      <c r="Z58">
        <v>53.64864826463625</v>
      </c>
      <c r="AA58">
        <v>135.10205039052659</v>
      </c>
      <c r="AB58">
        <v>227.37323977585478</v>
      </c>
      <c r="AC58">
        <v>260.18918013949974</v>
      </c>
      <c r="AD58">
        <v>245.12079396512678</v>
      </c>
      <c r="AF58">
        <v>0</v>
      </c>
      <c r="AG58">
        <v>1211.240328413885</v>
      </c>
      <c r="AH58">
        <v>2422.48065682777</v>
      </c>
      <c r="AI58">
        <v>7267.4419704833099</v>
      </c>
      <c r="AJ58" t="str">
        <f t="shared" si="1"/>
        <v>No</v>
      </c>
    </row>
    <row r="59" spans="1:36" x14ac:dyDescent="0.25">
      <c r="A59" s="55" t="s">
        <v>338</v>
      </c>
      <c r="D59" t="s">
        <v>196</v>
      </c>
      <c r="H59">
        <f>VLOOKUP($A59,raw[],11,FALSE)</f>
        <v>0.47</v>
      </c>
      <c r="I59" s="70">
        <v>2.5043579999999999</v>
      </c>
      <c r="J59">
        <v>0.35440260000000001</v>
      </c>
      <c r="K59">
        <v>0.40098760754208751</v>
      </c>
      <c r="L59">
        <v>0.46794444444444444</v>
      </c>
      <c r="M59">
        <v>0.53515463917525785</v>
      </c>
      <c r="N59">
        <v>0.60270833333333329</v>
      </c>
      <c r="O59">
        <v>0.67157894736842105</v>
      </c>
      <c r="P59">
        <v>7.4490760191833691E-3</v>
      </c>
      <c r="Q59">
        <v>1.1322595549158722E-2</v>
      </c>
      <c r="R59">
        <v>2.9796304076733476E-2</v>
      </c>
      <c r="S59">
        <v>4.1586588096364403E-3</v>
      </c>
      <c r="T59">
        <v>6.3211613906473891E-3</v>
      </c>
      <c r="U59">
        <v>1.6634635238545761E-2</v>
      </c>
      <c r="V59" s="70">
        <v>0.48</v>
      </c>
      <c r="W59">
        <v>8.0034470338983059</v>
      </c>
      <c r="X59">
        <v>39.444851549727119</v>
      </c>
      <c r="Y59">
        <v>40.601014959579203</v>
      </c>
      <c r="Z59">
        <v>40.070129159956302</v>
      </c>
      <c r="AA59">
        <v>119.47989671610171</v>
      </c>
      <c r="AB59">
        <v>159.12979814879617</v>
      </c>
      <c r="AC59">
        <v>164.55819730749059</v>
      </c>
      <c r="AD59">
        <v>162.06559115555876</v>
      </c>
      <c r="AF59">
        <v>0</v>
      </c>
      <c r="AG59">
        <v>2072.9314681880101</v>
      </c>
      <c r="AH59">
        <v>4145.8629363760201</v>
      </c>
      <c r="AI59">
        <v>12437.588809128061</v>
      </c>
      <c r="AJ59" t="str">
        <f t="shared" si="1"/>
        <v>No</v>
      </c>
    </row>
    <row r="60" spans="1:36" x14ac:dyDescent="0.25">
      <c r="A60" s="53" t="s">
        <v>340</v>
      </c>
      <c r="D60" t="s">
        <v>215</v>
      </c>
      <c r="H60">
        <f>VLOOKUP($A60,raw[],11,FALSE)</f>
        <v>0</v>
      </c>
      <c r="I60" s="70">
        <v>6.2557419999999997</v>
      </c>
      <c r="J60">
        <v>0.35440260000000001</v>
      </c>
      <c r="K60">
        <v>0.40098760754208751</v>
      </c>
      <c r="L60">
        <v>0.46794444444444444</v>
      </c>
      <c r="M60">
        <v>0.53515463917525785</v>
      </c>
      <c r="N60">
        <v>0.60270833333333329</v>
      </c>
      <c r="O60">
        <v>0.67157894736842105</v>
      </c>
      <c r="P60">
        <v>9.0304703730582428E-3</v>
      </c>
      <c r="Q60">
        <v>1.372631496704853E-2</v>
      </c>
      <c r="R60">
        <v>3.6121881492232971E-2</v>
      </c>
      <c r="S60">
        <v>4.6789269404997908E-3</v>
      </c>
      <c r="T60">
        <v>7.1119689495596815E-3</v>
      </c>
      <c r="U60">
        <v>1.8715707761999163E-2</v>
      </c>
      <c r="V60" s="70">
        <v>0.02</v>
      </c>
      <c r="W60">
        <v>8.9177393348219507</v>
      </c>
      <c r="X60">
        <v>46.751982513351393</v>
      </c>
      <c r="Y60">
        <v>51.23539501009229</v>
      </c>
      <c r="Z60">
        <v>49.176706758856156</v>
      </c>
      <c r="AA60">
        <v>132.34043953461043</v>
      </c>
      <c r="AB60">
        <v>201.33583872650186</v>
      </c>
      <c r="AC60">
        <v>222.0375438100385</v>
      </c>
      <c r="AD60">
        <v>212.53175841397857</v>
      </c>
      <c r="AF60">
        <v>2977.9789149480221</v>
      </c>
      <c r="AG60">
        <v>2332.2651211106649</v>
      </c>
      <c r="AH60">
        <v>4664.5302422213299</v>
      </c>
      <c r="AI60">
        <v>13993.59072666399</v>
      </c>
      <c r="AJ60" t="str">
        <f t="shared" si="1"/>
        <v>Yes</v>
      </c>
    </row>
    <row r="61" spans="1:36" x14ac:dyDescent="0.25">
      <c r="A61" s="55" t="s">
        <v>342</v>
      </c>
      <c r="D61" t="s">
        <v>196</v>
      </c>
      <c r="H61">
        <f>VLOOKUP($A61,raw[],11,FALSE)</f>
        <v>0</v>
      </c>
      <c r="I61" s="70">
        <v>4.4109680000000004</v>
      </c>
      <c r="J61">
        <v>0.35440260000000001</v>
      </c>
      <c r="K61">
        <v>0.40098760754208751</v>
      </c>
      <c r="L61">
        <v>0.46794444444444444</v>
      </c>
      <c r="M61">
        <v>0.53515463917525785</v>
      </c>
      <c r="N61">
        <v>0.60270833333333329</v>
      </c>
      <c r="O61">
        <v>0.67157894736842105</v>
      </c>
      <c r="P61">
        <v>8.0164729416422088E-3</v>
      </c>
      <c r="Q61">
        <v>1.2185038871296157E-2</v>
      </c>
      <c r="R61">
        <v>3.2065891766568835E-2</v>
      </c>
      <c r="S61">
        <v>4.2959842376551491E-3</v>
      </c>
      <c r="T61">
        <v>6.5298960412358267E-3</v>
      </c>
      <c r="U61">
        <v>1.7183936950620596E-2</v>
      </c>
      <c r="V61" s="70">
        <v>0.48</v>
      </c>
      <c r="W61">
        <v>8.362981587165784</v>
      </c>
      <c r="X61">
        <v>43.296947842982554</v>
      </c>
      <c r="Y61">
        <v>46.258018491038726</v>
      </c>
      <c r="Z61">
        <v>44.905306491715322</v>
      </c>
      <c r="AA61">
        <v>125.10133154140887</v>
      </c>
      <c r="AB61">
        <v>183.32559742757255</v>
      </c>
      <c r="AC61">
        <v>198.42130408894653</v>
      </c>
      <c r="AD61">
        <v>191.48967467263284</v>
      </c>
      <c r="AF61">
        <v>6103.2980442662974</v>
      </c>
      <c r="AG61">
        <v>2141.382912308105</v>
      </c>
      <c r="AH61">
        <v>4282.76582461621</v>
      </c>
      <c r="AI61">
        <v>12848.29747384863</v>
      </c>
      <c r="AJ61" t="str">
        <f t="shared" si="1"/>
        <v>Yes</v>
      </c>
    </row>
    <row r="62" spans="1:36" x14ac:dyDescent="0.25">
      <c r="A62" s="53" t="s">
        <v>344</v>
      </c>
      <c r="D62" t="s">
        <v>201</v>
      </c>
      <c r="H62">
        <f>VLOOKUP($A62,raw[],11,FALSE)</f>
        <v>0.93</v>
      </c>
      <c r="I62" s="70">
        <v>5.2045299999999992</v>
      </c>
      <c r="J62">
        <v>0.35440260000000001</v>
      </c>
      <c r="K62">
        <v>0.40098760754208751</v>
      </c>
      <c r="L62">
        <v>0.46794444444444444</v>
      </c>
      <c r="M62">
        <v>0.53515463917525785</v>
      </c>
      <c r="N62">
        <v>0.60270833333333329</v>
      </c>
      <c r="O62">
        <v>0.67157894736842105</v>
      </c>
      <c r="P62">
        <v>1.6727700784903255E-2</v>
      </c>
      <c r="Q62">
        <v>2.5426105193052946E-2</v>
      </c>
      <c r="R62">
        <v>6.691080313961302E-2</v>
      </c>
      <c r="S62">
        <v>9.1503884716677263E-3</v>
      </c>
      <c r="T62">
        <v>1.3908590476934945E-2</v>
      </c>
      <c r="U62">
        <v>3.6601553886670905E-2</v>
      </c>
      <c r="V62" s="70">
        <v>4.07</v>
      </c>
      <c r="W62">
        <v>9.1455312698211308</v>
      </c>
      <c r="X62">
        <v>50.212368449556706</v>
      </c>
      <c r="Y62">
        <v>56.378233141055759</v>
      </c>
      <c r="Z62">
        <v>53.546998404495575</v>
      </c>
      <c r="AA62">
        <v>137.23487124191303</v>
      </c>
      <c r="AB62">
        <v>229.69042852595342</v>
      </c>
      <c r="AC62">
        <v>262.60232593700846</v>
      </c>
      <c r="AD62">
        <v>247.48987831473838</v>
      </c>
      <c r="AF62">
        <v>5011.2018199813074</v>
      </c>
      <c r="AG62">
        <v>4561.11671510822</v>
      </c>
      <c r="AH62">
        <v>9122.23343021644</v>
      </c>
      <c r="AI62">
        <v>27366.700290649322</v>
      </c>
      <c r="AJ62" t="str">
        <f t="shared" si="1"/>
        <v>No</v>
      </c>
    </row>
    <row r="63" spans="1:36" x14ac:dyDescent="0.25">
      <c r="A63" s="55" t="s">
        <v>346</v>
      </c>
      <c r="D63" t="s">
        <v>207</v>
      </c>
      <c r="H63">
        <f>VLOOKUP($A63,raw[],11,FALSE)</f>
        <v>0</v>
      </c>
      <c r="I63" s="70">
        <v>2.174566</v>
      </c>
      <c r="J63">
        <v>0.35440260000000001</v>
      </c>
      <c r="K63">
        <v>0.40098760754208751</v>
      </c>
      <c r="L63">
        <v>0.46794444444444444</v>
      </c>
      <c r="M63">
        <v>0.53515463917525785</v>
      </c>
      <c r="N63">
        <v>0.60270833333333329</v>
      </c>
      <c r="O63">
        <v>0.67157894736842105</v>
      </c>
      <c r="P63">
        <v>6.2428059269824697E-3</v>
      </c>
      <c r="Q63">
        <v>9.489065009013354E-3</v>
      </c>
      <c r="R63">
        <v>2.4971223707929879E-2</v>
      </c>
      <c r="S63">
        <v>3.4788531528027406E-3</v>
      </c>
      <c r="T63">
        <v>5.2878567922601651E-3</v>
      </c>
      <c r="U63">
        <v>1.3915412611210962E-2</v>
      </c>
      <c r="V63" s="70">
        <v>4.83</v>
      </c>
      <c r="W63">
        <v>7.7751874554526026</v>
      </c>
      <c r="X63">
        <v>37.827574706327226</v>
      </c>
      <c r="Y63">
        <v>38.260803177517914</v>
      </c>
      <c r="Z63">
        <v>38.061873820830442</v>
      </c>
      <c r="AA63">
        <v>116.6316963649323</v>
      </c>
      <c r="AB63">
        <v>149.55287684811421</v>
      </c>
      <c r="AC63">
        <v>151.47921192910553</v>
      </c>
      <c r="AD63">
        <v>150.59467957745071</v>
      </c>
      <c r="AF63">
        <v>586.73946013291015</v>
      </c>
      <c r="AG63">
        <v>939.29035125674</v>
      </c>
      <c r="AH63">
        <v>1878.58070251348</v>
      </c>
      <c r="AI63">
        <v>5635.74210754044</v>
      </c>
      <c r="AJ63" t="str">
        <f t="shared" si="1"/>
        <v>Yes</v>
      </c>
    </row>
    <row r="64" spans="1:36" x14ac:dyDescent="0.25">
      <c r="A64" s="53" t="s">
        <v>348</v>
      </c>
      <c r="D64" t="s">
        <v>260</v>
      </c>
      <c r="H64">
        <f>VLOOKUP($A64,raw[],11,FALSE)</f>
        <v>0.91</v>
      </c>
      <c r="I64" s="70">
        <v>9.4712139999999998</v>
      </c>
      <c r="J64">
        <v>0.35440260000000001</v>
      </c>
      <c r="K64">
        <v>0.40098760754208751</v>
      </c>
      <c r="L64">
        <v>0.46794444444444444</v>
      </c>
      <c r="M64">
        <v>0.53515463917525785</v>
      </c>
      <c r="N64">
        <v>0.60270833333333329</v>
      </c>
      <c r="O64">
        <v>0.67157894736842105</v>
      </c>
      <c r="P64">
        <v>5.4167071814098574E-3</v>
      </c>
      <c r="Q64">
        <v>8.233394915742983E-3</v>
      </c>
      <c r="R64">
        <v>2.166682872563943E-2</v>
      </c>
      <c r="S64">
        <v>3.0621116615613892E-3</v>
      </c>
      <c r="T64">
        <v>4.6544097255733106E-3</v>
      </c>
      <c r="U64">
        <v>1.2248446646245557E-2</v>
      </c>
      <c r="V64" s="70">
        <v>0.63</v>
      </c>
      <c r="W64">
        <v>8.3536926669780485</v>
      </c>
      <c r="X64">
        <v>40.634070027658019</v>
      </c>
      <c r="Y64">
        <v>42.226889480191502</v>
      </c>
      <c r="Z64">
        <v>41.495500455502224</v>
      </c>
      <c r="AA64">
        <v>123.74445586174681</v>
      </c>
      <c r="AB64">
        <v>167.53169495468822</v>
      </c>
      <c r="AC64">
        <v>175.11343376084247</v>
      </c>
      <c r="AD64">
        <v>171.63205955859874</v>
      </c>
      <c r="AF64">
        <v>0</v>
      </c>
      <c r="AG64">
        <v>826.770148621575</v>
      </c>
      <c r="AH64">
        <v>1653.54029724315</v>
      </c>
      <c r="AI64">
        <v>4960.6208917294498</v>
      </c>
      <c r="AJ64" t="str">
        <f t="shared" si="1"/>
        <v>No</v>
      </c>
    </row>
    <row r="65" spans="1:36" x14ac:dyDescent="0.25">
      <c r="A65" s="55" t="s">
        <v>350</v>
      </c>
      <c r="D65" t="s">
        <v>225</v>
      </c>
      <c r="H65">
        <f>VLOOKUP($A65,raw[],11,FALSE)</f>
        <v>0.99</v>
      </c>
      <c r="I65" s="70">
        <v>2.6383359999999998</v>
      </c>
      <c r="J65">
        <v>0.35440260000000001</v>
      </c>
      <c r="K65">
        <v>0.40098760754208751</v>
      </c>
      <c r="L65">
        <v>0.46794444444444444</v>
      </c>
      <c r="M65">
        <v>0.53515463917525785</v>
      </c>
      <c r="N65">
        <v>0.60270833333333329</v>
      </c>
      <c r="O65">
        <v>0.67157894736842105</v>
      </c>
      <c r="P65">
        <v>7.7726850327374105E-3</v>
      </c>
      <c r="Q65">
        <v>1.1814481249760863E-2</v>
      </c>
      <c r="R65">
        <v>3.1090740130949642E-2</v>
      </c>
      <c r="S65">
        <v>4.1951766104861973E-3</v>
      </c>
      <c r="T65">
        <v>6.3766684479390195E-3</v>
      </c>
      <c r="U65">
        <v>1.6780706441944789E-2</v>
      </c>
      <c r="V65" s="70">
        <v>0.63</v>
      </c>
      <c r="W65">
        <v>7.9338672007268993</v>
      </c>
      <c r="X65">
        <v>39.1706580270655</v>
      </c>
      <c r="Y65">
        <v>40.22032716302116</v>
      </c>
      <c r="Z65">
        <v>39.738341282969316</v>
      </c>
      <c r="AA65">
        <v>118.95250020475962</v>
      </c>
      <c r="AB65">
        <v>157.48588624128527</v>
      </c>
      <c r="AC65">
        <v>162.33317815976801</v>
      </c>
      <c r="AD65">
        <v>160.10740416949915</v>
      </c>
      <c r="AF65">
        <v>0</v>
      </c>
      <c r="AG65">
        <v>916.59551138403538</v>
      </c>
      <c r="AH65">
        <v>1833.1910227680708</v>
      </c>
      <c r="AI65">
        <v>5499.573068304212</v>
      </c>
      <c r="AJ65" t="str">
        <f t="shared" si="1"/>
        <v>No</v>
      </c>
    </row>
    <row r="66" spans="1:36" x14ac:dyDescent="0.25">
      <c r="A66" s="53" t="s">
        <v>352</v>
      </c>
      <c r="D66" t="s">
        <v>201</v>
      </c>
      <c r="H66">
        <f>VLOOKUP($A66,raw[],11,FALSE)</f>
        <v>0.95</v>
      </c>
      <c r="I66" s="70">
        <v>3.3391440000000001</v>
      </c>
      <c r="J66">
        <v>0.35440260000000001</v>
      </c>
      <c r="K66">
        <v>0.40098760754208751</v>
      </c>
      <c r="L66">
        <v>0.46794444444444444</v>
      </c>
      <c r="M66">
        <v>0.53515463917525785</v>
      </c>
      <c r="N66">
        <v>0.60270833333333329</v>
      </c>
      <c r="O66">
        <v>0.67157894736842105</v>
      </c>
      <c r="P66">
        <v>4.0244550828255603E-3</v>
      </c>
      <c r="Q66">
        <v>6.1171717258948514E-3</v>
      </c>
      <c r="R66">
        <v>1.6097820331302241E-2</v>
      </c>
      <c r="S66">
        <v>2.1733542670356668E-3</v>
      </c>
      <c r="T66">
        <v>3.3034984858942131E-3</v>
      </c>
      <c r="U66">
        <v>8.693417068142667E-3</v>
      </c>
      <c r="V66" s="70">
        <v>4.07</v>
      </c>
      <c r="W66">
        <v>7.7961328273244792</v>
      </c>
      <c r="X66">
        <v>38.055907648994548</v>
      </c>
      <c r="Y66">
        <v>38.597074102350689</v>
      </c>
      <c r="Z66">
        <v>38.348581905771127</v>
      </c>
      <c r="AA66">
        <v>117.22098671726756</v>
      </c>
      <c r="AB66">
        <v>150.8027657422173</v>
      </c>
      <c r="AC66">
        <v>153.07291927552171</v>
      </c>
      <c r="AD66">
        <v>152.03051275796099</v>
      </c>
      <c r="AF66">
        <v>878.72642611309573</v>
      </c>
      <c r="AG66">
        <v>586.80565209963004</v>
      </c>
      <c r="AH66">
        <v>1173.6113041992601</v>
      </c>
      <c r="AI66">
        <v>3520.83391259778</v>
      </c>
      <c r="AJ66" t="str">
        <f t="shared" ref="AJ66:AJ97" si="2">IF($H66=0, "Yes", "No")</f>
        <v>No</v>
      </c>
    </row>
    <row r="67" spans="1:36" x14ac:dyDescent="0.25">
      <c r="A67" s="55" t="s">
        <v>354</v>
      </c>
      <c r="D67" t="s">
        <v>260</v>
      </c>
      <c r="H67">
        <f>VLOOKUP($A67,raw[],11,FALSE)</f>
        <v>0.57999999999999996</v>
      </c>
      <c r="I67" s="70">
        <v>1.772632</v>
      </c>
      <c r="J67">
        <v>0.35440260000000001</v>
      </c>
      <c r="K67">
        <v>0.40098760754208751</v>
      </c>
      <c r="L67">
        <v>0.46794444444444444</v>
      </c>
      <c r="M67">
        <v>0.53515463917525785</v>
      </c>
      <c r="N67">
        <v>0.60270833333333329</v>
      </c>
      <c r="O67">
        <v>0.67157894736842105</v>
      </c>
      <c r="P67">
        <v>9.036313090582223E-3</v>
      </c>
      <c r="Q67">
        <v>1.3735195897684979E-2</v>
      </c>
      <c r="R67">
        <v>3.6145252362328892E-2</v>
      </c>
      <c r="S67">
        <v>4.8698418201317591E-3</v>
      </c>
      <c r="T67">
        <v>7.4021595666002729E-3</v>
      </c>
      <c r="U67">
        <v>1.9479367280527037E-2</v>
      </c>
      <c r="V67" s="70">
        <v>0.63</v>
      </c>
      <c r="W67">
        <v>8.5266678480611002</v>
      </c>
      <c r="X67">
        <v>43.895753407346618</v>
      </c>
      <c r="Y67">
        <v>47.096137523358543</v>
      </c>
      <c r="Z67">
        <v>45.626588784788105</v>
      </c>
      <c r="AA67">
        <v>126.97030927622939</v>
      </c>
      <c r="AB67">
        <v>184.47073962327983</v>
      </c>
      <c r="AC67">
        <v>199.1897151854279</v>
      </c>
      <c r="AD67">
        <v>192.43107272679777</v>
      </c>
      <c r="AF67">
        <v>0</v>
      </c>
      <c r="AG67">
        <v>1314.857291435575</v>
      </c>
      <c r="AH67">
        <v>2629.71458287115</v>
      </c>
      <c r="AI67">
        <v>7889.14374861345</v>
      </c>
      <c r="AJ67" t="str">
        <f t="shared" si="2"/>
        <v>No</v>
      </c>
    </row>
    <row r="68" spans="1:36" x14ac:dyDescent="0.25">
      <c r="A68" s="53" t="s">
        <v>356</v>
      </c>
      <c r="D68" t="s">
        <v>196</v>
      </c>
      <c r="H68">
        <f>VLOOKUP($A68,raw[],11,FALSE)</f>
        <v>0.77</v>
      </c>
      <c r="I68" s="70">
        <v>3.9059740000000001</v>
      </c>
      <c r="J68">
        <v>0.35440260000000001</v>
      </c>
      <c r="K68">
        <v>0.40098760754208751</v>
      </c>
      <c r="L68">
        <v>0.46794444444444444</v>
      </c>
      <c r="M68">
        <v>0.53515463917525785</v>
      </c>
      <c r="N68">
        <v>0.60270833333333329</v>
      </c>
      <c r="O68">
        <v>0.67157894736842105</v>
      </c>
      <c r="P68">
        <v>8.891736829781954E-3</v>
      </c>
      <c r="Q68">
        <v>1.351543998126857E-2</v>
      </c>
      <c r="R68">
        <v>3.5566947319127816E-2</v>
      </c>
      <c r="S68">
        <v>4.6638981017761436E-3</v>
      </c>
      <c r="T68">
        <v>7.0891251146997375E-3</v>
      </c>
      <c r="U68">
        <v>1.8655592407104574E-2</v>
      </c>
      <c r="V68" s="70">
        <v>0.48</v>
      </c>
      <c r="W68">
        <v>9.6047108310626701</v>
      </c>
      <c r="X68">
        <v>55.693405069188252</v>
      </c>
      <c r="Y68">
        <v>64.472970839912676</v>
      </c>
      <c r="Z68">
        <v>60.441579814374876</v>
      </c>
      <c r="AA68">
        <v>142.25350703905542</v>
      </c>
      <c r="AB68">
        <v>253.12910936756421</v>
      </c>
      <c r="AC68">
        <v>295.62799642255425</v>
      </c>
      <c r="AD68">
        <v>276.11340579893454</v>
      </c>
      <c r="AF68">
        <v>7007.4019305082584</v>
      </c>
      <c r="AG68">
        <v>2324.7738230391851</v>
      </c>
      <c r="AH68">
        <v>4649.5476460783702</v>
      </c>
      <c r="AI68">
        <v>13948.642938235111</v>
      </c>
      <c r="AJ68" t="str">
        <f t="shared" si="2"/>
        <v>No</v>
      </c>
    </row>
    <row r="69" spans="1:36" x14ac:dyDescent="0.25">
      <c r="A69" s="55" t="s">
        <v>358</v>
      </c>
      <c r="D69" t="s">
        <v>207</v>
      </c>
      <c r="H69">
        <f>VLOOKUP($A69,raw[],11,FALSE)</f>
        <v>0</v>
      </c>
      <c r="I69" s="70">
        <v>4.1430119999999997</v>
      </c>
      <c r="J69">
        <v>0.35440260000000001</v>
      </c>
      <c r="K69">
        <v>0.40098760754208751</v>
      </c>
      <c r="L69">
        <v>0.46794444444444444</v>
      </c>
      <c r="M69">
        <v>0.53515463917525785</v>
      </c>
      <c r="N69">
        <v>0.60270833333333329</v>
      </c>
      <c r="O69">
        <v>0.67157894736842105</v>
      </c>
      <c r="P69">
        <v>2.8494044824416351E-3</v>
      </c>
      <c r="Q69">
        <v>4.3310948133112844E-3</v>
      </c>
      <c r="R69">
        <v>1.139761792976654E-2</v>
      </c>
      <c r="S69">
        <v>1.6210248758591222E-3</v>
      </c>
      <c r="T69">
        <v>2.4639578113058655E-3</v>
      </c>
      <c r="U69">
        <v>6.4840995034364888E-3</v>
      </c>
      <c r="V69" s="70">
        <v>4.83</v>
      </c>
      <c r="W69">
        <v>7.8631171171171186</v>
      </c>
      <c r="X69">
        <v>38.316474520321847</v>
      </c>
      <c r="Y69">
        <v>38.958393941433428</v>
      </c>
      <c r="Z69">
        <v>38.663638111707002</v>
      </c>
      <c r="AA69">
        <v>117.54045045045046</v>
      </c>
      <c r="AB69">
        <v>152.69343580221445</v>
      </c>
      <c r="AC69">
        <v>155.78134731316166</v>
      </c>
      <c r="AD69">
        <v>154.36344361746893</v>
      </c>
      <c r="AF69">
        <v>647.78854812136308</v>
      </c>
      <c r="AG69">
        <v>437.67671648196301</v>
      </c>
      <c r="AH69">
        <v>875.35343296392602</v>
      </c>
      <c r="AI69">
        <v>2626.0602988917781</v>
      </c>
      <c r="AJ69" t="str">
        <f t="shared" si="2"/>
        <v>Yes</v>
      </c>
    </row>
    <row r="70" spans="1:36" x14ac:dyDescent="0.25">
      <c r="A70" s="53" t="s">
        <v>360</v>
      </c>
      <c r="D70" t="s">
        <v>207</v>
      </c>
      <c r="H70">
        <f>VLOOKUP($A70,raw[],11,FALSE)</f>
        <v>0</v>
      </c>
      <c r="I70" s="70">
        <v>2.1848719999999999</v>
      </c>
      <c r="J70">
        <v>0.35440260000000001</v>
      </c>
      <c r="K70">
        <v>0.40098760754208751</v>
      </c>
      <c r="L70">
        <v>0.46794444444444444</v>
      </c>
      <c r="M70">
        <v>0.53515463917525785</v>
      </c>
      <c r="N70">
        <v>0.60270833333333329</v>
      </c>
      <c r="O70">
        <v>0.67157894736842105</v>
      </c>
      <c r="P70">
        <v>3.1711936192968053E-3</v>
      </c>
      <c r="Q70">
        <v>4.8202143013311438E-3</v>
      </c>
      <c r="R70">
        <v>1.2684774477187221E-2</v>
      </c>
      <c r="S70">
        <v>1.8069943107902739E-3</v>
      </c>
      <c r="T70">
        <v>2.7466313524012161E-3</v>
      </c>
      <c r="U70">
        <v>7.2279772431610954E-3</v>
      </c>
      <c r="V70" s="70">
        <v>4.83</v>
      </c>
      <c r="W70">
        <v>7.6522467191601056</v>
      </c>
      <c r="X70">
        <v>37.156570473624868</v>
      </c>
      <c r="Y70">
        <v>37.304551050382308</v>
      </c>
      <c r="Z70">
        <v>37.236601497446202</v>
      </c>
      <c r="AA70">
        <v>114.81267716535434</v>
      </c>
      <c r="AB70">
        <v>145.21178450004646</v>
      </c>
      <c r="AC70">
        <v>145.82546865659936</v>
      </c>
      <c r="AD70">
        <v>145.54367786354084</v>
      </c>
      <c r="AF70">
        <v>0</v>
      </c>
      <c r="AG70">
        <v>316.46819280867498</v>
      </c>
      <c r="AH70">
        <v>632.93638561734997</v>
      </c>
      <c r="AI70">
        <v>1898.8091568520499</v>
      </c>
      <c r="AJ70" t="str">
        <f t="shared" si="2"/>
        <v>Yes</v>
      </c>
    </row>
    <row r="71" spans="1:36" x14ac:dyDescent="0.25">
      <c r="A71" s="55" t="s">
        <v>362</v>
      </c>
      <c r="D71" t="s">
        <v>196</v>
      </c>
      <c r="H71">
        <f>VLOOKUP($A71,raw[],11,FALSE)</f>
        <v>0</v>
      </c>
      <c r="I71" s="70">
        <v>5.7816660000000004</v>
      </c>
      <c r="J71">
        <v>0.35440260000000001</v>
      </c>
      <c r="K71">
        <v>0.40098760754208751</v>
      </c>
      <c r="L71">
        <v>0.46794444444444444</v>
      </c>
      <c r="M71">
        <v>0.53515463917525785</v>
      </c>
      <c r="N71">
        <v>0.60270833333333329</v>
      </c>
      <c r="O71">
        <v>0.67157894736842105</v>
      </c>
      <c r="P71">
        <v>6.62578963769999E-3</v>
      </c>
      <c r="Q71">
        <v>1.0071200249303984E-2</v>
      </c>
      <c r="R71">
        <v>2.650315855079996E-2</v>
      </c>
      <c r="S71">
        <v>3.7107123415788075E-3</v>
      </c>
      <c r="T71">
        <v>5.6402827591997872E-3</v>
      </c>
      <c r="U71">
        <v>1.484284936631523E-2</v>
      </c>
      <c r="V71" s="70">
        <v>0.48</v>
      </c>
      <c r="W71">
        <v>9.28653675811751</v>
      </c>
      <c r="X71">
        <v>54.872722688849692</v>
      </c>
      <c r="Y71">
        <v>63.390750448817812</v>
      </c>
      <c r="Z71">
        <v>59.479452149610012</v>
      </c>
      <c r="AA71">
        <v>139.55745829244358</v>
      </c>
      <c r="AB71">
        <v>250.49246985186281</v>
      </c>
      <c r="AC71">
        <v>293.02227733512098</v>
      </c>
      <c r="AD71">
        <v>273.49348870441509</v>
      </c>
      <c r="AF71">
        <v>0</v>
      </c>
      <c r="AG71">
        <v>1849.64738257159</v>
      </c>
      <c r="AH71">
        <v>3699.29476514318</v>
      </c>
      <c r="AI71">
        <v>11097.88429542954</v>
      </c>
      <c r="AJ71" t="str">
        <f t="shared" si="2"/>
        <v>Yes</v>
      </c>
    </row>
    <row r="72" spans="1:36" x14ac:dyDescent="0.25">
      <c r="A72" s="53" t="s">
        <v>364</v>
      </c>
      <c r="D72" t="s">
        <v>207</v>
      </c>
      <c r="H72">
        <f>VLOOKUP($A72,raw[],11,FALSE)</f>
        <v>0</v>
      </c>
      <c r="I72" s="70">
        <v>1.051212</v>
      </c>
      <c r="J72">
        <v>0.35440260000000001</v>
      </c>
      <c r="K72">
        <v>0.40098760754208751</v>
      </c>
      <c r="L72">
        <v>0.46794444444444444</v>
      </c>
      <c r="M72">
        <v>0.53515463917525785</v>
      </c>
      <c r="N72">
        <v>0.60270833333333329</v>
      </c>
      <c r="O72">
        <v>0.67157894736842105</v>
      </c>
      <c r="P72">
        <v>2.6102742586449281E-3</v>
      </c>
      <c r="Q72">
        <v>3.9676168731402903E-3</v>
      </c>
      <c r="R72">
        <v>1.0441097034579712E-2</v>
      </c>
      <c r="S72">
        <v>1.3460791175238678E-3</v>
      </c>
      <c r="T72">
        <v>2.0460402586362789E-3</v>
      </c>
      <c r="U72">
        <v>5.3843164700954713E-3</v>
      </c>
      <c r="V72" s="70">
        <v>4.83</v>
      </c>
      <c r="W72">
        <v>7.6521196105702369</v>
      </c>
      <c r="X72">
        <v>37.205502041832716</v>
      </c>
      <c r="Y72">
        <v>37.379015945206319</v>
      </c>
      <c r="Z72">
        <v>37.299342028393838</v>
      </c>
      <c r="AA72">
        <v>114.73631432545203</v>
      </c>
      <c r="AB72">
        <v>145.34234522077952</v>
      </c>
      <c r="AC72">
        <v>146.06372585842723</v>
      </c>
      <c r="AD72">
        <v>145.73248311766355</v>
      </c>
      <c r="AF72">
        <v>82.825073294787018</v>
      </c>
      <c r="AG72">
        <v>235.74574815012599</v>
      </c>
      <c r="AH72">
        <v>471.49149630025198</v>
      </c>
      <c r="AI72">
        <v>1414.4744889007559</v>
      </c>
      <c r="AJ72" t="str">
        <f t="shared" si="2"/>
        <v>Yes</v>
      </c>
    </row>
    <row r="73" spans="1:36" x14ac:dyDescent="0.25">
      <c r="A73" s="55" t="s">
        <v>366</v>
      </c>
      <c r="D73" t="s">
        <v>207</v>
      </c>
      <c r="H73">
        <f>VLOOKUP($A73,raw[],11,FALSE)</f>
        <v>0</v>
      </c>
      <c r="I73" s="70">
        <v>1.927222</v>
      </c>
      <c r="J73">
        <v>0.35440260000000001</v>
      </c>
      <c r="K73">
        <v>0.40098760754208751</v>
      </c>
      <c r="L73">
        <v>0.46794444444444444</v>
      </c>
      <c r="M73">
        <v>0.53515463917525785</v>
      </c>
      <c r="N73">
        <v>0.60270833333333329</v>
      </c>
      <c r="O73">
        <v>0.67157894736842105</v>
      </c>
      <c r="P73">
        <v>3.1969301283809627E-3</v>
      </c>
      <c r="Q73">
        <v>4.8593337951390635E-3</v>
      </c>
      <c r="R73">
        <v>1.2787720513523851E-2</v>
      </c>
      <c r="S73">
        <v>1.8180833227509521E-3</v>
      </c>
      <c r="T73">
        <v>2.7634866505814471E-3</v>
      </c>
      <c r="U73">
        <v>7.2723332910038085E-3</v>
      </c>
      <c r="V73" s="70">
        <v>4.83</v>
      </c>
      <c r="W73">
        <v>7.7201960183767238</v>
      </c>
      <c r="X73">
        <v>37.42065512825554</v>
      </c>
      <c r="Y73">
        <v>37.670717302350262</v>
      </c>
      <c r="Z73">
        <v>37.555894037646958</v>
      </c>
      <c r="AA73">
        <v>115.80294027565085</v>
      </c>
      <c r="AB73">
        <v>146.93615861454049</v>
      </c>
      <c r="AC73">
        <v>147.93192189075626</v>
      </c>
      <c r="AD73">
        <v>147.47468844207225</v>
      </c>
      <c r="AF73">
        <v>155.43798418772377</v>
      </c>
      <c r="AG73">
        <v>318.41026841692349</v>
      </c>
      <c r="AH73">
        <v>636.82053683384697</v>
      </c>
      <c r="AI73">
        <v>1910.4616105015409</v>
      </c>
      <c r="AJ73" t="str">
        <f t="shared" si="2"/>
        <v>Yes</v>
      </c>
    </row>
    <row r="74" spans="1:36" x14ac:dyDescent="0.25">
      <c r="A74" s="53" t="s">
        <v>368</v>
      </c>
      <c r="D74" t="s">
        <v>260</v>
      </c>
      <c r="H74">
        <f>VLOOKUP($A74,raw[],11,FALSE)</f>
        <v>0.99</v>
      </c>
      <c r="I74" s="70">
        <v>5.0705520000000002</v>
      </c>
      <c r="J74">
        <v>0.35440260000000001</v>
      </c>
      <c r="K74">
        <v>0.40098760754208751</v>
      </c>
      <c r="L74">
        <v>0.46794444444444444</v>
      </c>
      <c r="M74">
        <v>0.53515463917525785</v>
      </c>
      <c r="N74">
        <v>0.60270833333333329</v>
      </c>
      <c r="O74">
        <v>0.67157894736842105</v>
      </c>
      <c r="P74">
        <v>1.8908353488220814E-2</v>
      </c>
      <c r="Q74">
        <v>2.8740697302095636E-2</v>
      </c>
      <c r="R74">
        <v>7.5633413952883255E-2</v>
      </c>
      <c r="S74">
        <v>1.0444485863016613E-2</v>
      </c>
      <c r="T74">
        <v>1.5875618511785251E-2</v>
      </c>
      <c r="U74">
        <v>4.1777943452066452E-2</v>
      </c>
      <c r="V74" s="70">
        <v>0.63</v>
      </c>
      <c r="W74">
        <v>9.2839576556921912</v>
      </c>
      <c r="X74">
        <v>53.033620508340604</v>
      </c>
      <c r="Y74">
        <v>60.595802194755066</v>
      </c>
      <c r="Z74">
        <v>57.123408208511016</v>
      </c>
      <c r="AA74">
        <v>140.66461523205083</v>
      </c>
      <c r="AB74">
        <v>244.25556723274661</v>
      </c>
      <c r="AC74">
        <v>282.96304839899801</v>
      </c>
      <c r="AD74">
        <v>265.18939121937603</v>
      </c>
      <c r="AF74">
        <v>6115.6858318993609</v>
      </c>
      <c r="AG74">
        <v>5206.1744917190499</v>
      </c>
      <c r="AH74">
        <v>10412.3489834381</v>
      </c>
      <c r="AI74">
        <v>31237.046950314299</v>
      </c>
      <c r="AJ74" t="str">
        <f t="shared" si="2"/>
        <v>No</v>
      </c>
    </row>
    <row r="75" spans="1:36" x14ac:dyDescent="0.25">
      <c r="A75" s="55" t="s">
        <v>370</v>
      </c>
      <c r="D75" t="s">
        <v>225</v>
      </c>
      <c r="H75">
        <f>VLOOKUP($A75,raw[],11,FALSE)</f>
        <v>0.99</v>
      </c>
      <c r="I75" s="70">
        <v>12.016795999999999</v>
      </c>
      <c r="J75">
        <v>0.35440260000000001</v>
      </c>
      <c r="K75">
        <v>0.40098760754208751</v>
      </c>
      <c r="L75">
        <v>0.46794444444444444</v>
      </c>
      <c r="M75">
        <v>0.53515463917525785</v>
      </c>
      <c r="N75">
        <v>0.60270833333333329</v>
      </c>
      <c r="O75">
        <v>0.67157894736842105</v>
      </c>
      <c r="P75">
        <v>1.2862909789783834E-2</v>
      </c>
      <c r="Q75">
        <v>1.9551622880471426E-2</v>
      </c>
      <c r="R75">
        <v>5.1451639159135337E-2</v>
      </c>
      <c r="S75">
        <v>6.9454764413990153E-3</v>
      </c>
      <c r="T75">
        <v>1.0557124190926503E-2</v>
      </c>
      <c r="U75">
        <v>2.7781905765596061E-2</v>
      </c>
      <c r="V75" s="70">
        <v>0.63</v>
      </c>
      <c r="W75">
        <v>7.9338672007268993</v>
      </c>
      <c r="X75">
        <v>39.1706580270655</v>
      </c>
      <c r="Y75">
        <v>40.22032716302116</v>
      </c>
      <c r="Z75">
        <v>39.738341282969316</v>
      </c>
      <c r="AA75">
        <v>118.95250020475962</v>
      </c>
      <c r="AB75">
        <v>157.48588624128527</v>
      </c>
      <c r="AC75">
        <v>162.33317815976801</v>
      </c>
      <c r="AD75">
        <v>160.10740416949915</v>
      </c>
      <c r="AF75">
        <v>0</v>
      </c>
      <c r="AG75">
        <v>3462.052872328125</v>
      </c>
      <c r="AH75">
        <v>6924.10574465625</v>
      </c>
      <c r="AI75">
        <v>20772.317233968752</v>
      </c>
      <c r="AJ75" t="str">
        <f t="shared" si="2"/>
        <v>No</v>
      </c>
    </row>
    <row r="76" spans="1:36" x14ac:dyDescent="0.25">
      <c r="A76" s="53" t="s">
        <v>372</v>
      </c>
      <c r="D76" t="s">
        <v>207</v>
      </c>
      <c r="H76">
        <f>VLOOKUP($A76,raw[],11,FALSE)</f>
        <v>0</v>
      </c>
      <c r="I76" s="70">
        <v>1.1645779999999999</v>
      </c>
      <c r="J76">
        <v>0.35440260000000001</v>
      </c>
      <c r="K76">
        <v>0.40098760754208751</v>
      </c>
      <c r="L76">
        <v>0.46794444444444444</v>
      </c>
      <c r="M76">
        <v>0.53515463917525785</v>
      </c>
      <c r="N76">
        <v>0.60270833333333329</v>
      </c>
      <c r="O76">
        <v>0.67157894736842105</v>
      </c>
      <c r="P76">
        <v>4.5053068132291652E-3</v>
      </c>
      <c r="Q76">
        <v>6.8480663561083302E-3</v>
      </c>
      <c r="R76">
        <v>1.8021227252916661E-2</v>
      </c>
      <c r="S76">
        <v>2.4622501307484043E-3</v>
      </c>
      <c r="T76">
        <v>3.7426201987375749E-3</v>
      </c>
      <c r="U76">
        <v>9.8490005229936173E-3</v>
      </c>
      <c r="V76" s="70">
        <v>4.83</v>
      </c>
      <c r="W76">
        <v>7.7320182370820678</v>
      </c>
      <c r="X76">
        <v>37.596227404559059</v>
      </c>
      <c r="Y76">
        <v>37.931515760381217</v>
      </c>
      <c r="Z76">
        <v>37.777558434480667</v>
      </c>
      <c r="AA76">
        <v>115.94720364741642</v>
      </c>
      <c r="AB76">
        <v>147.81919805353004</v>
      </c>
      <c r="AC76">
        <v>149.19946845166459</v>
      </c>
      <c r="AD76">
        <v>148.56567746004066</v>
      </c>
      <c r="AF76">
        <v>83.116944148591401</v>
      </c>
      <c r="AG76">
        <v>431.22650938512601</v>
      </c>
      <c r="AH76">
        <v>862.45301877025202</v>
      </c>
      <c r="AI76">
        <v>2587.3590563107559</v>
      </c>
      <c r="AJ76" t="str">
        <f t="shared" si="2"/>
        <v>Yes</v>
      </c>
    </row>
    <row r="77" spans="1:36" x14ac:dyDescent="0.25">
      <c r="A77" s="55" t="s">
        <v>374</v>
      </c>
      <c r="D77" t="s">
        <v>260</v>
      </c>
      <c r="H77">
        <f>VLOOKUP($A77,raw[],11,FALSE)</f>
        <v>0.98</v>
      </c>
      <c r="I77" s="70">
        <v>8.6261219999999987</v>
      </c>
      <c r="J77">
        <v>0.35440260000000001</v>
      </c>
      <c r="K77">
        <v>0.40098760754208751</v>
      </c>
      <c r="L77">
        <v>0.46794444444444444</v>
      </c>
      <c r="M77">
        <v>0.53515463917525785</v>
      </c>
      <c r="N77">
        <v>0.60270833333333329</v>
      </c>
      <c r="O77">
        <v>0.67157894736842105</v>
      </c>
      <c r="P77">
        <v>7.1897012460171101E-3</v>
      </c>
      <c r="Q77">
        <v>1.0928345893946007E-2</v>
      </c>
      <c r="R77">
        <v>2.875880498406844E-2</v>
      </c>
      <c r="S77">
        <v>4.1425974521108024E-3</v>
      </c>
      <c r="T77">
        <v>6.2967481272084196E-3</v>
      </c>
      <c r="U77">
        <v>1.657038980844321E-2</v>
      </c>
      <c r="V77" s="70">
        <v>0.63</v>
      </c>
      <c r="W77">
        <v>8.3668775778850382</v>
      </c>
      <c r="X77">
        <v>40.984689502773868</v>
      </c>
      <c r="Y77">
        <v>42.753131852252849</v>
      </c>
      <c r="Z77">
        <v>41.941100505481316</v>
      </c>
      <c r="AA77">
        <v>125.15267661254941</v>
      </c>
      <c r="AB77">
        <v>169.72471756577801</v>
      </c>
      <c r="AC77">
        <v>177.71491831048618</v>
      </c>
      <c r="AD77">
        <v>174.04598701984398</v>
      </c>
      <c r="AF77">
        <v>0</v>
      </c>
      <c r="AG77">
        <v>2064.925499206</v>
      </c>
      <c r="AH77">
        <v>4129.8509984120001</v>
      </c>
      <c r="AI77">
        <v>12389.552995236001</v>
      </c>
      <c r="AJ77" t="str">
        <f t="shared" si="2"/>
        <v>No</v>
      </c>
    </row>
    <row r="78" spans="1:36" x14ac:dyDescent="0.25">
      <c r="A78" s="53" t="s">
        <v>376</v>
      </c>
      <c r="D78" t="s">
        <v>207</v>
      </c>
      <c r="H78">
        <f>VLOOKUP($A78,raw[],11,FALSE)</f>
        <v>0</v>
      </c>
      <c r="I78" s="70">
        <v>2.3703799999999999</v>
      </c>
      <c r="J78">
        <v>0.35440260000000001</v>
      </c>
      <c r="K78">
        <v>0.40098760754208751</v>
      </c>
      <c r="L78">
        <v>0.46794444444444444</v>
      </c>
      <c r="M78">
        <v>0.53515463917525785</v>
      </c>
      <c r="N78">
        <v>0.60270833333333329</v>
      </c>
      <c r="O78">
        <v>0.67157894736842105</v>
      </c>
      <c r="P78">
        <v>5.7144733106886591E-3</v>
      </c>
      <c r="Q78">
        <v>8.6859994322467608E-3</v>
      </c>
      <c r="R78">
        <v>2.2857893242754636E-2</v>
      </c>
      <c r="S78">
        <v>3.1518354871279256E-3</v>
      </c>
      <c r="T78">
        <v>4.7907899404344466E-3</v>
      </c>
      <c r="U78">
        <v>1.2607341948511703E-2</v>
      </c>
      <c r="V78" s="70">
        <v>4.83</v>
      </c>
      <c r="W78">
        <v>7.8256360059026076</v>
      </c>
      <c r="X78">
        <v>38.327180588301353</v>
      </c>
      <c r="Y78">
        <v>38.994179751986216</v>
      </c>
      <c r="Z78">
        <v>38.687907834588358</v>
      </c>
      <c r="AA78">
        <v>117.55605017215939</v>
      </c>
      <c r="AB78">
        <v>151.87317585379068</v>
      </c>
      <c r="AC78">
        <v>154.52605162068841</v>
      </c>
      <c r="AD78">
        <v>153.30790714317905</v>
      </c>
      <c r="AF78">
        <v>280.02771009870651</v>
      </c>
      <c r="AG78">
        <v>850.99558152453994</v>
      </c>
      <c r="AH78">
        <v>1701.9911630490799</v>
      </c>
      <c r="AI78">
        <v>5105.9734891472399</v>
      </c>
      <c r="AJ78" t="str">
        <f t="shared" si="2"/>
        <v>Yes</v>
      </c>
    </row>
    <row r="79" spans="1:36" x14ac:dyDescent="0.25">
      <c r="A79" s="55" t="s">
        <v>378</v>
      </c>
      <c r="D79" t="s">
        <v>207</v>
      </c>
      <c r="H79">
        <f>VLOOKUP($A79,raw[],11,FALSE)</f>
        <v>0</v>
      </c>
      <c r="I79" s="70">
        <v>9.3372360000000008</v>
      </c>
      <c r="J79">
        <v>0.35440260000000001</v>
      </c>
      <c r="K79">
        <v>0.40098760754208751</v>
      </c>
      <c r="L79">
        <v>0.46794444444444444</v>
      </c>
      <c r="M79">
        <v>0.53515463917525785</v>
      </c>
      <c r="N79">
        <v>0.60270833333333329</v>
      </c>
      <c r="O79">
        <v>0.67157894736842105</v>
      </c>
      <c r="P79">
        <v>1.6040119536233997E-2</v>
      </c>
      <c r="Q79">
        <v>2.4380981695075674E-2</v>
      </c>
      <c r="R79">
        <v>6.4160478144935987E-2</v>
      </c>
      <c r="S79">
        <v>8.6544723026664768E-3</v>
      </c>
      <c r="T79">
        <v>1.3154797900053045E-2</v>
      </c>
      <c r="U79">
        <v>3.4617889210665907E-2</v>
      </c>
      <c r="V79" s="70">
        <v>0.63</v>
      </c>
      <c r="W79">
        <v>8.0019219132628212</v>
      </c>
      <c r="X79">
        <v>39.586728264144917</v>
      </c>
      <c r="Y79">
        <v>40.817527317083545</v>
      </c>
      <c r="Z79">
        <v>40.252370407751819</v>
      </c>
      <c r="AA79">
        <v>119.83458753935003</v>
      </c>
      <c r="AB79">
        <v>161.42169624364792</v>
      </c>
      <c r="AC79">
        <v>167.85834407959484</v>
      </c>
      <c r="AD79">
        <v>164.90277144673067</v>
      </c>
      <c r="AF79">
        <v>4676.2986934075225</v>
      </c>
      <c r="AG79">
        <v>4313.9215785599054</v>
      </c>
      <c r="AH79">
        <v>8627.8431571198107</v>
      </c>
      <c r="AI79">
        <v>25883.529471359434</v>
      </c>
      <c r="AJ79" t="str">
        <f t="shared" si="2"/>
        <v>Yes</v>
      </c>
    </row>
    <row r="80" spans="1:36" x14ac:dyDescent="0.25">
      <c r="A80" s="53" t="s">
        <v>380</v>
      </c>
      <c r="D80" t="s">
        <v>215</v>
      </c>
      <c r="H80">
        <f>VLOOKUP($A80,raw[],11,FALSE)</f>
        <v>0.52</v>
      </c>
      <c r="I80" s="70">
        <v>2.5971120000000001</v>
      </c>
      <c r="J80">
        <v>0.35440260000000001</v>
      </c>
      <c r="K80">
        <v>0.40098760754208751</v>
      </c>
      <c r="L80">
        <v>0.46794444444444444</v>
      </c>
      <c r="M80">
        <v>0.53515463917525785</v>
      </c>
      <c r="N80">
        <v>0.60270833333333329</v>
      </c>
      <c r="O80">
        <v>0.67157894736842105</v>
      </c>
      <c r="P80">
        <v>1.5741551175512666E-2</v>
      </c>
      <c r="Q80">
        <v>2.3927157786779254E-2</v>
      </c>
      <c r="R80">
        <v>6.2966204702050665E-2</v>
      </c>
      <c r="S80">
        <v>8.3549789401474155E-3</v>
      </c>
      <c r="T80">
        <v>1.2699567989024073E-2</v>
      </c>
      <c r="U80">
        <v>3.3419915760589662E-2</v>
      </c>
      <c r="V80" s="70">
        <v>0.02</v>
      </c>
      <c r="W80">
        <v>9.9832719931597911</v>
      </c>
      <c r="X80">
        <v>61.044730407821334</v>
      </c>
      <c r="Y80">
        <v>72.412446128618654</v>
      </c>
      <c r="Z80">
        <v>67.192631352527968</v>
      </c>
      <c r="AA80">
        <v>148.17237554626638</v>
      </c>
      <c r="AB80">
        <v>290.31459124783123</v>
      </c>
      <c r="AC80">
        <v>349.08665775948214</v>
      </c>
      <c r="AD80">
        <v>322.09976710055719</v>
      </c>
      <c r="AF80">
        <v>7842.7551936876489</v>
      </c>
      <c r="AG80">
        <v>4164.635656319635</v>
      </c>
      <c r="AH80">
        <v>8329.27131263927</v>
      </c>
      <c r="AI80">
        <v>24987.81393791781</v>
      </c>
      <c r="AJ80" t="str">
        <f t="shared" si="2"/>
        <v>No</v>
      </c>
    </row>
    <row r="81" spans="1:36" x14ac:dyDescent="0.25">
      <c r="A81" s="55" t="s">
        <v>382</v>
      </c>
      <c r="D81" t="s">
        <v>260</v>
      </c>
      <c r="H81">
        <f>VLOOKUP($A81,raw[],11,FALSE)</f>
        <v>0.64</v>
      </c>
      <c r="I81" s="70">
        <v>5.833196</v>
      </c>
      <c r="J81">
        <v>0.35440260000000001</v>
      </c>
      <c r="K81">
        <v>0.40098760754208751</v>
      </c>
      <c r="L81">
        <v>0.46794444444444444</v>
      </c>
      <c r="M81">
        <v>0.53515463917525785</v>
      </c>
      <c r="N81">
        <v>0.60270833333333329</v>
      </c>
      <c r="O81">
        <v>0.67157894736842105</v>
      </c>
      <c r="P81">
        <v>1.1768909262482533E-2</v>
      </c>
      <c r="Q81">
        <v>1.7888742078973448E-2</v>
      </c>
      <c r="R81">
        <v>4.7075637049930133E-2</v>
      </c>
      <c r="S81">
        <v>6.602394989385185E-3</v>
      </c>
      <c r="T81">
        <v>1.0035640383865481E-2</v>
      </c>
      <c r="U81">
        <v>2.640957995754074E-2</v>
      </c>
      <c r="V81" s="70">
        <v>0.63</v>
      </c>
      <c r="W81">
        <v>8.5692261735419617</v>
      </c>
      <c r="X81">
        <v>42.717964358558497</v>
      </c>
      <c r="Y81">
        <v>45.283200318804461</v>
      </c>
      <c r="Z81">
        <v>44.105298188040067</v>
      </c>
      <c r="AA81">
        <v>127.98342247510671</v>
      </c>
      <c r="AB81">
        <v>179.89889168044559</v>
      </c>
      <c r="AC81">
        <v>191.7110901691334</v>
      </c>
      <c r="AD81">
        <v>186.28717830119621</v>
      </c>
      <c r="AF81">
        <v>0</v>
      </c>
      <c r="AG81">
        <v>1782.646647134</v>
      </c>
      <c r="AH81">
        <v>3565.293294268</v>
      </c>
      <c r="AI81">
        <v>10695.879882804</v>
      </c>
      <c r="AJ81" t="str">
        <f t="shared" si="2"/>
        <v>No</v>
      </c>
    </row>
    <row r="82" spans="1:36" x14ac:dyDescent="0.25">
      <c r="A82" s="53" t="s">
        <v>384</v>
      </c>
      <c r="D82" t="s">
        <v>201</v>
      </c>
      <c r="H82">
        <f>VLOOKUP($A82,raw[],11,FALSE)</f>
        <v>0.95</v>
      </c>
      <c r="I82" s="70">
        <v>4.6686180000000004</v>
      </c>
      <c r="J82">
        <v>0.35440260000000001</v>
      </c>
      <c r="K82">
        <v>0.40098760754208751</v>
      </c>
      <c r="L82">
        <v>0.46794444444444444</v>
      </c>
      <c r="M82">
        <v>0.53515463917525785</v>
      </c>
      <c r="N82">
        <v>0.60270833333333329</v>
      </c>
      <c r="O82">
        <v>0.67157894736842105</v>
      </c>
      <c r="P82">
        <v>8.4106858939618258E-3</v>
      </c>
      <c r="Q82">
        <v>1.2784242558821976E-2</v>
      </c>
      <c r="R82">
        <v>3.3642743575847303E-2</v>
      </c>
      <c r="S82">
        <v>4.5610938555869784E-3</v>
      </c>
      <c r="T82">
        <v>6.9328626604922066E-3</v>
      </c>
      <c r="U82">
        <v>1.8244375422347914E-2</v>
      </c>
      <c r="V82" s="70">
        <v>4.07</v>
      </c>
      <c r="W82">
        <v>9.0015708167984823</v>
      </c>
      <c r="X82">
        <v>49.472366474957482</v>
      </c>
      <c r="Y82">
        <v>55.328012386811046</v>
      </c>
      <c r="Z82">
        <v>52.639223556674416</v>
      </c>
      <c r="AA82">
        <v>134.55323066566527</v>
      </c>
      <c r="AB82">
        <v>221.69198571092022</v>
      </c>
      <c r="AC82">
        <v>251.83667338502664</v>
      </c>
      <c r="AD82">
        <v>237.99486998260102</v>
      </c>
      <c r="AF82">
        <v>2012.6079683621003</v>
      </c>
      <c r="AG82">
        <v>2273.529860323355</v>
      </c>
      <c r="AH82">
        <v>4547.05972064671</v>
      </c>
      <c r="AI82">
        <v>13641.17916194013</v>
      </c>
      <c r="AJ82" t="str">
        <f t="shared" si="2"/>
        <v>No</v>
      </c>
    </row>
    <row r="83" spans="1:36" x14ac:dyDescent="0.25">
      <c r="A83" s="55" t="s">
        <v>386</v>
      </c>
      <c r="D83" t="s">
        <v>260</v>
      </c>
      <c r="H83">
        <f>VLOOKUP($A83,raw[],11,FALSE)</f>
        <v>0.98</v>
      </c>
      <c r="I83" s="70">
        <v>6.214518</v>
      </c>
      <c r="J83">
        <v>0.35440260000000001</v>
      </c>
      <c r="K83">
        <v>0.40098760754208751</v>
      </c>
      <c r="L83">
        <v>0.46794444444444444</v>
      </c>
      <c r="M83">
        <v>0.53515463917525785</v>
      </c>
      <c r="N83">
        <v>0.60270833333333329</v>
      </c>
      <c r="O83">
        <v>0.67157894736842105</v>
      </c>
      <c r="P83">
        <v>1.4354428088022106E-2</v>
      </c>
      <c r="Q83">
        <v>2.18187306937936E-2</v>
      </c>
      <c r="R83">
        <v>5.7417712352088424E-2</v>
      </c>
      <c r="S83">
        <v>7.5202787364821843E-3</v>
      </c>
      <c r="T83">
        <v>1.1430823679452919E-2</v>
      </c>
      <c r="U83">
        <v>3.0081114945928737E-2</v>
      </c>
      <c r="V83" s="70">
        <v>4.07</v>
      </c>
      <c r="W83">
        <v>8.003236433181927</v>
      </c>
      <c r="X83">
        <v>39.721579182318706</v>
      </c>
      <c r="Y83">
        <v>41.021879263298544</v>
      </c>
      <c r="Z83">
        <v>40.424808950954876</v>
      </c>
      <c r="AA83">
        <v>120.77940473344491</v>
      </c>
      <c r="AB83">
        <v>161.4671564166317</v>
      </c>
      <c r="AC83">
        <v>167.43572035665019</v>
      </c>
      <c r="AD83">
        <v>164.69508195476331</v>
      </c>
      <c r="AF83">
        <v>1846.7408427867117</v>
      </c>
      <c r="AG83">
        <v>2030.4752588501899</v>
      </c>
      <c r="AH83">
        <v>4060.9505177003798</v>
      </c>
      <c r="AI83">
        <v>12182.85155310114</v>
      </c>
      <c r="AJ83" t="str">
        <f t="shared" si="2"/>
        <v>No</v>
      </c>
    </row>
    <row r="84" spans="1:36" x14ac:dyDescent="0.25">
      <c r="A84" s="53" t="s">
        <v>388</v>
      </c>
      <c r="D84" t="s">
        <v>201</v>
      </c>
      <c r="H84">
        <f>VLOOKUP($A84,raw[],11,FALSE)</f>
        <v>0</v>
      </c>
      <c r="I84" s="70">
        <v>7.5646039999999992</v>
      </c>
      <c r="J84">
        <v>0.35440260000000001</v>
      </c>
      <c r="K84">
        <v>0.40098760754208751</v>
      </c>
      <c r="L84">
        <v>0.46794444444444444</v>
      </c>
      <c r="M84">
        <v>0.53515463917525785</v>
      </c>
      <c r="N84">
        <v>0.60270833333333329</v>
      </c>
      <c r="O84">
        <v>0.67157894736842105</v>
      </c>
      <c r="P84">
        <v>1.4054481871476395E-2</v>
      </c>
      <c r="Q84">
        <v>2.1362812444644119E-2</v>
      </c>
      <c r="R84">
        <v>5.6217927485905581E-2</v>
      </c>
      <c r="S84">
        <v>7.7008471399768116E-3</v>
      </c>
      <c r="T84">
        <v>1.1705287652764754E-2</v>
      </c>
      <c r="U84">
        <v>3.0803388559907247E-2</v>
      </c>
      <c r="V84" s="70">
        <v>4.07</v>
      </c>
      <c r="W84">
        <v>9.0015708167984823</v>
      </c>
      <c r="X84">
        <v>49.472366474957482</v>
      </c>
      <c r="Y84">
        <v>55.328012386811046</v>
      </c>
      <c r="Z84">
        <v>52.639223556674416</v>
      </c>
      <c r="AA84">
        <v>134.55323066566527</v>
      </c>
      <c r="AB84">
        <v>221.69198571092022</v>
      </c>
      <c r="AC84">
        <v>251.83667338502664</v>
      </c>
      <c r="AD84">
        <v>237.99486998260102</v>
      </c>
      <c r="AF84">
        <v>0</v>
      </c>
      <c r="AG84">
        <v>3838.5761128499798</v>
      </c>
      <c r="AH84">
        <v>7677.1522256999597</v>
      </c>
      <c r="AI84">
        <v>23031.456677099879</v>
      </c>
      <c r="AJ84" t="str">
        <f t="shared" si="2"/>
        <v>Yes</v>
      </c>
    </row>
    <row r="85" spans="1:36" x14ac:dyDescent="0.25">
      <c r="A85" s="55" t="s">
        <v>390</v>
      </c>
      <c r="D85" t="s">
        <v>196</v>
      </c>
      <c r="H85">
        <f>VLOOKUP($A85,raw[],11,FALSE)</f>
        <v>0.41</v>
      </c>
      <c r="I85" s="70">
        <v>3.4525099999999997</v>
      </c>
      <c r="J85">
        <v>0.35440260000000001</v>
      </c>
      <c r="K85">
        <v>0.40098760754208751</v>
      </c>
      <c r="L85">
        <v>0.46794444444444444</v>
      </c>
      <c r="M85">
        <v>0.53515463917525785</v>
      </c>
      <c r="N85">
        <v>0.60270833333333329</v>
      </c>
      <c r="O85">
        <v>0.67157894736842105</v>
      </c>
      <c r="P85">
        <v>1.0472769045383669E-2</v>
      </c>
      <c r="Q85">
        <v>1.5918608948983178E-2</v>
      </c>
      <c r="R85">
        <v>4.1891076181534675E-2</v>
      </c>
      <c r="S85">
        <v>5.5726841844102228E-3</v>
      </c>
      <c r="T85">
        <v>8.4704799603035376E-3</v>
      </c>
      <c r="U85">
        <v>2.2290736737640891E-2</v>
      </c>
      <c r="V85" s="70">
        <v>0.48</v>
      </c>
      <c r="W85">
        <v>8.4337965435978006</v>
      </c>
      <c r="X85">
        <v>42.392043882635825</v>
      </c>
      <c r="Y85">
        <v>44.858136015423618</v>
      </c>
      <c r="Z85">
        <v>43.725758634594477</v>
      </c>
      <c r="AA85">
        <v>126.84061665357422</v>
      </c>
      <c r="AB85">
        <v>178.49829417251374</v>
      </c>
      <c r="AC85">
        <v>190.17632109854591</v>
      </c>
      <c r="AD85">
        <v>184.81401797615464</v>
      </c>
      <c r="AF85">
        <v>1202.6894345970256</v>
      </c>
      <c r="AG85">
        <v>1504.6247297907601</v>
      </c>
      <c r="AH85">
        <v>3009.2494595815201</v>
      </c>
      <c r="AI85">
        <v>9027.7483787445599</v>
      </c>
      <c r="AJ85" t="str">
        <f t="shared" si="2"/>
        <v>No</v>
      </c>
    </row>
    <row r="86" spans="1:36" x14ac:dyDescent="0.25">
      <c r="A86" s="53" t="s">
        <v>392</v>
      </c>
      <c r="D86" t="s">
        <v>207</v>
      </c>
      <c r="H86">
        <f>VLOOKUP($A86,raw[],11,FALSE)</f>
        <v>0</v>
      </c>
      <c r="I86" s="70">
        <v>1.2058019999999998</v>
      </c>
      <c r="J86">
        <v>0.35440260000000001</v>
      </c>
      <c r="K86">
        <v>0.40098760754208751</v>
      </c>
      <c r="L86">
        <v>0.46794444444444444</v>
      </c>
      <c r="M86">
        <v>0.53515463917525785</v>
      </c>
      <c r="N86">
        <v>0.60270833333333329</v>
      </c>
      <c r="O86">
        <v>0.67157894736842105</v>
      </c>
      <c r="P86">
        <v>2.2679609755821106E-3</v>
      </c>
      <c r="Q86">
        <v>3.4473006828848077E-3</v>
      </c>
      <c r="R86">
        <v>9.0718439023284424E-3</v>
      </c>
      <c r="S86">
        <v>1.2805662334941618E-3</v>
      </c>
      <c r="T86">
        <v>1.9464606749111258E-3</v>
      </c>
      <c r="U86">
        <v>5.1222649339766474E-3</v>
      </c>
      <c r="V86" s="70">
        <v>4.83</v>
      </c>
      <c r="W86">
        <v>7.6931491228070179</v>
      </c>
      <c r="X86">
        <v>37.378351761893747</v>
      </c>
      <c r="Y86">
        <v>37.620473476172343</v>
      </c>
      <c r="Z86">
        <v>37.509296302776669</v>
      </c>
      <c r="AA86">
        <v>115.35710526315791</v>
      </c>
      <c r="AB86">
        <v>146.59040963065775</v>
      </c>
      <c r="AC86">
        <v>147.63826418664354</v>
      </c>
      <c r="AD86">
        <v>147.15711152335854</v>
      </c>
      <c r="AF86">
        <v>226.03449209711613</v>
      </c>
      <c r="AG86">
        <v>224.27214035249099</v>
      </c>
      <c r="AH86">
        <v>448.54428070498199</v>
      </c>
      <c r="AI86">
        <v>1345.632842114946</v>
      </c>
      <c r="AJ86" t="str">
        <f t="shared" si="2"/>
        <v>Yes</v>
      </c>
    </row>
    <row r="87" spans="1:36" x14ac:dyDescent="0.25">
      <c r="A87" s="55" t="s">
        <v>394</v>
      </c>
      <c r="D87" t="s">
        <v>225</v>
      </c>
      <c r="H87">
        <f>VLOOKUP($A87,raw[],11,FALSE)</f>
        <v>0.21</v>
      </c>
      <c r="I87" s="70">
        <v>1.9066099999999999</v>
      </c>
      <c r="J87">
        <v>0.35440260000000001</v>
      </c>
      <c r="K87">
        <v>0.40098760754208751</v>
      </c>
      <c r="L87">
        <v>0.46794444444444444</v>
      </c>
      <c r="M87">
        <v>0.53515463917525785</v>
      </c>
      <c r="N87">
        <v>0.60270833333333329</v>
      </c>
      <c r="O87">
        <v>0.67157894736842105</v>
      </c>
      <c r="P87">
        <v>5.1678062776169724E-3</v>
      </c>
      <c r="Q87">
        <v>7.8550655419777973E-3</v>
      </c>
      <c r="R87">
        <v>2.067122511046789E-2</v>
      </c>
      <c r="S87">
        <v>2.7177857058359811E-3</v>
      </c>
      <c r="T87">
        <v>4.1310342728706918E-3</v>
      </c>
      <c r="U87">
        <v>1.0871142823343925E-2</v>
      </c>
      <c r="V87" s="70">
        <v>0.63</v>
      </c>
      <c r="W87">
        <v>7.772677083333333</v>
      </c>
      <c r="X87">
        <v>37.660776551295399</v>
      </c>
      <c r="Y87">
        <v>38.008498973526628</v>
      </c>
      <c r="Z87">
        <v>37.848832187153704</v>
      </c>
      <c r="AA87">
        <v>116.30078125000001</v>
      </c>
      <c r="AB87">
        <v>148.73183431789266</v>
      </c>
      <c r="AC87">
        <v>150.40307520974147</v>
      </c>
      <c r="AD87">
        <v>149.63567671773666</v>
      </c>
      <c r="AF87">
        <v>0</v>
      </c>
      <c r="AG87">
        <v>733.80214057571504</v>
      </c>
      <c r="AH87">
        <v>1467.6042811514301</v>
      </c>
      <c r="AI87">
        <v>4402.8128434542905</v>
      </c>
      <c r="AJ87" t="str">
        <f t="shared" si="2"/>
        <v>No</v>
      </c>
    </row>
    <row r="88" spans="1:36" x14ac:dyDescent="0.25">
      <c r="A88" s="53" t="s">
        <v>396</v>
      </c>
      <c r="D88" t="s">
        <v>207</v>
      </c>
      <c r="H88">
        <f>VLOOKUP($A88,raw[],11,FALSE)</f>
        <v>0.81</v>
      </c>
      <c r="I88" s="70">
        <v>5.2766719999999996</v>
      </c>
      <c r="J88">
        <v>0.35440260000000001</v>
      </c>
      <c r="K88">
        <v>0.40098760754208751</v>
      </c>
      <c r="L88">
        <v>0.46794444444444444</v>
      </c>
      <c r="M88">
        <v>0.53515463917525785</v>
      </c>
      <c r="N88">
        <v>0.60270833333333329</v>
      </c>
      <c r="O88">
        <v>0.67157894736842105</v>
      </c>
      <c r="P88">
        <v>7.3785905566501565E-3</v>
      </c>
      <c r="Q88">
        <v>1.1215457646108238E-2</v>
      </c>
      <c r="R88">
        <v>2.9514362226600626E-2</v>
      </c>
      <c r="S88">
        <v>4.1921770719840854E-3</v>
      </c>
      <c r="T88">
        <v>6.3721091494158095E-3</v>
      </c>
      <c r="U88">
        <v>1.6768708287936342E-2</v>
      </c>
      <c r="V88" s="70">
        <v>4.83</v>
      </c>
      <c r="W88">
        <v>8.8440752037864812</v>
      </c>
      <c r="X88">
        <v>45.783201558432168</v>
      </c>
      <c r="Y88">
        <v>49.800737033701687</v>
      </c>
      <c r="Z88">
        <v>47.955969663339481</v>
      </c>
      <c r="AA88">
        <v>131.08356297659742</v>
      </c>
      <c r="AB88">
        <v>203.32203099273482</v>
      </c>
      <c r="AC88">
        <v>225.7116400503148</v>
      </c>
      <c r="AD88">
        <v>215.43080482711898</v>
      </c>
      <c r="AF88">
        <v>4048.4496693297369</v>
      </c>
      <c r="AG88">
        <v>2089.6390328043749</v>
      </c>
      <c r="AH88">
        <v>4179.2780656087498</v>
      </c>
      <c r="AI88">
        <v>12537.83419682625</v>
      </c>
      <c r="AJ88" t="str">
        <f t="shared" si="2"/>
        <v>No</v>
      </c>
    </row>
    <row r="89" spans="1:36" x14ac:dyDescent="0.25">
      <c r="A89" s="55" t="s">
        <v>398</v>
      </c>
      <c r="D89" t="s">
        <v>260</v>
      </c>
      <c r="H89">
        <f>VLOOKUP($A89,raw[],11,FALSE)</f>
        <v>0.99</v>
      </c>
      <c r="I89" s="70">
        <v>2.1067122412429584</v>
      </c>
      <c r="J89">
        <v>0.35440260000000001</v>
      </c>
      <c r="K89">
        <v>0.40098760754208751</v>
      </c>
      <c r="L89">
        <v>0.46794444444444444</v>
      </c>
      <c r="M89">
        <v>0.53515463917525785</v>
      </c>
      <c r="N89">
        <v>0.60270833333333329</v>
      </c>
      <c r="O89">
        <v>0.67157894736842105</v>
      </c>
      <c r="P89">
        <v>1.2733514626985709E-2</v>
      </c>
      <c r="Q89">
        <v>1.9354942233018278E-2</v>
      </c>
      <c r="R89">
        <v>5.0934058507942838E-2</v>
      </c>
      <c r="S89">
        <v>7.3474084641600703E-3</v>
      </c>
      <c r="T89">
        <v>1.1168060865523306E-2</v>
      </c>
      <c r="U89">
        <v>2.9389633856640281E-2</v>
      </c>
      <c r="V89" s="70">
        <v>0.63</v>
      </c>
      <c r="W89">
        <v>8.2615219650448761</v>
      </c>
      <c r="X89">
        <v>40.686191795900932</v>
      </c>
      <c r="Y89">
        <v>42.354110435973659</v>
      </c>
      <c r="Z89">
        <v>41.588237451760953</v>
      </c>
      <c r="AA89">
        <v>123.47333490788851</v>
      </c>
      <c r="AB89">
        <v>167.56109679974116</v>
      </c>
      <c r="AC89">
        <v>175.29924721911203</v>
      </c>
      <c r="AD89">
        <v>171.74605211019957</v>
      </c>
      <c r="AF89">
        <v>0</v>
      </c>
      <c r="AG89">
        <v>5290.1340941952503</v>
      </c>
      <c r="AH89">
        <v>10580.268188390501</v>
      </c>
      <c r="AI89">
        <v>31740.8045651715</v>
      </c>
      <c r="AJ89" t="str">
        <f t="shared" si="2"/>
        <v>No</v>
      </c>
    </row>
    <row r="90" spans="1:36" x14ac:dyDescent="0.25">
      <c r="A90" s="53" t="s">
        <v>400</v>
      </c>
      <c r="D90" t="s">
        <v>225</v>
      </c>
      <c r="H90">
        <f>VLOOKUP($A90,raw[],11,FALSE)</f>
        <v>0</v>
      </c>
      <c r="I90" s="70">
        <v>2.0611999999999999</v>
      </c>
      <c r="J90">
        <v>0.35440260000000001</v>
      </c>
      <c r="K90">
        <v>0.40098760754208751</v>
      </c>
      <c r="L90">
        <v>0.46794444444444444</v>
      </c>
      <c r="M90">
        <v>0.53515463917525785</v>
      </c>
      <c r="N90">
        <v>0.60270833333333329</v>
      </c>
      <c r="O90">
        <v>0.67157894736842105</v>
      </c>
      <c r="P90">
        <v>3.8992962438381246E-3</v>
      </c>
      <c r="Q90">
        <v>5.9269302906339487E-3</v>
      </c>
      <c r="R90">
        <v>1.5597184975352498E-2</v>
      </c>
      <c r="S90">
        <v>2.1391534340807036E-3</v>
      </c>
      <c r="T90">
        <v>3.2515132198026693E-3</v>
      </c>
      <c r="U90">
        <v>8.5566137363228146E-3</v>
      </c>
      <c r="V90" s="70">
        <v>1.8098474610082642</v>
      </c>
      <c r="W90">
        <v>7.7072658227848105</v>
      </c>
      <c r="X90">
        <v>37.480383576805835</v>
      </c>
      <c r="Y90">
        <v>37.768262035673594</v>
      </c>
      <c r="Z90">
        <v>37.636074332336946</v>
      </c>
      <c r="AA90">
        <v>115.5190506329114</v>
      </c>
      <c r="AB90">
        <v>147.10456879452562</v>
      </c>
      <c r="AC90">
        <v>148.3357383200717</v>
      </c>
      <c r="AD90">
        <v>147.77041129754943</v>
      </c>
      <c r="AF90">
        <v>265.60421394007909</v>
      </c>
      <c r="AG90">
        <v>577.57142720179002</v>
      </c>
      <c r="AH90">
        <v>1155.14285440358</v>
      </c>
      <c r="AI90">
        <v>3465.4285632107403</v>
      </c>
      <c r="AJ90" t="str">
        <f t="shared" si="2"/>
        <v>Yes</v>
      </c>
    </row>
    <row r="91" spans="1:36" x14ac:dyDescent="0.25">
      <c r="A91" s="55" t="s">
        <v>402</v>
      </c>
      <c r="D91" t="s">
        <v>215</v>
      </c>
      <c r="H91">
        <f>VLOOKUP($A91,raw[],11,FALSE)</f>
        <v>0</v>
      </c>
      <c r="I91" s="70">
        <v>4.2872959999999996</v>
      </c>
      <c r="J91">
        <v>0.35440260000000001</v>
      </c>
      <c r="K91">
        <v>0.40098760754208751</v>
      </c>
      <c r="L91">
        <v>0.46794444444444444</v>
      </c>
      <c r="M91">
        <v>0.53515463917525785</v>
      </c>
      <c r="N91">
        <v>0.60270833333333329</v>
      </c>
      <c r="O91">
        <v>0.67157894736842105</v>
      </c>
      <c r="P91">
        <v>6.6897859363787473E-3</v>
      </c>
      <c r="Q91">
        <v>1.0168474623295695E-2</v>
      </c>
      <c r="R91">
        <v>2.6759143745514989E-2</v>
      </c>
      <c r="S91">
        <v>3.5282613917763149E-3</v>
      </c>
      <c r="T91">
        <v>5.3629573154999983E-3</v>
      </c>
      <c r="U91">
        <v>1.411304556710526E-2</v>
      </c>
      <c r="V91" s="70">
        <v>0.02</v>
      </c>
      <c r="W91">
        <v>9.1783258346342613</v>
      </c>
      <c r="X91">
        <v>50.331084970063586</v>
      </c>
      <c r="Y91">
        <v>56.541669036430285</v>
      </c>
      <c r="Z91">
        <v>53.689900108178044</v>
      </c>
      <c r="AA91">
        <v>137.36934746543545</v>
      </c>
      <c r="AB91">
        <v>226.03829669347306</v>
      </c>
      <c r="AC91">
        <v>256.97939695767519</v>
      </c>
      <c r="AD91">
        <v>242.77189772789524</v>
      </c>
      <c r="AF91">
        <v>2450.8447760792251</v>
      </c>
      <c r="AG91">
        <v>952.63057577960501</v>
      </c>
      <c r="AH91">
        <v>1905.26115155921</v>
      </c>
      <c r="AI91">
        <v>5715.7834546776303</v>
      </c>
      <c r="AJ91" t="str">
        <f t="shared" si="2"/>
        <v>Yes</v>
      </c>
    </row>
    <row r="92" spans="1:36" x14ac:dyDescent="0.25">
      <c r="A92" s="53" t="s">
        <v>404</v>
      </c>
      <c r="D92" t="s">
        <v>207</v>
      </c>
      <c r="H92">
        <f>VLOOKUP($A92,raw[],11,FALSE)</f>
        <v>0</v>
      </c>
      <c r="I92" s="70">
        <v>1.1954959999999999</v>
      </c>
      <c r="J92">
        <v>0.35440260000000001</v>
      </c>
      <c r="K92">
        <v>0.40098760754208751</v>
      </c>
      <c r="L92">
        <v>0.46794444444444444</v>
      </c>
      <c r="M92">
        <v>0.53515463917525785</v>
      </c>
      <c r="N92">
        <v>0.60270833333333329</v>
      </c>
      <c r="O92">
        <v>0.67157894736842105</v>
      </c>
      <c r="P92">
        <v>2.8875528923909604E-3</v>
      </c>
      <c r="Q92">
        <v>4.3890803964342596E-3</v>
      </c>
      <c r="R92">
        <v>1.1550211569563842E-2</v>
      </c>
      <c r="S92">
        <v>1.6206625010555256E-3</v>
      </c>
      <c r="T92">
        <v>2.4634070016043988E-3</v>
      </c>
      <c r="U92">
        <v>6.4826500042221022E-3</v>
      </c>
      <c r="V92" s="70">
        <v>4.83</v>
      </c>
      <c r="W92">
        <v>7.66370786516854</v>
      </c>
      <c r="X92">
        <v>37.159242351987146</v>
      </c>
      <c r="Y92">
        <v>37.302648422129757</v>
      </c>
      <c r="Z92">
        <v>37.236799385938426</v>
      </c>
      <c r="AA92">
        <v>114.85534831460676</v>
      </c>
      <c r="AB92">
        <v>145.24920071735454</v>
      </c>
      <c r="AC92">
        <v>145.86014986549631</v>
      </c>
      <c r="AD92">
        <v>145.57961493048944</v>
      </c>
      <c r="AF92">
        <v>107.56723006532707</v>
      </c>
      <c r="AG92">
        <v>283.83494613080552</v>
      </c>
      <c r="AH92">
        <v>567.66989226161104</v>
      </c>
      <c r="AI92">
        <v>1703.0096767848331</v>
      </c>
      <c r="AJ92" t="str">
        <f t="shared" si="2"/>
        <v>Yes</v>
      </c>
    </row>
    <row r="93" spans="1:36" x14ac:dyDescent="0.25">
      <c r="A93" s="55" t="s">
        <v>406</v>
      </c>
      <c r="D93" t="s">
        <v>207</v>
      </c>
      <c r="H93">
        <f>VLOOKUP($A93,raw[],11,FALSE)</f>
        <v>0</v>
      </c>
      <c r="I93" s="70">
        <v>0.63897199999999998</v>
      </c>
      <c r="J93">
        <v>0.35440260000000001</v>
      </c>
      <c r="K93">
        <v>0.40098760754208751</v>
      </c>
      <c r="L93">
        <v>0.46794444444444444</v>
      </c>
      <c r="M93">
        <v>0.53515463917525785</v>
      </c>
      <c r="N93">
        <v>0.60270833333333329</v>
      </c>
      <c r="O93">
        <v>0.67157894736842105</v>
      </c>
      <c r="P93">
        <v>7.1518097555252746E-3</v>
      </c>
      <c r="Q93">
        <v>1.0870750828398418E-2</v>
      </c>
      <c r="R93">
        <v>2.8607239022101098E-2</v>
      </c>
      <c r="S93">
        <v>3.8835045794263336E-3</v>
      </c>
      <c r="T93">
        <v>5.9029269607280268E-3</v>
      </c>
      <c r="U93">
        <v>1.5534018317705334E-2</v>
      </c>
      <c r="V93" s="70">
        <v>4.83</v>
      </c>
      <c r="W93">
        <v>7.9052531120331953</v>
      </c>
      <c r="X93">
        <v>38.634579640118517</v>
      </c>
      <c r="Y93">
        <v>39.420131345292873</v>
      </c>
      <c r="Z93">
        <v>39.059422606724524</v>
      </c>
      <c r="AA93">
        <v>118.89659751037345</v>
      </c>
      <c r="AB93">
        <v>155.29237845433528</v>
      </c>
      <c r="AC93">
        <v>159.02712163388944</v>
      </c>
      <c r="AD93">
        <v>157.3122065082521</v>
      </c>
      <c r="AF93">
        <v>239.07377099585986</v>
      </c>
      <c r="AG93">
        <v>1048.54623644511</v>
      </c>
      <c r="AH93">
        <v>2097.0924728902201</v>
      </c>
      <c r="AI93">
        <v>6291.2774186706602</v>
      </c>
      <c r="AJ93" t="str">
        <f t="shared" si="2"/>
        <v>Yes</v>
      </c>
    </row>
    <row r="94" spans="1:36" x14ac:dyDescent="0.25">
      <c r="A94" s="53" t="s">
        <v>408</v>
      </c>
      <c r="D94" t="s">
        <v>201</v>
      </c>
      <c r="H94">
        <f>VLOOKUP($A94,raw[],11,FALSE)</f>
        <v>0.97</v>
      </c>
      <c r="I94" s="70">
        <v>5.7816660000000004</v>
      </c>
      <c r="J94">
        <v>0.35440260000000001</v>
      </c>
      <c r="K94">
        <v>0.40098760754208751</v>
      </c>
      <c r="L94">
        <v>0.46794444444444444</v>
      </c>
      <c r="M94">
        <v>0.53515463917525785</v>
      </c>
      <c r="N94">
        <v>0.60270833333333329</v>
      </c>
      <c r="O94">
        <v>0.67157894736842105</v>
      </c>
      <c r="P94">
        <v>1.1028990102997172E-2</v>
      </c>
      <c r="Q94">
        <v>1.6764064956555701E-2</v>
      </c>
      <c r="R94">
        <v>4.4115960411988689E-2</v>
      </c>
      <c r="S94">
        <v>5.9355257315492852E-3</v>
      </c>
      <c r="T94">
        <v>9.0219991119549117E-3</v>
      </c>
      <c r="U94">
        <v>2.3742102926197141E-2</v>
      </c>
      <c r="V94" s="70">
        <v>4.07</v>
      </c>
      <c r="W94">
        <v>8.7946935074356212</v>
      </c>
      <c r="X94">
        <v>47.197294450388974</v>
      </c>
      <c r="Y94">
        <v>51.976517298756477</v>
      </c>
      <c r="Z94">
        <v>49.781999186687685</v>
      </c>
      <c r="AA94">
        <v>132.2218113891912</v>
      </c>
      <c r="AB94">
        <v>208.82226995459442</v>
      </c>
      <c r="AC94">
        <v>233.48214263649228</v>
      </c>
      <c r="AD94">
        <v>222.15885034426938</v>
      </c>
      <c r="AF94">
        <v>5074.7690358566651</v>
      </c>
      <c r="AG94">
        <v>2958.6312877261048</v>
      </c>
      <c r="AH94">
        <v>5917.2625754522096</v>
      </c>
      <c r="AI94">
        <v>17751.78772635663</v>
      </c>
      <c r="AJ94" t="str">
        <f t="shared" si="2"/>
        <v>No</v>
      </c>
    </row>
    <row r="95" spans="1:36" x14ac:dyDescent="0.25">
      <c r="A95" s="55" t="s">
        <v>410</v>
      </c>
      <c r="D95" t="s">
        <v>196</v>
      </c>
      <c r="H95">
        <f>VLOOKUP($A95,raw[],11,FALSE)</f>
        <v>0</v>
      </c>
      <c r="I95" s="70">
        <v>0.92754000000000003</v>
      </c>
      <c r="J95">
        <v>0.35440260000000001</v>
      </c>
      <c r="K95">
        <v>0.40098760754208751</v>
      </c>
      <c r="L95">
        <v>0.46794444444444444</v>
      </c>
      <c r="M95">
        <v>0.53515463917525785</v>
      </c>
      <c r="N95">
        <v>0.60270833333333329</v>
      </c>
      <c r="O95">
        <v>0.67157894736842105</v>
      </c>
      <c r="P95">
        <v>4.3437359533785597E-3</v>
      </c>
      <c r="Q95">
        <v>6.6024786491354097E-3</v>
      </c>
      <c r="R95">
        <v>1.7374943813514239E-2</v>
      </c>
      <c r="S95">
        <v>2.2015921424474445E-3</v>
      </c>
      <c r="T95">
        <v>3.3464200565201155E-3</v>
      </c>
      <c r="U95">
        <v>8.806368569789778E-3</v>
      </c>
      <c r="V95" s="70">
        <v>1.8098474610082642</v>
      </c>
      <c r="W95">
        <v>7.7750127388535031</v>
      </c>
      <c r="X95">
        <v>37.97795744727874</v>
      </c>
      <c r="Y95">
        <v>38.489545812968615</v>
      </c>
      <c r="Z95">
        <v>38.25463524904427</v>
      </c>
      <c r="AA95">
        <v>116.44490445859874</v>
      </c>
      <c r="AB95">
        <v>150.23580828511695</v>
      </c>
      <c r="AC95">
        <v>152.61480396848594</v>
      </c>
      <c r="AD95">
        <v>151.52241943624551</v>
      </c>
      <c r="AF95">
        <v>151.6892622421704</v>
      </c>
      <c r="AG95">
        <v>594.42987846080996</v>
      </c>
      <c r="AH95">
        <v>1188.8597569216199</v>
      </c>
      <c r="AI95">
        <v>3566.5792707648598</v>
      </c>
      <c r="AJ95" t="str">
        <f t="shared" si="2"/>
        <v>Yes</v>
      </c>
    </row>
    <row r="96" spans="1:36" x14ac:dyDescent="0.25">
      <c r="A96" s="53" t="s">
        <v>412</v>
      </c>
      <c r="D96" t="s">
        <v>196</v>
      </c>
      <c r="H96">
        <f>VLOOKUP($A96,raw[],11,FALSE)</f>
        <v>0.99</v>
      </c>
      <c r="I96" s="70">
        <v>2.4617993340291191</v>
      </c>
      <c r="J96">
        <v>0.35440260000000001</v>
      </c>
      <c r="K96">
        <v>0.40098760754208751</v>
      </c>
      <c r="L96">
        <v>0.46794444444444444</v>
      </c>
      <c r="M96">
        <v>0.53515463917525785</v>
      </c>
      <c r="N96">
        <v>0.60270833333333329</v>
      </c>
      <c r="O96">
        <v>0.67157894736842105</v>
      </c>
      <c r="P96">
        <v>9.0827781157134524E-3</v>
      </c>
      <c r="Q96">
        <v>1.3805822735884448E-2</v>
      </c>
      <c r="R96">
        <v>3.633111246285381E-2</v>
      </c>
      <c r="S96">
        <v>4.8418776332020746E-3</v>
      </c>
      <c r="T96">
        <v>7.3596540024671517E-3</v>
      </c>
      <c r="U96">
        <v>1.9367510532808298E-2</v>
      </c>
      <c r="V96" s="70">
        <v>0.48</v>
      </c>
      <c r="W96">
        <v>8.362981587165784</v>
      </c>
      <c r="X96">
        <v>43.296947842982554</v>
      </c>
      <c r="Y96">
        <v>46.258018491038726</v>
      </c>
      <c r="Z96">
        <v>44.905306491715322</v>
      </c>
      <c r="AA96">
        <v>125.10133154140887</v>
      </c>
      <c r="AB96">
        <v>183.32559742757255</v>
      </c>
      <c r="AC96">
        <v>198.42130408894653</v>
      </c>
      <c r="AD96">
        <v>191.48967467263284</v>
      </c>
      <c r="AF96">
        <v>0</v>
      </c>
      <c r="AG96">
        <v>1619.8655540632849</v>
      </c>
      <c r="AH96">
        <v>3239.7311081265698</v>
      </c>
      <c r="AI96">
        <v>9719.1933243797102</v>
      </c>
      <c r="AJ96" t="str">
        <f t="shared" si="2"/>
        <v>No</v>
      </c>
    </row>
    <row r="97" spans="1:36" x14ac:dyDescent="0.25">
      <c r="A97" s="55" t="s">
        <v>414</v>
      </c>
      <c r="D97" t="s">
        <v>260</v>
      </c>
      <c r="H97">
        <f>VLOOKUP($A97,raw[],11,FALSE)</f>
        <v>0.24</v>
      </c>
      <c r="I97" s="70">
        <v>1.401616</v>
      </c>
      <c r="J97">
        <v>0.35440260000000001</v>
      </c>
      <c r="K97">
        <v>0.40098760754208751</v>
      </c>
      <c r="L97">
        <v>0.46794444444444444</v>
      </c>
      <c r="M97">
        <v>0.53515463917525785</v>
      </c>
      <c r="N97">
        <v>0.60270833333333329</v>
      </c>
      <c r="O97">
        <v>0.67157894736842105</v>
      </c>
      <c r="P97">
        <v>9.1907250991231995E-3</v>
      </c>
      <c r="Q97">
        <v>1.3969902150667263E-2</v>
      </c>
      <c r="R97">
        <v>3.6762900396492798E-2</v>
      </c>
      <c r="S97">
        <v>5.1059583884017776E-3</v>
      </c>
      <c r="T97">
        <v>7.761056750370701E-3</v>
      </c>
      <c r="U97">
        <v>2.042383355360711E-2</v>
      </c>
      <c r="V97" s="70">
        <v>0.63</v>
      </c>
      <c r="W97">
        <v>8.1060000000000016</v>
      </c>
      <c r="X97">
        <v>39.865643765903307</v>
      </c>
      <c r="Y97">
        <v>41.187439582592198</v>
      </c>
      <c r="Z97">
        <v>40.580498882772901</v>
      </c>
      <c r="AA97">
        <v>121.50333333333334</v>
      </c>
      <c r="AB97">
        <v>162.52113300948417</v>
      </c>
      <c r="AC97">
        <v>168.66147539428439</v>
      </c>
      <c r="AD97">
        <v>165.84195996148748</v>
      </c>
      <c r="AF97">
        <v>0</v>
      </c>
      <c r="AG97">
        <v>1378.60876486848</v>
      </c>
      <c r="AH97">
        <v>2757.2175297369599</v>
      </c>
      <c r="AI97">
        <v>8271.6525892108803</v>
      </c>
      <c r="AJ97" t="str">
        <f t="shared" si="2"/>
        <v>No</v>
      </c>
    </row>
    <row r="98" spans="1:36" x14ac:dyDescent="0.25">
      <c r="A98" s="53" t="s">
        <v>416</v>
      </c>
      <c r="D98" t="s">
        <v>215</v>
      </c>
      <c r="H98">
        <f>VLOOKUP($A98,raw[],11,FALSE)</f>
        <v>0</v>
      </c>
      <c r="I98" s="70">
        <v>4.0605639999999994</v>
      </c>
      <c r="J98">
        <v>0.35440260000000001</v>
      </c>
      <c r="K98">
        <v>0.40098760754208751</v>
      </c>
      <c r="L98">
        <v>0.46794444444444444</v>
      </c>
      <c r="M98">
        <v>0.53515463917525785</v>
      </c>
      <c r="N98">
        <v>0.60270833333333329</v>
      </c>
      <c r="O98">
        <v>0.67157894736842105</v>
      </c>
      <c r="P98">
        <v>9.3562448078797055E-3</v>
      </c>
      <c r="Q98">
        <v>1.4221492107977152E-2</v>
      </c>
      <c r="R98">
        <v>3.7424979231518822E-2</v>
      </c>
      <c r="S98">
        <v>5.0165081702063918E-3</v>
      </c>
      <c r="T98">
        <v>7.6250924187137147E-3</v>
      </c>
      <c r="U98">
        <v>2.0066032680825567E-2</v>
      </c>
      <c r="V98" s="70">
        <v>0.02</v>
      </c>
      <c r="W98">
        <v>8.421916730917502</v>
      </c>
      <c r="X98">
        <v>42.213563882915636</v>
      </c>
      <c r="Y98">
        <v>44.592946441216867</v>
      </c>
      <c r="Z98">
        <v>43.500384264185044</v>
      </c>
      <c r="AA98">
        <v>124.70785350809561</v>
      </c>
      <c r="AB98">
        <v>177.69299148207816</v>
      </c>
      <c r="AC98">
        <v>190.06191517869414</v>
      </c>
      <c r="AD98">
        <v>184.38236686294809</v>
      </c>
      <c r="AF98">
        <v>4614.7306047480015</v>
      </c>
      <c r="AG98">
        <v>2500.5363802259549</v>
      </c>
      <c r="AH98">
        <v>5001.0727604519097</v>
      </c>
      <c r="AI98">
        <v>15003.21828135573</v>
      </c>
      <c r="AJ98" t="str">
        <f t="shared" ref="AJ98:AJ129" si="3">IF($H98=0, "Yes", "No")</f>
        <v>Yes</v>
      </c>
    </row>
    <row r="99" spans="1:36" x14ac:dyDescent="0.25">
      <c r="A99" s="55" t="s">
        <v>418</v>
      </c>
      <c r="D99" t="s">
        <v>215</v>
      </c>
      <c r="H99">
        <f>VLOOKUP($A99,raw[],11,FALSE)</f>
        <v>0.75</v>
      </c>
      <c r="I99" s="70">
        <v>2.7517019999999999</v>
      </c>
      <c r="J99">
        <v>0.35440260000000001</v>
      </c>
      <c r="K99">
        <v>0.40098760754208751</v>
      </c>
      <c r="L99">
        <v>0.46794444444444444</v>
      </c>
      <c r="M99">
        <v>0.53515463917525785</v>
      </c>
      <c r="N99">
        <v>0.60270833333333329</v>
      </c>
      <c r="O99">
        <v>0.67157894736842105</v>
      </c>
      <c r="P99">
        <v>1.1224246520160823E-2</v>
      </c>
      <c r="Q99">
        <v>1.706085471064445E-2</v>
      </c>
      <c r="R99">
        <v>4.489698608064329E-2</v>
      </c>
      <c r="S99">
        <v>6.1457846463929561E-3</v>
      </c>
      <c r="T99">
        <v>9.3415926625172938E-3</v>
      </c>
      <c r="U99">
        <v>2.4583138585571825E-2</v>
      </c>
      <c r="V99" s="70">
        <v>0.02</v>
      </c>
      <c r="W99">
        <v>9.0286194877211514</v>
      </c>
      <c r="X99">
        <v>48.063445000766905</v>
      </c>
      <c r="Y99">
        <v>53.171718640893317</v>
      </c>
      <c r="Z99">
        <v>50.826107360496508</v>
      </c>
      <c r="AA99">
        <v>134.25468180617901</v>
      </c>
      <c r="AB99">
        <v>211.40077083568872</v>
      </c>
      <c r="AC99">
        <v>236.3446251037432</v>
      </c>
      <c r="AD99">
        <v>224.89093446976321</v>
      </c>
      <c r="AF99">
        <v>4727.6612353011915</v>
      </c>
      <c r="AG99">
        <v>3063.4372698943348</v>
      </c>
      <c r="AH99">
        <v>6126.8745397886696</v>
      </c>
      <c r="AI99">
        <v>18380.623619366008</v>
      </c>
      <c r="AJ99" t="str">
        <f t="shared" si="3"/>
        <v>No</v>
      </c>
    </row>
    <row r="100" spans="1:36" x14ac:dyDescent="0.25">
      <c r="A100" s="53" t="s">
        <v>420</v>
      </c>
      <c r="D100" t="s">
        <v>260</v>
      </c>
      <c r="H100">
        <f>VLOOKUP($A100,raw[],11,FALSE)</f>
        <v>0.53</v>
      </c>
      <c r="I100" s="70">
        <v>0.98937599999999992</v>
      </c>
      <c r="J100">
        <v>0.35440260000000001</v>
      </c>
      <c r="K100">
        <v>0.40098760754208751</v>
      </c>
      <c r="L100">
        <v>0.46794444444444444</v>
      </c>
      <c r="M100">
        <v>0.53515463917525785</v>
      </c>
      <c r="N100">
        <v>0.60270833333333329</v>
      </c>
      <c r="O100">
        <v>0.67157894736842105</v>
      </c>
      <c r="P100">
        <v>1.093898247891704E-2</v>
      </c>
      <c r="Q100">
        <v>1.6627253367953898E-2</v>
      </c>
      <c r="R100">
        <v>4.3755929915668158E-2</v>
      </c>
      <c r="S100">
        <v>6.1089436772158705E-3</v>
      </c>
      <c r="T100">
        <v>9.2855943893681223E-3</v>
      </c>
      <c r="U100">
        <v>2.4435774708863482E-2</v>
      </c>
      <c r="V100" s="70">
        <v>0.63</v>
      </c>
      <c r="W100">
        <v>8.0776214196762144</v>
      </c>
      <c r="X100">
        <v>39.958459642751897</v>
      </c>
      <c r="Y100">
        <v>41.343332938513662</v>
      </c>
      <c r="Z100">
        <v>40.707428393592153</v>
      </c>
      <c r="AA100">
        <v>120.14764383561645</v>
      </c>
      <c r="AB100">
        <v>160.39399616911948</v>
      </c>
      <c r="AC100">
        <v>166.13282717504134</v>
      </c>
      <c r="AD100">
        <v>163.49767728055602</v>
      </c>
      <c r="AF100">
        <v>794.8582351433522</v>
      </c>
      <c r="AG100">
        <v>1649.4147928482851</v>
      </c>
      <c r="AH100">
        <v>3298.8295856965701</v>
      </c>
      <c r="AI100">
        <v>9896.4887570897099</v>
      </c>
      <c r="AJ100" t="str">
        <f t="shared" si="3"/>
        <v>No</v>
      </c>
    </row>
    <row r="101" spans="1:36" x14ac:dyDescent="0.25">
      <c r="A101" s="55" t="s">
        <v>422</v>
      </c>
      <c r="D101" t="s">
        <v>201</v>
      </c>
      <c r="H101">
        <f>VLOOKUP($A101,raw[],11,FALSE)</f>
        <v>0.97</v>
      </c>
      <c r="I101" s="70">
        <v>3.8956679999999997</v>
      </c>
      <c r="J101">
        <v>0.35440260000000001</v>
      </c>
      <c r="K101">
        <v>0.40098760754208751</v>
      </c>
      <c r="L101">
        <v>0.46794444444444444</v>
      </c>
      <c r="M101">
        <v>0.53515463917525785</v>
      </c>
      <c r="N101">
        <v>0.60270833333333329</v>
      </c>
      <c r="O101">
        <v>0.67157894736842105</v>
      </c>
      <c r="P101">
        <v>2.3321739607741698E-2</v>
      </c>
      <c r="Q101">
        <v>3.5449044203767377E-2</v>
      </c>
      <c r="R101">
        <v>9.3286958430966793E-2</v>
      </c>
      <c r="S101">
        <v>1.2935891363820109E-2</v>
      </c>
      <c r="T101">
        <v>1.9662554873006565E-2</v>
      </c>
      <c r="U101">
        <v>5.1743565455280437E-2</v>
      </c>
      <c r="V101" s="70">
        <v>4.07</v>
      </c>
      <c r="W101">
        <v>9.4641522633744906</v>
      </c>
      <c r="X101">
        <v>55.104826864631633</v>
      </c>
      <c r="Y101">
        <v>63.651214073166443</v>
      </c>
      <c r="Z101">
        <v>59.726893714619202</v>
      </c>
      <c r="AA101">
        <v>141.88215226337451</v>
      </c>
      <c r="AB101">
        <v>253.94048812810053</v>
      </c>
      <c r="AC101">
        <v>297.05494665079743</v>
      </c>
      <c r="AD101">
        <v>277.25769862072991</v>
      </c>
      <c r="AF101">
        <v>7656.2871119568881</v>
      </c>
      <c r="AG101">
        <v>6448.0443105811</v>
      </c>
      <c r="AH101">
        <v>12896.0886211622</v>
      </c>
      <c r="AI101">
        <v>38688.265863486602</v>
      </c>
      <c r="AJ101" t="str">
        <f t="shared" si="3"/>
        <v>No</v>
      </c>
    </row>
    <row r="102" spans="1:36" x14ac:dyDescent="0.25">
      <c r="A102" s="53" t="s">
        <v>424</v>
      </c>
      <c r="D102" t="s">
        <v>201</v>
      </c>
      <c r="H102">
        <f>VLOOKUP($A102,raw[],11,FALSE)</f>
        <v>0</v>
      </c>
      <c r="I102" s="70">
        <v>3.6277119999999998</v>
      </c>
      <c r="J102">
        <v>0.35440260000000001</v>
      </c>
      <c r="K102">
        <v>0.40098760754208751</v>
      </c>
      <c r="L102">
        <v>0.46794444444444444</v>
      </c>
      <c r="M102">
        <v>0.53515463917525785</v>
      </c>
      <c r="N102">
        <v>0.60270833333333329</v>
      </c>
      <c r="O102">
        <v>0.67157894736842105</v>
      </c>
      <c r="P102">
        <v>1.8382012580155954E-2</v>
      </c>
      <c r="Q102">
        <v>2.794065912183705E-2</v>
      </c>
      <c r="R102">
        <v>7.3528050320623817E-2</v>
      </c>
      <c r="S102">
        <v>1.015797710770726E-2</v>
      </c>
      <c r="T102">
        <v>1.5440125203715035E-2</v>
      </c>
      <c r="U102">
        <v>4.063190843082904E-2</v>
      </c>
      <c r="V102" s="70">
        <v>4.07</v>
      </c>
      <c r="W102">
        <v>10.375782857936981</v>
      </c>
      <c r="X102">
        <v>62.09419787684547</v>
      </c>
      <c r="Y102">
        <v>73.803836548766185</v>
      </c>
      <c r="Z102">
        <v>68.42701798085011</v>
      </c>
      <c r="AA102">
        <v>154.58008442483413</v>
      </c>
      <c r="AB102">
        <v>310.59046790390164</v>
      </c>
      <c r="AC102">
        <v>376.58043103536556</v>
      </c>
      <c r="AD102">
        <v>346.27923481552068</v>
      </c>
      <c r="AF102">
        <v>6400.662525337606</v>
      </c>
      <c r="AG102">
        <v>5063.3608967648497</v>
      </c>
      <c r="AH102">
        <v>10126.721793529699</v>
      </c>
      <c r="AI102">
        <v>30380.165380589096</v>
      </c>
      <c r="AJ102" t="str">
        <f t="shared" si="3"/>
        <v>Yes</v>
      </c>
    </row>
    <row r="103" spans="1:36" x14ac:dyDescent="0.25">
      <c r="A103" s="55" t="s">
        <v>426</v>
      </c>
      <c r="D103" t="s">
        <v>207</v>
      </c>
      <c r="H103">
        <f>VLOOKUP($A103,raw[],11,FALSE)</f>
        <v>0</v>
      </c>
      <c r="I103" s="70">
        <v>2.8341499999999997</v>
      </c>
      <c r="J103">
        <v>0.35440260000000001</v>
      </c>
      <c r="K103">
        <v>0.40098760754208751</v>
      </c>
      <c r="L103">
        <v>0.46794444444444444</v>
      </c>
      <c r="M103">
        <v>0.53515463917525785</v>
      </c>
      <c r="N103">
        <v>0.60270833333333329</v>
      </c>
      <c r="O103">
        <v>0.67157894736842105</v>
      </c>
      <c r="P103">
        <v>4.026344190180625E-3</v>
      </c>
      <c r="Q103">
        <v>6.1200431690745499E-3</v>
      </c>
      <c r="R103">
        <v>1.61053767607225E-2</v>
      </c>
      <c r="S103">
        <v>2.2778282611770582E-3</v>
      </c>
      <c r="T103">
        <v>3.4622989569891281E-3</v>
      </c>
      <c r="U103">
        <v>9.111313044708233E-3</v>
      </c>
      <c r="V103" s="70">
        <v>4.83</v>
      </c>
      <c r="W103">
        <v>7.7340952380952395</v>
      </c>
      <c r="X103">
        <v>37.556642212749082</v>
      </c>
      <c r="Y103">
        <v>37.870246853348242</v>
      </c>
      <c r="Z103">
        <v>37.726246231142738</v>
      </c>
      <c r="AA103">
        <v>115.96962962962964</v>
      </c>
      <c r="AB103">
        <v>147.95808870236351</v>
      </c>
      <c r="AC103">
        <v>149.3989748889002</v>
      </c>
      <c r="AD103">
        <v>148.73735040849652</v>
      </c>
      <c r="AF103">
        <v>270.42044709089174</v>
      </c>
      <c r="AG103">
        <v>398.92776033587398</v>
      </c>
      <c r="AH103">
        <v>797.85552067174797</v>
      </c>
      <c r="AI103">
        <v>2393.566562015244</v>
      </c>
      <c r="AJ103" t="str">
        <f t="shared" si="3"/>
        <v>Yes</v>
      </c>
    </row>
    <row r="104" spans="1:36" x14ac:dyDescent="0.25">
      <c r="A104" s="53" t="s">
        <v>428</v>
      </c>
      <c r="D104" t="s">
        <v>215</v>
      </c>
      <c r="H104">
        <f>VLOOKUP($A104,raw[],11,FALSE)</f>
        <v>0.86</v>
      </c>
      <c r="I104" s="70">
        <v>13.65545</v>
      </c>
      <c r="J104">
        <v>0.35440260000000001</v>
      </c>
      <c r="K104">
        <v>0.40098760754208751</v>
      </c>
      <c r="L104">
        <v>0.46794444444444444</v>
      </c>
      <c r="M104">
        <v>0.53515463917525785</v>
      </c>
      <c r="N104">
        <v>0.60270833333333329</v>
      </c>
      <c r="O104">
        <v>0.67157894736842105</v>
      </c>
      <c r="P104">
        <v>1.5519608043119486E-2</v>
      </c>
      <c r="Q104">
        <v>2.3589804225541619E-2</v>
      </c>
      <c r="R104">
        <v>6.2078432172477944E-2</v>
      </c>
      <c r="S104">
        <v>8.8317356194501703E-3</v>
      </c>
      <c r="T104">
        <v>1.3424238141564258E-2</v>
      </c>
      <c r="U104">
        <v>3.5326942477800681E-2</v>
      </c>
      <c r="V104" s="70">
        <v>0.02</v>
      </c>
      <c r="W104">
        <v>9.7698722845895904</v>
      </c>
      <c r="X104">
        <v>53.365413412568572</v>
      </c>
      <c r="Y104">
        <v>60.847380128023715</v>
      </c>
      <c r="Z104">
        <v>57.411819160915698</v>
      </c>
      <c r="AA104">
        <v>143.9626621956553</v>
      </c>
      <c r="AB104">
        <v>252.64089661030837</v>
      </c>
      <c r="AC104">
        <v>293.99613046666661</v>
      </c>
      <c r="AD104">
        <v>275.00668121810952</v>
      </c>
      <c r="AF104">
        <v>0</v>
      </c>
      <c r="AG104">
        <v>4402.2805241567003</v>
      </c>
      <c r="AH104">
        <v>8804.5610483134005</v>
      </c>
      <c r="AI104">
        <v>26413.683144940202</v>
      </c>
      <c r="AJ104" t="str">
        <f t="shared" si="3"/>
        <v>No</v>
      </c>
    </row>
    <row r="105" spans="1:36" x14ac:dyDescent="0.25">
      <c r="A105" s="55" t="s">
        <v>430</v>
      </c>
      <c r="D105" t="s">
        <v>215</v>
      </c>
      <c r="H105">
        <f>VLOOKUP($A105,raw[],11,FALSE)</f>
        <v>0.96</v>
      </c>
      <c r="I105" s="70">
        <v>14.964312</v>
      </c>
      <c r="J105">
        <v>0.35440260000000001</v>
      </c>
      <c r="K105">
        <v>0.40098760754208751</v>
      </c>
      <c r="L105">
        <v>0.46794444444444444</v>
      </c>
      <c r="M105">
        <v>0.53515463917525785</v>
      </c>
      <c r="N105">
        <v>0.60270833333333329</v>
      </c>
      <c r="O105">
        <v>0.67157894736842105</v>
      </c>
      <c r="P105">
        <v>1.2597787238812986E-2</v>
      </c>
      <c r="Q105">
        <v>1.914863660299574E-2</v>
      </c>
      <c r="R105">
        <v>5.0391148955251944E-2</v>
      </c>
      <c r="S105">
        <v>7.3004793099984847E-3</v>
      </c>
      <c r="T105">
        <v>1.1096728551197695E-2</v>
      </c>
      <c r="U105">
        <v>2.9201917239993939E-2</v>
      </c>
      <c r="V105" s="70">
        <v>0.02</v>
      </c>
      <c r="W105">
        <v>9.493206629661481</v>
      </c>
      <c r="X105">
        <v>52.24173833039157</v>
      </c>
      <c r="Y105">
        <v>59.282866242915063</v>
      </c>
      <c r="Z105">
        <v>56.04972913596805</v>
      </c>
      <c r="AA105">
        <v>140.38683996560081</v>
      </c>
      <c r="AB105">
        <v>237.23008881114427</v>
      </c>
      <c r="AC105">
        <v>272.42562632510692</v>
      </c>
      <c r="AD105">
        <v>256.26457943758408</v>
      </c>
      <c r="AF105">
        <v>0</v>
      </c>
      <c r="AG105">
        <v>3639.0081483684748</v>
      </c>
      <c r="AH105">
        <v>7278.0162967369497</v>
      </c>
      <c r="AI105">
        <v>21834.048890210848</v>
      </c>
      <c r="AJ105" t="str">
        <f t="shared" si="3"/>
        <v>No</v>
      </c>
    </row>
    <row r="106" spans="1:36" x14ac:dyDescent="0.25">
      <c r="A106" s="53" t="s">
        <v>432</v>
      </c>
      <c r="D106" t="s">
        <v>260</v>
      </c>
      <c r="H106">
        <f>VLOOKUP($A106,raw[],11,FALSE)</f>
        <v>0.79</v>
      </c>
      <c r="I106" s="70">
        <v>2.0096699999999998</v>
      </c>
      <c r="J106">
        <v>0.35440260000000001</v>
      </c>
      <c r="K106">
        <v>0.40098760754208751</v>
      </c>
      <c r="L106">
        <v>0.46794444444444444</v>
      </c>
      <c r="M106">
        <v>0.53515463917525785</v>
      </c>
      <c r="N106">
        <v>0.60270833333333329</v>
      </c>
      <c r="O106">
        <v>0.67157894736842105</v>
      </c>
      <c r="P106">
        <v>1.3526717165296666E-2</v>
      </c>
      <c r="Q106">
        <v>2.056061009125093E-2</v>
      </c>
      <c r="R106">
        <v>5.4106868661186663E-2</v>
      </c>
      <c r="S106">
        <v>7.5330434421067025E-3</v>
      </c>
      <c r="T106">
        <v>1.1450226032002188E-2</v>
      </c>
      <c r="U106">
        <v>3.013217376842681E-2</v>
      </c>
      <c r="V106" s="70">
        <v>0.63</v>
      </c>
      <c r="W106">
        <v>8.4321617312072892</v>
      </c>
      <c r="X106">
        <v>42.356480051343731</v>
      </c>
      <c r="Y106">
        <v>44.804913315651397</v>
      </c>
      <c r="Z106">
        <v>43.680644513967401</v>
      </c>
      <c r="AA106">
        <v>126.27587699316631</v>
      </c>
      <c r="AB106">
        <v>177.56665797764464</v>
      </c>
      <c r="AC106">
        <v>189.05372808094464</v>
      </c>
      <c r="AD106">
        <v>183.77910829523898</v>
      </c>
      <c r="AF106">
        <v>0</v>
      </c>
      <c r="AG106">
        <v>2033.92172936881</v>
      </c>
      <c r="AH106">
        <v>4067.84345873762</v>
      </c>
      <c r="AI106">
        <v>12203.530376212861</v>
      </c>
      <c r="AJ106" t="str">
        <f t="shared" si="3"/>
        <v>No</v>
      </c>
    </row>
    <row r="107" spans="1:36" x14ac:dyDescent="0.25">
      <c r="A107" s="55" t="s">
        <v>434</v>
      </c>
      <c r="D107" t="s">
        <v>207</v>
      </c>
      <c r="H107">
        <f>VLOOKUP($A107,raw[],11,FALSE)</f>
        <v>0.95</v>
      </c>
      <c r="I107" s="70">
        <v>8.3787780000000005</v>
      </c>
      <c r="J107">
        <v>0.35440260000000001</v>
      </c>
      <c r="K107">
        <v>0.40098760754208751</v>
      </c>
      <c r="L107">
        <v>0.46794444444444444</v>
      </c>
      <c r="M107">
        <v>0.53515463917525785</v>
      </c>
      <c r="N107">
        <v>0.60270833333333329</v>
      </c>
      <c r="O107">
        <v>0.67157894736842105</v>
      </c>
      <c r="P107">
        <v>7.0331736833373704E-3</v>
      </c>
      <c r="Q107">
        <v>1.0690423998672803E-2</v>
      </c>
      <c r="R107">
        <v>2.8132694733349482E-2</v>
      </c>
      <c r="S107">
        <v>3.9960008253642218E-3</v>
      </c>
      <c r="T107">
        <v>6.0739212545536173E-3</v>
      </c>
      <c r="U107">
        <v>1.5984003301456887E-2</v>
      </c>
      <c r="V107" s="70">
        <v>4.83</v>
      </c>
      <c r="W107">
        <v>7.8102435424354244</v>
      </c>
      <c r="X107">
        <v>38.034328253664214</v>
      </c>
      <c r="Y107">
        <v>38.556919251945985</v>
      </c>
      <c r="Z107">
        <v>38.31695651170147</v>
      </c>
      <c r="AA107">
        <v>117.37595325953261</v>
      </c>
      <c r="AB107">
        <v>151.18423909185657</v>
      </c>
      <c r="AC107">
        <v>153.57228150172645</v>
      </c>
      <c r="AD107">
        <v>152.47574290390025</v>
      </c>
      <c r="AF107">
        <v>0</v>
      </c>
      <c r="AG107">
        <v>1078.92022284834</v>
      </c>
      <c r="AH107">
        <v>2157.84044569668</v>
      </c>
      <c r="AI107">
        <v>6473.5213370900401</v>
      </c>
      <c r="AJ107" t="str">
        <f t="shared" si="3"/>
        <v>No</v>
      </c>
    </row>
    <row r="108" spans="1:36" x14ac:dyDescent="0.25">
      <c r="A108" s="53" t="s">
        <v>436</v>
      </c>
      <c r="D108" t="s">
        <v>207</v>
      </c>
      <c r="H108">
        <f>VLOOKUP($A108,raw[],11,FALSE)</f>
        <v>0.86</v>
      </c>
      <c r="I108" s="70">
        <v>1.9375279999999999</v>
      </c>
      <c r="J108">
        <v>0.35440260000000001</v>
      </c>
      <c r="K108">
        <v>0.40098760754208751</v>
      </c>
      <c r="L108">
        <v>0.46794444444444444</v>
      </c>
      <c r="M108">
        <v>0.53515463917525785</v>
      </c>
      <c r="N108">
        <v>0.60270833333333329</v>
      </c>
      <c r="O108">
        <v>0.67157894736842105</v>
      </c>
      <c r="P108">
        <v>4.9544435914067016E-3</v>
      </c>
      <c r="Q108">
        <v>7.5307542589381857E-3</v>
      </c>
      <c r="R108">
        <v>1.9817774365626806E-2</v>
      </c>
      <c r="S108">
        <v>2.7256128920502038E-3</v>
      </c>
      <c r="T108">
        <v>4.1429315959163101E-3</v>
      </c>
      <c r="U108">
        <v>1.0902451568200815E-2</v>
      </c>
      <c r="V108" s="70">
        <v>4.83</v>
      </c>
      <c r="W108">
        <v>7.8539460453709395</v>
      </c>
      <c r="X108">
        <v>38.314113860912208</v>
      </c>
      <c r="Y108">
        <v>38.959577863613234</v>
      </c>
      <c r="Z108">
        <v>38.66319443694384</v>
      </c>
      <c r="AA108">
        <v>117.93050275904353</v>
      </c>
      <c r="AB108">
        <v>153.08472595458142</v>
      </c>
      <c r="AC108">
        <v>156.17328171994887</v>
      </c>
      <c r="AD108">
        <v>154.75508219624419</v>
      </c>
      <c r="AF108">
        <v>359.98140152221464</v>
      </c>
      <c r="AG108">
        <v>735.91548085355498</v>
      </c>
      <c r="AH108">
        <v>1471.83096170711</v>
      </c>
      <c r="AI108">
        <v>4415.4928851213299</v>
      </c>
      <c r="AJ108" t="str">
        <f t="shared" si="3"/>
        <v>No</v>
      </c>
    </row>
    <row r="109" spans="1:36" x14ac:dyDescent="0.25">
      <c r="A109" s="55" t="s">
        <v>438</v>
      </c>
      <c r="D109" t="s">
        <v>201</v>
      </c>
      <c r="H109">
        <f>VLOOKUP($A109,raw[],11,FALSE)</f>
        <v>0.99</v>
      </c>
      <c r="I109" s="70">
        <v>5.4415680000000002</v>
      </c>
      <c r="J109">
        <v>0.35440260000000001</v>
      </c>
      <c r="K109">
        <v>0.40098760754208751</v>
      </c>
      <c r="L109">
        <v>0.46794444444444444</v>
      </c>
      <c r="M109">
        <v>0.53515463917525785</v>
      </c>
      <c r="N109">
        <v>0.60270833333333329</v>
      </c>
      <c r="O109">
        <v>0.67157894736842105</v>
      </c>
      <c r="P109">
        <v>1.4113779439785867E-2</v>
      </c>
      <c r="Q109">
        <v>2.145294474847452E-2</v>
      </c>
      <c r="R109">
        <v>5.6455117759143469E-2</v>
      </c>
      <c r="S109">
        <v>7.7443393082855267E-3</v>
      </c>
      <c r="T109">
        <v>1.1771395748594E-2</v>
      </c>
      <c r="U109">
        <v>3.0977357233142107E-2</v>
      </c>
      <c r="V109" s="70">
        <v>4.07</v>
      </c>
      <c r="W109">
        <v>8.9107976582510116</v>
      </c>
      <c r="X109">
        <v>48.891043500049392</v>
      </c>
      <c r="Y109">
        <v>54.491375377766218</v>
      </c>
      <c r="Z109">
        <v>51.919821355454019</v>
      </c>
      <c r="AA109">
        <v>132.77779363336992</v>
      </c>
      <c r="AB109">
        <v>215.81079983525706</v>
      </c>
      <c r="AC109">
        <v>243.81858873702376</v>
      </c>
      <c r="AD109">
        <v>230.95800408257074</v>
      </c>
      <c r="AF109">
        <v>0</v>
      </c>
      <c r="AG109">
        <v>3860.2552859761699</v>
      </c>
      <c r="AH109">
        <v>7720.5105719523399</v>
      </c>
      <c r="AI109">
        <v>23161.531715857018</v>
      </c>
      <c r="AJ109" t="str">
        <f t="shared" si="3"/>
        <v>No</v>
      </c>
    </row>
    <row r="110" spans="1:36" x14ac:dyDescent="0.25">
      <c r="A110" s="53" t="s">
        <v>440</v>
      </c>
      <c r="D110" t="s">
        <v>207</v>
      </c>
      <c r="H110">
        <f>VLOOKUP($A110,raw[],11,FALSE)</f>
        <v>0</v>
      </c>
      <c r="I110" s="70">
        <v>2.2776259999999997</v>
      </c>
      <c r="J110">
        <v>0.35440260000000001</v>
      </c>
      <c r="K110">
        <v>0.40098760754208751</v>
      </c>
      <c r="L110">
        <v>0.46794444444444444</v>
      </c>
      <c r="M110">
        <v>0.53515463917525785</v>
      </c>
      <c r="N110">
        <v>0.60270833333333329</v>
      </c>
      <c r="O110">
        <v>0.67157894736842105</v>
      </c>
      <c r="P110">
        <v>2.5706862045953962E-3</v>
      </c>
      <c r="Q110">
        <v>3.9074430309850019E-3</v>
      </c>
      <c r="R110">
        <v>1.0282744818381585E-2</v>
      </c>
      <c r="S110">
        <v>1.4542387328341756E-3</v>
      </c>
      <c r="T110">
        <v>2.2104428739079468E-3</v>
      </c>
      <c r="U110">
        <v>5.8169549313367023E-3</v>
      </c>
      <c r="V110" s="70">
        <v>4.83</v>
      </c>
      <c r="W110">
        <v>7.6816009070294786</v>
      </c>
      <c r="X110">
        <v>37.36093462904477</v>
      </c>
      <c r="Y110">
        <v>37.600001777113079</v>
      </c>
      <c r="Z110">
        <v>37.49022719595586</v>
      </c>
      <c r="AA110">
        <v>115.35622448979593</v>
      </c>
      <c r="AB110">
        <v>146.4957404910611</v>
      </c>
      <c r="AC110">
        <v>147.49478148043281</v>
      </c>
      <c r="AD110">
        <v>147.03604297514963</v>
      </c>
      <c r="AF110">
        <v>117.17562540657211</v>
      </c>
      <c r="AG110">
        <v>254.688296993661</v>
      </c>
      <c r="AH110">
        <v>509.376593987322</v>
      </c>
      <c r="AI110">
        <v>1528.129781961966</v>
      </c>
      <c r="AJ110" t="str">
        <f t="shared" si="3"/>
        <v>Yes</v>
      </c>
    </row>
    <row r="111" spans="1:36" x14ac:dyDescent="0.25">
      <c r="A111" s="55" t="s">
        <v>442</v>
      </c>
      <c r="D111" t="s">
        <v>260</v>
      </c>
      <c r="H111">
        <f>VLOOKUP($A111,raw[],11,FALSE)</f>
        <v>0.7</v>
      </c>
      <c r="I111" s="70">
        <v>4.7819839999999996</v>
      </c>
      <c r="J111">
        <v>0.35440260000000001</v>
      </c>
      <c r="K111">
        <v>0.40098760754208751</v>
      </c>
      <c r="L111">
        <v>0.46794444444444444</v>
      </c>
      <c r="M111">
        <v>0.53515463917525785</v>
      </c>
      <c r="N111">
        <v>0.60270833333333329</v>
      </c>
      <c r="O111">
        <v>0.67157894736842105</v>
      </c>
      <c r="P111">
        <v>7.4222009686033706E-3</v>
      </c>
      <c r="Q111">
        <v>1.1281745472277123E-2</v>
      </c>
      <c r="R111">
        <v>2.9688803874413482E-2</v>
      </c>
      <c r="S111">
        <v>4.1677799330753704E-3</v>
      </c>
      <c r="T111">
        <v>6.3350254982745624E-3</v>
      </c>
      <c r="U111">
        <v>1.6671119732301481E-2</v>
      </c>
      <c r="V111" s="70">
        <v>0.63</v>
      </c>
      <c r="W111">
        <v>8.307201831362077</v>
      </c>
      <c r="X111">
        <v>40.512073288903139</v>
      </c>
      <c r="Y111">
        <v>42.065594557870774</v>
      </c>
      <c r="Z111">
        <v>41.35225042841715</v>
      </c>
      <c r="AA111">
        <v>123.27777184280811</v>
      </c>
      <c r="AB111">
        <v>166.87826187672783</v>
      </c>
      <c r="AC111">
        <v>174.36280432475519</v>
      </c>
      <c r="AD111">
        <v>170.92606063569406</v>
      </c>
      <c r="AF111">
        <v>0</v>
      </c>
      <c r="AG111">
        <v>1125.3005819303501</v>
      </c>
      <c r="AH111">
        <v>2250.6011638607001</v>
      </c>
      <c r="AI111">
        <v>6751.8034915821008</v>
      </c>
      <c r="AJ111" t="str">
        <f t="shared" si="3"/>
        <v>No</v>
      </c>
    </row>
    <row r="112" spans="1:36" x14ac:dyDescent="0.25">
      <c r="A112" s="53" t="s">
        <v>444</v>
      </c>
      <c r="D112" t="s">
        <v>196</v>
      </c>
      <c r="H112">
        <f>VLOOKUP($A112,raw[],11,FALSE)</f>
        <v>0</v>
      </c>
      <c r="I112" s="70">
        <v>0.49468799999999996</v>
      </c>
      <c r="J112">
        <v>0.35440260000000001</v>
      </c>
      <c r="K112">
        <v>0.40098760754208751</v>
      </c>
      <c r="L112">
        <v>0.46794444444444444</v>
      </c>
      <c r="M112">
        <v>0.53515463917525785</v>
      </c>
      <c r="N112">
        <v>0.60270833333333329</v>
      </c>
      <c r="O112">
        <v>0.67157894736842105</v>
      </c>
      <c r="P112">
        <v>1.6077524501839984E-3</v>
      </c>
      <c r="Q112">
        <v>2.4437837242796776E-3</v>
      </c>
      <c r="R112">
        <v>6.4310098007359937E-3</v>
      </c>
      <c r="S112">
        <v>8.9608608443082706E-4</v>
      </c>
      <c r="T112">
        <v>1.3620508483348571E-3</v>
      </c>
      <c r="U112">
        <v>3.5843443377233082E-3</v>
      </c>
      <c r="V112" s="70">
        <v>4.83</v>
      </c>
      <c r="W112">
        <v>8.362981587165784</v>
      </c>
      <c r="X112">
        <v>43.296947842982554</v>
      </c>
      <c r="Y112">
        <v>46.258018491038726</v>
      </c>
      <c r="Z112">
        <v>44.905306491715322</v>
      </c>
      <c r="AA112">
        <v>125.10133154140887</v>
      </c>
      <c r="AB112">
        <v>183.32559742757255</v>
      </c>
      <c r="AC112">
        <v>198.42130408894653</v>
      </c>
      <c r="AD112">
        <v>191.48967467263284</v>
      </c>
      <c r="AF112">
        <v>0</v>
      </c>
      <c r="AG112">
        <v>156.936157489507</v>
      </c>
      <c r="AH112">
        <v>313.87231497901399</v>
      </c>
      <c r="AI112">
        <v>941.61694493704204</v>
      </c>
      <c r="AJ112" t="str">
        <f t="shared" si="3"/>
        <v>Yes</v>
      </c>
    </row>
    <row r="113" spans="1:36" x14ac:dyDescent="0.25">
      <c r="A113" s="55" t="s">
        <v>446</v>
      </c>
      <c r="D113" t="s">
        <v>207</v>
      </c>
      <c r="H113">
        <f>VLOOKUP($A113,raw[],11,FALSE)</f>
        <v>0</v>
      </c>
      <c r="I113" s="70">
        <v>1.80355</v>
      </c>
      <c r="J113">
        <v>0.35440260000000001</v>
      </c>
      <c r="K113">
        <v>0.40098760754208751</v>
      </c>
      <c r="L113">
        <v>0.46794444444444444</v>
      </c>
      <c r="M113">
        <v>0.53515463917525785</v>
      </c>
      <c r="N113">
        <v>0.60270833333333329</v>
      </c>
      <c r="O113">
        <v>0.67157894736842105</v>
      </c>
      <c r="P113">
        <v>1.0493352054494334E-2</v>
      </c>
      <c r="Q113">
        <v>1.5949895122831386E-2</v>
      </c>
      <c r="R113">
        <v>4.1973408217977334E-2</v>
      </c>
      <c r="S113">
        <v>5.6733240355518119E-3</v>
      </c>
      <c r="T113">
        <v>8.6234525340387527E-3</v>
      </c>
      <c r="U113">
        <v>2.2693296142207248E-2</v>
      </c>
      <c r="V113" s="70">
        <v>4.83</v>
      </c>
      <c r="W113">
        <v>9.5115402390438213</v>
      </c>
      <c r="X113">
        <v>51.937698629714333</v>
      </c>
      <c r="Y113">
        <v>58.811042501668908</v>
      </c>
      <c r="Z113">
        <v>55.654948279648337</v>
      </c>
      <c r="AA113">
        <v>142.84893466135463</v>
      </c>
      <c r="AB113">
        <v>236.31099622749818</v>
      </c>
      <c r="AC113">
        <v>269.74674393890837</v>
      </c>
      <c r="AD113">
        <v>254.39375533149988</v>
      </c>
      <c r="AF113">
        <v>2797.2428301983355</v>
      </c>
      <c r="AG113">
        <v>2827.9338269519799</v>
      </c>
      <c r="AH113">
        <v>5655.8676539039598</v>
      </c>
      <c r="AI113">
        <v>16967.60296171188</v>
      </c>
      <c r="AJ113" t="str">
        <f t="shared" si="3"/>
        <v>Yes</v>
      </c>
    </row>
    <row r="114" spans="1:36" x14ac:dyDescent="0.25">
      <c r="A114" s="53" t="s">
        <v>448</v>
      </c>
      <c r="D114" t="s">
        <v>207</v>
      </c>
      <c r="H114">
        <f>VLOOKUP($A114,raw[],11,FALSE)</f>
        <v>0</v>
      </c>
      <c r="I114" s="70">
        <v>0.69050200000000006</v>
      </c>
      <c r="J114">
        <v>0.35440260000000001</v>
      </c>
      <c r="K114">
        <v>0.40098760754208751</v>
      </c>
      <c r="L114">
        <v>0.46794444444444444</v>
      </c>
      <c r="M114">
        <v>0.53515463917525785</v>
      </c>
      <c r="N114">
        <v>0.60270833333333329</v>
      </c>
      <c r="O114">
        <v>0.67157894736842105</v>
      </c>
      <c r="P114">
        <v>7.4306936143840553E-3</v>
      </c>
      <c r="Q114">
        <v>1.1294654293863763E-2</v>
      </c>
      <c r="R114">
        <v>2.9722774457536221E-2</v>
      </c>
      <c r="S114">
        <v>3.9264676090663541E-3</v>
      </c>
      <c r="T114">
        <v>5.9682307657808586E-3</v>
      </c>
      <c r="U114">
        <v>1.5705870436265416E-2</v>
      </c>
      <c r="V114" s="70">
        <v>4.83</v>
      </c>
      <c r="W114">
        <v>8.0019219132628212</v>
      </c>
      <c r="X114">
        <v>39.586728264144917</v>
      </c>
      <c r="Y114">
        <v>40.817527317083545</v>
      </c>
      <c r="Z114">
        <v>40.252370407751819</v>
      </c>
      <c r="AA114">
        <v>119.83458753935003</v>
      </c>
      <c r="AB114">
        <v>161.42169624364792</v>
      </c>
      <c r="AC114">
        <v>167.85834407959484</v>
      </c>
      <c r="AD114">
        <v>164.90277144673067</v>
      </c>
      <c r="AF114">
        <v>0</v>
      </c>
      <c r="AG114">
        <v>559.82571858282495</v>
      </c>
      <c r="AH114">
        <v>1119.6514371656499</v>
      </c>
      <c r="AI114">
        <v>3358.9543114969497</v>
      </c>
      <c r="AJ114" t="str">
        <f t="shared" si="3"/>
        <v>Yes</v>
      </c>
    </row>
    <row r="115" spans="1:36" x14ac:dyDescent="0.25">
      <c r="A115" s="55" t="s">
        <v>450</v>
      </c>
      <c r="D115" t="s">
        <v>225</v>
      </c>
      <c r="H115">
        <f>VLOOKUP($A115,raw[],11,FALSE)</f>
        <v>0</v>
      </c>
      <c r="I115" s="70">
        <v>4.1842359999999994</v>
      </c>
      <c r="J115">
        <v>0.35440260000000001</v>
      </c>
      <c r="K115">
        <v>0.40098760754208751</v>
      </c>
      <c r="L115">
        <v>0.46794444444444444</v>
      </c>
      <c r="M115">
        <v>0.53515463917525785</v>
      </c>
      <c r="N115">
        <v>0.60270833333333329</v>
      </c>
      <c r="O115">
        <v>0.67157894736842105</v>
      </c>
      <c r="P115">
        <v>1.2734090694013413E-2</v>
      </c>
      <c r="Q115">
        <v>1.9355817854900387E-2</v>
      </c>
      <c r="R115">
        <v>5.0936362776053651E-2</v>
      </c>
      <c r="S115">
        <v>6.8160619937360188E-3</v>
      </c>
      <c r="T115">
        <v>1.0360414230478749E-2</v>
      </c>
      <c r="U115">
        <v>2.7264247974944075E-2</v>
      </c>
      <c r="V115" s="70">
        <v>0.63</v>
      </c>
      <c r="W115">
        <v>8.0566629834254151</v>
      </c>
      <c r="X115">
        <v>40.037150363659364</v>
      </c>
      <c r="Y115">
        <v>41.473887562869621</v>
      </c>
      <c r="Z115">
        <v>40.814168209747834</v>
      </c>
      <c r="AA115">
        <v>120.55906077348067</v>
      </c>
      <c r="AB115">
        <v>163.07501190088223</v>
      </c>
      <c r="AC115">
        <v>169.99508975394613</v>
      </c>
      <c r="AD115">
        <v>166.81753627563066</v>
      </c>
      <c r="AF115">
        <v>1617.8139448113309</v>
      </c>
      <c r="AG115">
        <v>1840.336738308725</v>
      </c>
      <c r="AH115">
        <v>3680.67347661745</v>
      </c>
      <c r="AI115">
        <v>11042.020429852349</v>
      </c>
      <c r="AJ115" t="str">
        <f t="shared" si="3"/>
        <v>Yes</v>
      </c>
    </row>
    <row r="116" spans="1:36" x14ac:dyDescent="0.25">
      <c r="A116" s="53" t="s">
        <v>452</v>
      </c>
      <c r="D116" t="s">
        <v>196</v>
      </c>
      <c r="H116">
        <f>VLOOKUP($A116,raw[],11,FALSE)</f>
        <v>0</v>
      </c>
      <c r="I116" s="70">
        <v>2.0405880000000001</v>
      </c>
      <c r="J116">
        <v>0.35440260000000001</v>
      </c>
      <c r="K116">
        <v>0.40098760754208751</v>
      </c>
      <c r="L116">
        <v>0.46794444444444444</v>
      </c>
      <c r="M116">
        <v>0.53515463917525785</v>
      </c>
      <c r="N116">
        <v>0.60270833333333329</v>
      </c>
      <c r="O116">
        <v>0.67157894736842105</v>
      </c>
      <c r="P116">
        <v>3.1166864887320275E-3</v>
      </c>
      <c r="Q116">
        <v>4.7373634628726817E-3</v>
      </c>
      <c r="R116">
        <v>1.246674595492811E-2</v>
      </c>
      <c r="S116">
        <v>1.7000239059632813E-3</v>
      </c>
      <c r="T116">
        <v>2.5840363370641874E-3</v>
      </c>
      <c r="U116">
        <v>6.8000956238531253E-3</v>
      </c>
      <c r="V116" s="70">
        <v>4.83</v>
      </c>
      <c r="W116">
        <v>7.9035148683092622</v>
      </c>
      <c r="X116">
        <v>38.759066442342444</v>
      </c>
      <c r="Y116">
        <v>39.610313872222463</v>
      </c>
      <c r="Z116">
        <v>39.219439045499996</v>
      </c>
      <c r="AA116">
        <v>118.7336873406967</v>
      </c>
      <c r="AB116">
        <v>156.31296086452286</v>
      </c>
      <c r="AC116">
        <v>160.66367056747271</v>
      </c>
      <c r="AD116">
        <v>158.66591663416571</v>
      </c>
      <c r="AF116">
        <v>333.22537651955565</v>
      </c>
      <c r="AG116">
        <v>297.73391650383951</v>
      </c>
      <c r="AH116">
        <v>595.46783300767902</v>
      </c>
      <c r="AI116">
        <v>1786.4034990230371</v>
      </c>
      <c r="AJ116" t="str">
        <f t="shared" si="3"/>
        <v>Yes</v>
      </c>
    </row>
    <row r="117" spans="1:36" x14ac:dyDescent="0.25">
      <c r="A117" s="55" t="s">
        <v>454</v>
      </c>
      <c r="D117" t="s">
        <v>215</v>
      </c>
      <c r="H117">
        <f>VLOOKUP($A117,raw[],11,FALSE)</f>
        <v>0.79</v>
      </c>
      <c r="I117" s="70">
        <v>8.8219360000000009</v>
      </c>
      <c r="J117">
        <v>0.35440260000000001</v>
      </c>
      <c r="K117">
        <v>0.40098760754208751</v>
      </c>
      <c r="L117">
        <v>0.46794444444444444</v>
      </c>
      <c r="M117">
        <v>0.53515463917525785</v>
      </c>
      <c r="N117">
        <v>0.60270833333333329</v>
      </c>
      <c r="O117">
        <v>0.67157894736842105</v>
      </c>
      <c r="P117">
        <v>8.9246567205909112E-3</v>
      </c>
      <c r="Q117">
        <v>1.3565478215298184E-2</v>
      </c>
      <c r="R117">
        <v>3.5698626882363645E-2</v>
      </c>
      <c r="S117">
        <v>4.9317803752260293E-3</v>
      </c>
      <c r="T117">
        <v>7.4963061703435634E-3</v>
      </c>
      <c r="U117">
        <v>1.9727121500904117E-2</v>
      </c>
      <c r="V117" s="70">
        <v>0.02</v>
      </c>
      <c r="W117">
        <v>9.0054833224329602</v>
      </c>
      <c r="X117">
        <v>47.632302918046591</v>
      </c>
      <c r="Y117">
        <v>52.528223738424579</v>
      </c>
      <c r="Z117">
        <v>50.280120384289454</v>
      </c>
      <c r="AA117">
        <v>132.70983867451491</v>
      </c>
      <c r="AB117">
        <v>204.70772778635339</v>
      </c>
      <c r="AC117">
        <v>226.97212393275456</v>
      </c>
      <c r="AD117">
        <v>216.74878383170829</v>
      </c>
      <c r="AF117">
        <v>0</v>
      </c>
      <c r="AG117">
        <v>2458.3028331895898</v>
      </c>
      <c r="AH117">
        <v>4916.6056663791796</v>
      </c>
      <c r="AI117">
        <v>14749.81699913754</v>
      </c>
      <c r="AJ117" t="str">
        <f t="shared" si="3"/>
        <v>No</v>
      </c>
    </row>
    <row r="118" spans="1:36" x14ac:dyDescent="0.25">
      <c r="A118" s="53" t="s">
        <v>456</v>
      </c>
      <c r="D118" t="s">
        <v>196</v>
      </c>
      <c r="H118">
        <f>VLOOKUP($A118,raw[],11,FALSE)</f>
        <v>0</v>
      </c>
      <c r="I118" s="70">
        <v>0.77295000000000003</v>
      </c>
      <c r="J118">
        <v>0.35440260000000001</v>
      </c>
      <c r="K118">
        <v>0.40098760754208751</v>
      </c>
      <c r="L118">
        <v>0.46794444444444444</v>
      </c>
      <c r="M118">
        <v>0.53515463917525785</v>
      </c>
      <c r="N118">
        <v>0.60270833333333329</v>
      </c>
      <c r="O118">
        <v>0.67157894736842105</v>
      </c>
      <c r="P118">
        <v>7.2454765555202607E-3</v>
      </c>
      <c r="Q118">
        <v>1.1013124364390796E-2</v>
      </c>
      <c r="R118">
        <v>2.8981906222081043E-2</v>
      </c>
      <c r="S118">
        <v>3.809545675410371E-3</v>
      </c>
      <c r="T118">
        <v>5.7905094266237633E-3</v>
      </c>
      <c r="U118">
        <v>1.5238182701641484E-2</v>
      </c>
      <c r="V118" s="70">
        <v>0.48</v>
      </c>
      <c r="W118">
        <v>8.5199451880178465</v>
      </c>
      <c r="X118">
        <v>43.024504128612634</v>
      </c>
      <c r="Y118">
        <v>45.774932355793375</v>
      </c>
      <c r="Z118">
        <v>44.511993850518373</v>
      </c>
      <c r="AA118">
        <v>127.4616172721479</v>
      </c>
      <c r="AB118">
        <v>185.10468700476665</v>
      </c>
      <c r="AC118">
        <v>199.89790138169292</v>
      </c>
      <c r="AD118">
        <v>193.10517002852524</v>
      </c>
      <c r="AF118">
        <v>0</v>
      </c>
      <c r="AG118">
        <v>667.18529666646498</v>
      </c>
      <c r="AH118">
        <v>1334.37059333293</v>
      </c>
      <c r="AI118">
        <v>4003.1117799987896</v>
      </c>
      <c r="AJ118" t="str">
        <f t="shared" si="3"/>
        <v>Yes</v>
      </c>
    </row>
    <row r="119" spans="1:36" x14ac:dyDescent="0.25">
      <c r="A119" s="55" t="s">
        <v>458</v>
      </c>
      <c r="D119" t="s">
        <v>201</v>
      </c>
      <c r="H119">
        <f>VLOOKUP($A119,raw[],11,FALSE)</f>
        <v>0.99</v>
      </c>
      <c r="I119" s="70">
        <v>2.978434</v>
      </c>
      <c r="J119">
        <v>0.35440260000000001</v>
      </c>
      <c r="K119">
        <v>0.40098760754208751</v>
      </c>
      <c r="L119">
        <v>0.46794444444444444</v>
      </c>
      <c r="M119">
        <v>0.53515463917525785</v>
      </c>
      <c r="N119">
        <v>0.60270833333333329</v>
      </c>
      <c r="O119">
        <v>0.67157894736842105</v>
      </c>
      <c r="P119">
        <v>2.9672508892247696E-3</v>
      </c>
      <c r="Q119">
        <v>4.5102213516216502E-3</v>
      </c>
      <c r="R119">
        <v>1.1869003556899078E-2</v>
      </c>
      <c r="S119">
        <v>1.5909962242988298E-3</v>
      </c>
      <c r="T119">
        <v>2.4183142609342212E-3</v>
      </c>
      <c r="U119">
        <v>6.3639848971953194E-3</v>
      </c>
      <c r="V119" s="70">
        <v>4.07</v>
      </c>
      <c r="W119">
        <v>7.7960578034682086</v>
      </c>
      <c r="X119">
        <v>37.926891431367906</v>
      </c>
      <c r="Y119">
        <v>38.400948500009257</v>
      </c>
      <c r="Z119">
        <v>38.183271514379044</v>
      </c>
      <c r="AA119">
        <v>117.03017341040463</v>
      </c>
      <c r="AB119">
        <v>150.57083411728371</v>
      </c>
      <c r="AC119">
        <v>152.81958700316471</v>
      </c>
      <c r="AD119">
        <v>151.78700721054872</v>
      </c>
      <c r="AF119">
        <v>363.94082262755461</v>
      </c>
      <c r="AG119">
        <v>429.568980560684</v>
      </c>
      <c r="AH119">
        <v>859.13796112136799</v>
      </c>
      <c r="AI119">
        <v>2577.4138833641041</v>
      </c>
      <c r="AJ119" t="str">
        <f t="shared" si="3"/>
        <v>No</v>
      </c>
    </row>
    <row r="120" spans="1:36" x14ac:dyDescent="0.25">
      <c r="A120" s="53" t="s">
        <v>460</v>
      </c>
      <c r="D120" t="s">
        <v>207</v>
      </c>
      <c r="H120">
        <f>VLOOKUP($A120,raw[],11,FALSE)</f>
        <v>0</v>
      </c>
      <c r="I120" s="70">
        <v>2.298238</v>
      </c>
      <c r="J120">
        <v>0.35440260000000001</v>
      </c>
      <c r="K120">
        <v>0.40098760754208751</v>
      </c>
      <c r="L120">
        <v>0.46794444444444444</v>
      </c>
      <c r="M120">
        <v>0.53515463917525785</v>
      </c>
      <c r="N120">
        <v>0.60270833333333329</v>
      </c>
      <c r="O120">
        <v>0.67157894736842105</v>
      </c>
      <c r="P120">
        <v>3.5060625757282449E-3</v>
      </c>
      <c r="Q120">
        <v>5.3292151151069318E-3</v>
      </c>
      <c r="R120">
        <v>1.402425030291298E-2</v>
      </c>
      <c r="S120">
        <v>1.9934636750991112E-3</v>
      </c>
      <c r="T120">
        <v>3.0300647861506488E-3</v>
      </c>
      <c r="U120">
        <v>7.9738547003964447E-3</v>
      </c>
      <c r="V120" s="70">
        <v>4.83</v>
      </c>
      <c r="W120">
        <v>7.7331564390665513</v>
      </c>
      <c r="X120">
        <v>37.569800034428219</v>
      </c>
      <c r="Y120">
        <v>37.890741473412731</v>
      </c>
      <c r="Z120">
        <v>37.743371948468834</v>
      </c>
      <c r="AA120">
        <v>115.93842696629214</v>
      </c>
      <c r="AB120">
        <v>147.76003279197857</v>
      </c>
      <c r="AC120">
        <v>149.11407769513951</v>
      </c>
      <c r="AD120">
        <v>148.49232889647112</v>
      </c>
      <c r="AF120">
        <v>285.52247448386697</v>
      </c>
      <c r="AG120">
        <v>538.23519227676002</v>
      </c>
      <c r="AH120">
        <v>1076.47038455352</v>
      </c>
      <c r="AI120">
        <v>3229.4111536605601</v>
      </c>
      <c r="AJ120" t="str">
        <f t="shared" si="3"/>
        <v>Yes</v>
      </c>
    </row>
    <row r="121" spans="1:36" x14ac:dyDescent="0.25">
      <c r="A121" s="55" t="s">
        <v>462</v>
      </c>
      <c r="D121" t="s">
        <v>225</v>
      </c>
      <c r="H121">
        <f>VLOOKUP($A121,raw[],11,FALSE)</f>
        <v>0.99</v>
      </c>
      <c r="I121" s="70">
        <v>3.7101600000000001</v>
      </c>
      <c r="J121">
        <v>0.35440260000000001</v>
      </c>
      <c r="K121">
        <v>0.40098760754208751</v>
      </c>
      <c r="L121">
        <v>0.46794444444444444</v>
      </c>
      <c r="M121">
        <v>0.53515463917525785</v>
      </c>
      <c r="N121">
        <v>0.60270833333333329</v>
      </c>
      <c r="O121">
        <v>0.67157894736842105</v>
      </c>
      <c r="P121">
        <v>1.2826212918606824E-2</v>
      </c>
      <c r="Q121">
        <v>1.9495843636282373E-2</v>
      </c>
      <c r="R121">
        <v>5.1304851674427297E-2</v>
      </c>
      <c r="S121">
        <v>7.2090558022259443E-3</v>
      </c>
      <c r="T121">
        <v>1.0957764819383434E-2</v>
      </c>
      <c r="U121">
        <v>2.8836223208903777E-2</v>
      </c>
      <c r="V121" s="70">
        <v>0.63</v>
      </c>
      <c r="W121">
        <v>8.4970236220472444</v>
      </c>
      <c r="X121">
        <v>44.17348243680982</v>
      </c>
      <c r="Y121">
        <v>47.533843589249578</v>
      </c>
      <c r="Z121">
        <v>45.990836777035256</v>
      </c>
      <c r="AA121">
        <v>127.92513708376811</v>
      </c>
      <c r="AB121">
        <v>190.15987962235428</v>
      </c>
      <c r="AC121">
        <v>207.34289921055327</v>
      </c>
      <c r="AD121">
        <v>199.45281981841609</v>
      </c>
      <c r="AF121">
        <v>5527.6788074781962</v>
      </c>
      <c r="AG121">
        <v>3593.4370460326249</v>
      </c>
      <c r="AH121">
        <v>7186.8740920652499</v>
      </c>
      <c r="AI121">
        <v>21560.622276195751</v>
      </c>
      <c r="AJ121" t="str">
        <f t="shared" si="3"/>
        <v>No</v>
      </c>
    </row>
    <row r="122" spans="1:36" x14ac:dyDescent="0.25">
      <c r="A122" s="53" t="s">
        <v>464</v>
      </c>
      <c r="D122" t="s">
        <v>225</v>
      </c>
      <c r="H122">
        <f>VLOOKUP($A122,raw[],11,FALSE)</f>
        <v>0.72</v>
      </c>
      <c r="I122" s="70">
        <v>3.7823019999999996</v>
      </c>
      <c r="J122">
        <v>0.35440260000000001</v>
      </c>
      <c r="K122">
        <v>0.40098760754208751</v>
      </c>
      <c r="L122">
        <v>0.46794444444444444</v>
      </c>
      <c r="M122">
        <v>0.53515463917525785</v>
      </c>
      <c r="N122">
        <v>0.60270833333333329</v>
      </c>
      <c r="O122">
        <v>0.67157894736842105</v>
      </c>
      <c r="P122">
        <v>4.9781812026286065E-3</v>
      </c>
      <c r="Q122">
        <v>7.566835427995482E-3</v>
      </c>
      <c r="R122">
        <v>1.9912724810514426E-2</v>
      </c>
      <c r="S122">
        <v>2.6717235893521296E-3</v>
      </c>
      <c r="T122">
        <v>4.0610198558152372E-3</v>
      </c>
      <c r="U122">
        <v>1.0686894357408518E-2</v>
      </c>
      <c r="V122" s="70">
        <v>0.63</v>
      </c>
      <c r="W122">
        <v>7.9338672007268993</v>
      </c>
      <c r="X122">
        <v>39.1706580270655</v>
      </c>
      <c r="Y122">
        <v>40.22032716302116</v>
      </c>
      <c r="Z122">
        <v>39.738341282969316</v>
      </c>
      <c r="AA122">
        <v>118.95250020475962</v>
      </c>
      <c r="AB122">
        <v>157.48588624128527</v>
      </c>
      <c r="AC122">
        <v>162.33317815976801</v>
      </c>
      <c r="AD122">
        <v>160.10740416949915</v>
      </c>
      <c r="AF122">
        <v>0</v>
      </c>
      <c r="AG122">
        <v>721.36536912507495</v>
      </c>
      <c r="AH122">
        <v>1442.7307382501499</v>
      </c>
      <c r="AI122">
        <v>4328.1922147504501</v>
      </c>
      <c r="AJ122" t="str">
        <f t="shared" si="3"/>
        <v>No</v>
      </c>
    </row>
    <row r="123" spans="1:36" x14ac:dyDescent="0.25">
      <c r="A123" s="55" t="s">
        <v>466</v>
      </c>
      <c r="D123" t="s">
        <v>207</v>
      </c>
      <c r="H123">
        <f>VLOOKUP($A123,raw[],11,FALSE)</f>
        <v>0</v>
      </c>
      <c r="I123" s="70">
        <v>2.236402</v>
      </c>
      <c r="J123">
        <v>0.35440260000000001</v>
      </c>
      <c r="K123">
        <v>0.40098760754208751</v>
      </c>
      <c r="L123">
        <v>0.46794444444444444</v>
      </c>
      <c r="M123">
        <v>0.53515463917525785</v>
      </c>
      <c r="N123">
        <v>0.60270833333333329</v>
      </c>
      <c r="O123">
        <v>0.67157894736842105</v>
      </c>
      <c r="P123">
        <v>4.6745480095834726E-3</v>
      </c>
      <c r="Q123">
        <v>7.1053129745668776E-3</v>
      </c>
      <c r="R123">
        <v>1.8698192038333891E-2</v>
      </c>
      <c r="S123">
        <v>2.612128034009942E-3</v>
      </c>
      <c r="T123">
        <v>3.9704346116951113E-3</v>
      </c>
      <c r="U123">
        <v>1.0448512136039768E-2</v>
      </c>
      <c r="V123" s="70">
        <v>4.83</v>
      </c>
      <c r="W123">
        <v>7.7064330175913405</v>
      </c>
      <c r="X123">
        <v>37.387655319424653</v>
      </c>
      <c r="Y123">
        <v>37.62770540728021</v>
      </c>
      <c r="Z123">
        <v>37.51747948094939</v>
      </c>
      <c r="AA123">
        <v>115.30853856562925</v>
      </c>
      <c r="AB123">
        <v>146.35918152425722</v>
      </c>
      <c r="AC123">
        <v>147.31196720115111</v>
      </c>
      <c r="AD123">
        <v>146.874468157645</v>
      </c>
      <c r="AF123">
        <v>138.17010049567131</v>
      </c>
      <c r="AG123">
        <v>457.47539622660599</v>
      </c>
      <c r="AH123">
        <v>914.95079245321199</v>
      </c>
      <c r="AI123">
        <v>2744.8523773596362</v>
      </c>
      <c r="AJ123" t="str">
        <f t="shared" si="3"/>
        <v>Yes</v>
      </c>
    </row>
    <row r="124" spans="1:36" x14ac:dyDescent="0.25">
      <c r="A124" s="53" t="s">
        <v>468</v>
      </c>
      <c r="D124" t="s">
        <v>260</v>
      </c>
      <c r="H124">
        <f>VLOOKUP($A124,raw[],11,FALSE)</f>
        <v>0.99</v>
      </c>
      <c r="I124" s="70">
        <v>7.9150079999999994</v>
      </c>
      <c r="J124">
        <v>0.35440260000000001</v>
      </c>
      <c r="K124">
        <v>0.40098760754208751</v>
      </c>
      <c r="L124">
        <v>0.46794444444444444</v>
      </c>
      <c r="M124">
        <v>0.53515463917525785</v>
      </c>
      <c r="N124">
        <v>0.60270833333333329</v>
      </c>
      <c r="O124">
        <v>0.67157894736842105</v>
      </c>
      <c r="P124">
        <v>8.055912520552171E-3</v>
      </c>
      <c r="Q124">
        <v>1.22449870312393E-2</v>
      </c>
      <c r="R124">
        <v>3.2223650082208684E-2</v>
      </c>
      <c r="S124">
        <v>4.6390975952754418E-3</v>
      </c>
      <c r="T124">
        <v>7.0514283448186704E-3</v>
      </c>
      <c r="U124">
        <v>1.8556390381101767E-2</v>
      </c>
      <c r="V124" s="70">
        <v>0.63</v>
      </c>
      <c r="W124">
        <v>8.6334916666666714</v>
      </c>
      <c r="X124">
        <v>43.569510999595202</v>
      </c>
      <c r="Y124">
        <v>46.544499280949864</v>
      </c>
      <c r="Z124">
        <v>45.178447545393048</v>
      </c>
      <c r="AA124">
        <v>128.7088</v>
      </c>
      <c r="AB124">
        <v>186.34985327752722</v>
      </c>
      <c r="AC124">
        <v>201.14201816005576</v>
      </c>
      <c r="AD124">
        <v>194.34976871253204</v>
      </c>
      <c r="AF124">
        <v>0</v>
      </c>
      <c r="AG124">
        <v>2312.4117244142199</v>
      </c>
      <c r="AH124">
        <v>4624.8234488284397</v>
      </c>
      <c r="AI124">
        <v>13874.470346485319</v>
      </c>
      <c r="AJ124" t="str">
        <f t="shared" si="3"/>
        <v>No</v>
      </c>
    </row>
    <row r="125" spans="1:36" x14ac:dyDescent="0.25">
      <c r="A125" s="55" t="s">
        <v>470</v>
      </c>
      <c r="D125" t="s">
        <v>196</v>
      </c>
      <c r="H125">
        <f>VLOOKUP($A125,raw[],11,FALSE)</f>
        <v>0.74</v>
      </c>
      <c r="I125" s="70">
        <v>4.2151540000000001</v>
      </c>
      <c r="J125">
        <v>0.35440260000000001</v>
      </c>
      <c r="K125">
        <v>0.40098760754208751</v>
      </c>
      <c r="L125">
        <v>0.46794444444444444</v>
      </c>
      <c r="M125">
        <v>0.53515463917525785</v>
      </c>
      <c r="N125">
        <v>0.60270833333333329</v>
      </c>
      <c r="O125">
        <v>0.67157894736842105</v>
      </c>
      <c r="P125">
        <v>1.2247397937523058E-2</v>
      </c>
      <c r="Q125">
        <v>1.8616044865035045E-2</v>
      </c>
      <c r="R125">
        <v>4.898959175009223E-2</v>
      </c>
      <c r="S125">
        <v>6.5214665705303522E-3</v>
      </c>
      <c r="T125">
        <v>9.9126291872061335E-3</v>
      </c>
      <c r="U125">
        <v>2.6085866282121409E-2</v>
      </c>
      <c r="V125" s="70">
        <v>0.48</v>
      </c>
      <c r="W125">
        <v>8.7234165571616309</v>
      </c>
      <c r="X125">
        <v>45.904980187689063</v>
      </c>
      <c r="Y125">
        <v>50.048695791594056</v>
      </c>
      <c r="Z125">
        <v>48.145989173270578</v>
      </c>
      <c r="AA125">
        <v>130.13331143232591</v>
      </c>
      <c r="AB125">
        <v>198.19323929305193</v>
      </c>
      <c r="AC125">
        <v>218.40806424451344</v>
      </c>
      <c r="AD125">
        <v>209.12584391376748</v>
      </c>
      <c r="AF125">
        <v>3695.4113897571933</v>
      </c>
      <c r="AG125">
        <v>1760.795974043195</v>
      </c>
      <c r="AH125">
        <v>3521.5919480863899</v>
      </c>
      <c r="AI125">
        <v>10564.775844259169</v>
      </c>
      <c r="AJ125" t="str">
        <f t="shared" si="3"/>
        <v>No</v>
      </c>
    </row>
    <row r="126" spans="1:36" x14ac:dyDescent="0.25">
      <c r="A126" s="53" t="s">
        <v>472</v>
      </c>
      <c r="D126" t="s">
        <v>201</v>
      </c>
      <c r="H126">
        <f>VLOOKUP($A126,raw[],11,FALSE)</f>
        <v>0.99</v>
      </c>
      <c r="I126" s="70">
        <v>4.0502580000000004</v>
      </c>
      <c r="J126">
        <v>0.35440260000000001</v>
      </c>
      <c r="K126">
        <v>0.40098760754208751</v>
      </c>
      <c r="L126">
        <v>0.46794444444444444</v>
      </c>
      <c r="M126">
        <v>0.53515463917525785</v>
      </c>
      <c r="N126">
        <v>0.60270833333333329</v>
      </c>
      <c r="O126">
        <v>0.67157894736842105</v>
      </c>
      <c r="P126">
        <v>1.5826265646365783E-2</v>
      </c>
      <c r="Q126">
        <v>2.405592378247599E-2</v>
      </c>
      <c r="R126">
        <v>6.3305062585463132E-2</v>
      </c>
      <c r="S126">
        <v>8.562780336024858E-3</v>
      </c>
      <c r="T126">
        <v>1.3015426110757783E-2</v>
      </c>
      <c r="U126">
        <v>3.4251121344099432E-2</v>
      </c>
      <c r="V126" s="70">
        <v>0.48</v>
      </c>
      <c r="W126">
        <v>10.193157410917362</v>
      </c>
      <c r="X126">
        <v>61.343107453441633</v>
      </c>
      <c r="Y126">
        <v>72.756879973657576</v>
      </c>
      <c r="Z126">
        <v>67.515916888790571</v>
      </c>
      <c r="AA126">
        <v>151.57691148597422</v>
      </c>
      <c r="AB126">
        <v>295.1658677485126</v>
      </c>
      <c r="AC126">
        <v>354.69091215690753</v>
      </c>
      <c r="AD126">
        <v>327.35826996372282</v>
      </c>
      <c r="AF126">
        <v>9798.3553644385156</v>
      </c>
      <c r="AG126">
        <v>4268.2166598031599</v>
      </c>
      <c r="AH126">
        <v>8536.4333196063199</v>
      </c>
      <c r="AI126">
        <v>25609.29995881896</v>
      </c>
      <c r="AJ126" t="str">
        <f t="shared" si="3"/>
        <v>No</v>
      </c>
    </row>
    <row r="127" spans="1:36" x14ac:dyDescent="0.25">
      <c r="A127" s="55" t="s">
        <v>474</v>
      </c>
      <c r="D127" t="s">
        <v>201</v>
      </c>
      <c r="H127">
        <f>VLOOKUP($A127,raw[],11,FALSE)</f>
        <v>0.99</v>
      </c>
      <c r="I127" s="70">
        <v>6.3794140000000006</v>
      </c>
      <c r="J127">
        <v>0.35440260000000001</v>
      </c>
      <c r="K127">
        <v>0.40098760754208751</v>
      </c>
      <c r="L127">
        <v>0.46794444444444444</v>
      </c>
      <c r="M127">
        <v>0.53515463917525785</v>
      </c>
      <c r="N127">
        <v>0.60270833333333329</v>
      </c>
      <c r="O127">
        <v>0.67157894736842105</v>
      </c>
      <c r="P127">
        <v>1.3903963346379443E-2</v>
      </c>
      <c r="Q127">
        <v>2.1134024286496751E-2</v>
      </c>
      <c r="R127">
        <v>5.561585338551777E-2</v>
      </c>
      <c r="S127">
        <v>7.6355291158355532E-3</v>
      </c>
      <c r="T127">
        <v>1.160600425607004E-2</v>
      </c>
      <c r="U127">
        <v>3.0542116463342213E-2</v>
      </c>
      <c r="V127" s="70">
        <v>4.07</v>
      </c>
      <c r="W127">
        <v>8.5773494809688611</v>
      </c>
      <c r="X127">
        <v>44.992970807513473</v>
      </c>
      <c r="Y127">
        <v>48.738040212757831</v>
      </c>
      <c r="Z127">
        <v>47.018383502552155</v>
      </c>
      <c r="AA127">
        <v>129.0442078221663</v>
      </c>
      <c r="AB127">
        <v>192.63620075025378</v>
      </c>
      <c r="AC127">
        <v>210.52562172872965</v>
      </c>
      <c r="AD127">
        <v>202.31117774960052</v>
      </c>
      <c r="AF127">
        <v>1862.399565518047</v>
      </c>
      <c r="AG127">
        <v>3806.01759004726</v>
      </c>
      <c r="AH127">
        <v>7612.03518009452</v>
      </c>
      <c r="AI127">
        <v>22836.105540283559</v>
      </c>
      <c r="AJ127" t="str">
        <f t="shared" si="3"/>
        <v>No</v>
      </c>
    </row>
    <row r="128" spans="1:36" x14ac:dyDescent="0.25">
      <c r="A128" s="53" t="s">
        <v>476</v>
      </c>
      <c r="D128" t="s">
        <v>260</v>
      </c>
      <c r="H128">
        <f>VLOOKUP($A128,raw[],11,FALSE)</f>
        <v>0.99</v>
      </c>
      <c r="I128" s="70">
        <v>16.675107999999998</v>
      </c>
      <c r="J128">
        <v>0.35440260000000001</v>
      </c>
      <c r="K128">
        <v>0.40098760754208751</v>
      </c>
      <c r="L128">
        <v>0.46794444444444444</v>
      </c>
      <c r="M128">
        <v>0.53515463917525785</v>
      </c>
      <c r="N128">
        <v>0.60270833333333329</v>
      </c>
      <c r="O128">
        <v>0.67157894736842105</v>
      </c>
      <c r="P128">
        <v>7.3147128523321113E-3</v>
      </c>
      <c r="Q128">
        <v>1.1118363535544809E-2</v>
      </c>
      <c r="R128">
        <v>2.9258851409328445E-2</v>
      </c>
      <c r="S128">
        <v>4.1558971284098327E-3</v>
      </c>
      <c r="T128">
        <v>6.3169636351829454E-3</v>
      </c>
      <c r="U128">
        <v>1.6623588513639331E-2</v>
      </c>
      <c r="V128" s="70">
        <v>0.63</v>
      </c>
      <c r="W128">
        <v>8.4682440172616715</v>
      </c>
      <c r="X128">
        <v>42.079815146787112</v>
      </c>
      <c r="Y128">
        <v>44.365474429254938</v>
      </c>
      <c r="Z128">
        <v>43.31594799942814</v>
      </c>
      <c r="AA128">
        <v>127.57700666928211</v>
      </c>
      <c r="AB128">
        <v>177.02484944770225</v>
      </c>
      <c r="AC128">
        <v>187.552734627554</v>
      </c>
      <c r="AD128">
        <v>182.71855228410939</v>
      </c>
      <c r="AF128">
        <v>0</v>
      </c>
      <c r="AG128">
        <v>2071.554876315055</v>
      </c>
      <c r="AH128">
        <v>4143.1097526301101</v>
      </c>
      <c r="AI128">
        <v>12429.329257890331</v>
      </c>
      <c r="AJ128" t="str">
        <f t="shared" si="3"/>
        <v>No</v>
      </c>
    </row>
    <row r="129" spans="1:36" x14ac:dyDescent="0.25">
      <c r="A129" s="55" t="s">
        <v>478</v>
      </c>
      <c r="D129" t="s">
        <v>207</v>
      </c>
      <c r="H129">
        <f>VLOOKUP($A129,raw[],11,FALSE)</f>
        <v>0</v>
      </c>
      <c r="I129" s="70">
        <v>1.8447739999999999</v>
      </c>
      <c r="J129">
        <v>0.35440260000000001</v>
      </c>
      <c r="K129">
        <v>0.40098760754208751</v>
      </c>
      <c r="L129">
        <v>0.46794444444444444</v>
      </c>
      <c r="M129">
        <v>0.53515463917525785</v>
      </c>
      <c r="N129">
        <v>0.60270833333333329</v>
      </c>
      <c r="O129">
        <v>0.67157894736842105</v>
      </c>
      <c r="P129">
        <v>4.1655003688945477E-3</v>
      </c>
      <c r="Q129">
        <v>6.3315605607197119E-3</v>
      </c>
      <c r="R129">
        <v>1.6662001475578191E-2</v>
      </c>
      <c r="S129">
        <v>2.3468382883234293E-3</v>
      </c>
      <c r="T129">
        <v>3.5671941982516123E-3</v>
      </c>
      <c r="U129">
        <v>9.3873531532937173E-3</v>
      </c>
      <c r="V129" s="70">
        <v>4.83</v>
      </c>
      <c r="W129">
        <v>7.7169853658536596</v>
      </c>
      <c r="X129">
        <v>37.519478848360727</v>
      </c>
      <c r="Y129">
        <v>37.822646347190044</v>
      </c>
      <c r="Z129">
        <v>37.683438239872181</v>
      </c>
      <c r="AA129">
        <v>115.73991219512196</v>
      </c>
      <c r="AB129">
        <v>147.69055153162608</v>
      </c>
      <c r="AC129">
        <v>149.11175386729835</v>
      </c>
      <c r="AD129">
        <v>148.45916779514801</v>
      </c>
      <c r="AF129">
        <v>144.79273029632611</v>
      </c>
      <c r="AG129">
        <v>411.01384076583298</v>
      </c>
      <c r="AH129">
        <v>822.02768153166596</v>
      </c>
      <c r="AI129">
        <v>2466.0830445949978</v>
      </c>
      <c r="AJ129" t="str">
        <f t="shared" si="3"/>
        <v>Yes</v>
      </c>
    </row>
    <row r="130" spans="1:36" x14ac:dyDescent="0.25">
      <c r="A130" s="53" t="s">
        <v>480</v>
      </c>
      <c r="D130" t="s">
        <v>201</v>
      </c>
      <c r="H130">
        <f>VLOOKUP($A130,raw[],11,FALSE)</f>
        <v>0.69</v>
      </c>
      <c r="I130" s="70">
        <v>0.80386800000000003</v>
      </c>
      <c r="J130">
        <v>0.35440260000000001</v>
      </c>
      <c r="K130">
        <v>0.40098760754208751</v>
      </c>
      <c r="L130">
        <v>0.46794444444444444</v>
      </c>
      <c r="M130">
        <v>0.53515463917525785</v>
      </c>
      <c r="N130">
        <v>0.60270833333333329</v>
      </c>
      <c r="O130">
        <v>0.67157894736842105</v>
      </c>
      <c r="P130">
        <v>1.2880213954618431E-2</v>
      </c>
      <c r="Q130">
        <v>1.9577925211020013E-2</v>
      </c>
      <c r="R130">
        <v>5.1520855818473724E-2</v>
      </c>
      <c r="S130">
        <v>6.9017169432787967E-3</v>
      </c>
      <c r="T130">
        <v>1.0490609753783769E-2</v>
      </c>
      <c r="U130">
        <v>2.7606867773115187E-2</v>
      </c>
      <c r="V130" s="70">
        <v>4.07</v>
      </c>
      <c r="W130">
        <v>8.3221465689540324</v>
      </c>
      <c r="X130">
        <v>42.35631811778498</v>
      </c>
      <c r="Y130">
        <v>44.861926148131737</v>
      </c>
      <c r="Z130">
        <v>43.711403902403184</v>
      </c>
      <c r="AA130">
        <v>125.22606395736182</v>
      </c>
      <c r="AB130">
        <v>177.43038992834298</v>
      </c>
      <c r="AC130">
        <v>189.39292826767218</v>
      </c>
      <c r="AD130">
        <v>183.89998351810007</v>
      </c>
      <c r="AF130">
        <v>1501.9881338861439</v>
      </c>
      <c r="AG130">
        <v>1863.463574685275</v>
      </c>
      <c r="AH130">
        <v>3726.9271493705501</v>
      </c>
      <c r="AI130">
        <v>11180.781448111651</v>
      </c>
      <c r="AJ130" t="str">
        <f t="shared" ref="AJ130:AJ137" si="4">IF($H130=0, "Yes", "No")</f>
        <v>No</v>
      </c>
    </row>
    <row r="131" spans="1:36" x14ac:dyDescent="0.25">
      <c r="A131" s="55" t="s">
        <v>482</v>
      </c>
      <c r="D131" t="s">
        <v>201</v>
      </c>
      <c r="H131">
        <f>VLOOKUP($A131,raw[],11,FALSE)</f>
        <v>0.97</v>
      </c>
      <c r="I131" s="70">
        <v>2.8238440000000002</v>
      </c>
      <c r="J131">
        <v>0.35440260000000001</v>
      </c>
      <c r="K131">
        <v>0.40098760754208751</v>
      </c>
      <c r="L131">
        <v>0.46794444444444444</v>
      </c>
      <c r="M131">
        <v>0.53515463917525785</v>
      </c>
      <c r="N131">
        <v>0.60270833333333329</v>
      </c>
      <c r="O131">
        <v>0.67157894736842105</v>
      </c>
      <c r="P131">
        <v>5.8849381102137575E-3</v>
      </c>
      <c r="Q131">
        <v>8.9451059275249111E-3</v>
      </c>
      <c r="R131">
        <v>2.353975244085503E-2</v>
      </c>
      <c r="S131">
        <v>3.2420316911350184E-3</v>
      </c>
      <c r="T131">
        <v>4.9278881705252277E-3</v>
      </c>
      <c r="U131">
        <v>1.2968126764540074E-2</v>
      </c>
      <c r="V131" s="70">
        <v>4.07</v>
      </c>
      <c r="W131">
        <v>7.9284804177545691</v>
      </c>
      <c r="X131">
        <v>38.801309726528032</v>
      </c>
      <c r="Y131">
        <v>39.661549613463706</v>
      </c>
      <c r="Z131">
        <v>39.266545640537608</v>
      </c>
      <c r="AA131">
        <v>118.39710182767625</v>
      </c>
      <c r="AB131">
        <v>155.39905212328978</v>
      </c>
      <c r="AC131">
        <v>159.44928526406426</v>
      </c>
      <c r="AD131">
        <v>157.58950381684278</v>
      </c>
      <c r="AF131">
        <v>1128.3943673437407</v>
      </c>
      <c r="AG131">
        <v>875.34855660645496</v>
      </c>
      <c r="AH131">
        <v>1750.6971132129099</v>
      </c>
      <c r="AI131">
        <v>5252.0913396387296</v>
      </c>
      <c r="AJ131" t="str">
        <f t="shared" si="4"/>
        <v>No</v>
      </c>
    </row>
    <row r="132" spans="1:36" x14ac:dyDescent="0.25">
      <c r="A132" s="53" t="s">
        <v>484</v>
      </c>
      <c r="D132" t="s">
        <v>260</v>
      </c>
      <c r="H132">
        <f>VLOOKUP($A132,raw[],11,FALSE)</f>
        <v>0.59</v>
      </c>
      <c r="I132" s="70">
        <v>6.2660479999999996</v>
      </c>
      <c r="J132">
        <v>0.35440260000000001</v>
      </c>
      <c r="K132">
        <v>0.40098760754208751</v>
      </c>
      <c r="L132">
        <v>0.46794444444444444</v>
      </c>
      <c r="M132">
        <v>0.53515463917525785</v>
      </c>
      <c r="N132">
        <v>0.60270833333333329</v>
      </c>
      <c r="O132">
        <v>0.67157894736842105</v>
      </c>
      <c r="P132">
        <v>9.5080482803516463E-3</v>
      </c>
      <c r="Q132">
        <v>1.4452233386134501E-2</v>
      </c>
      <c r="R132">
        <v>3.8032193121406585E-2</v>
      </c>
      <c r="S132">
        <v>5.3149801857206285E-3</v>
      </c>
      <c r="T132">
        <v>8.0787698822953561E-3</v>
      </c>
      <c r="U132">
        <v>2.1259920742882514E-2</v>
      </c>
      <c r="V132" s="70">
        <v>0.63</v>
      </c>
      <c r="W132">
        <v>8.92109935205184</v>
      </c>
      <c r="X132">
        <v>45.588713152763169</v>
      </c>
      <c r="Y132">
        <v>49.464935833385169</v>
      </c>
      <c r="Z132">
        <v>47.685056311353158</v>
      </c>
      <c r="AA132">
        <v>135.52244060475164</v>
      </c>
      <c r="AB132">
        <v>202.23562618681825</v>
      </c>
      <c r="AC132">
        <v>221.74951885242555</v>
      </c>
      <c r="AD132">
        <v>212.78915181152277</v>
      </c>
      <c r="AF132">
        <v>0</v>
      </c>
      <c r="AG132">
        <v>1435.0446501445699</v>
      </c>
      <c r="AH132">
        <v>2870.0893002891398</v>
      </c>
      <c r="AI132">
        <v>8610.2679008674204</v>
      </c>
      <c r="AJ132" t="str">
        <f t="shared" si="4"/>
        <v>No</v>
      </c>
    </row>
    <row r="133" spans="1:36" x14ac:dyDescent="0.25">
      <c r="A133" s="55" t="s">
        <v>486</v>
      </c>
      <c r="D133" t="s">
        <v>215</v>
      </c>
      <c r="H133">
        <f>VLOOKUP($A133,raw[],11,FALSE)</f>
        <v>0.5</v>
      </c>
      <c r="I133" s="70">
        <v>1.9478339999999998</v>
      </c>
      <c r="J133">
        <v>0.35440260000000001</v>
      </c>
      <c r="K133">
        <v>0.40098760754208751</v>
      </c>
      <c r="L133">
        <v>0.46794444444444444</v>
      </c>
      <c r="M133">
        <v>0.53515463917525785</v>
      </c>
      <c r="N133">
        <v>0.60270833333333329</v>
      </c>
      <c r="O133">
        <v>0.67157894736842105</v>
      </c>
      <c r="P133">
        <v>3.1430216868258268E-2</v>
      </c>
      <c r="Q133">
        <v>4.7773929639752556E-2</v>
      </c>
      <c r="R133">
        <v>0.12572086747303307</v>
      </c>
      <c r="S133">
        <v>1.6105199778238721E-2</v>
      </c>
      <c r="T133">
        <v>2.4479903662922853E-2</v>
      </c>
      <c r="U133">
        <v>6.4420799112954882E-2</v>
      </c>
      <c r="V133" s="70">
        <v>0.02</v>
      </c>
      <c r="W133">
        <v>10.4890604888918</v>
      </c>
      <c r="X133">
        <v>60.67992842394375</v>
      </c>
      <c r="Y133">
        <v>71.594532228240524</v>
      </c>
      <c r="Z133">
        <v>66.582776866641112</v>
      </c>
      <c r="AA133">
        <v>156.29078642112853</v>
      </c>
      <c r="AB133">
        <v>286.20280332709092</v>
      </c>
      <c r="AC133">
        <v>338.60947882511243</v>
      </c>
      <c r="AD133">
        <v>314.54544117242062</v>
      </c>
      <c r="AF133">
        <v>4852.6543484477133</v>
      </c>
      <c r="AG133">
        <v>8027.8226586912997</v>
      </c>
      <c r="AH133">
        <v>16055.645317382599</v>
      </c>
      <c r="AI133">
        <v>48166.935952147796</v>
      </c>
      <c r="AJ133" t="str">
        <f t="shared" si="4"/>
        <v>No</v>
      </c>
    </row>
    <row r="134" spans="1:36" x14ac:dyDescent="0.25">
      <c r="A134" s="53" t="s">
        <v>488</v>
      </c>
      <c r="D134" t="s">
        <v>260</v>
      </c>
      <c r="H134">
        <f>VLOOKUP($A134,raw[],11,FALSE)</f>
        <v>0.82</v>
      </c>
      <c r="I134" s="70">
        <v>1.2573319999999999</v>
      </c>
      <c r="J134">
        <v>0.35440260000000001</v>
      </c>
      <c r="K134">
        <v>0.40098760754208751</v>
      </c>
      <c r="L134">
        <v>0.46794444444444444</v>
      </c>
      <c r="M134">
        <v>0.53515463917525785</v>
      </c>
      <c r="N134">
        <v>0.60270833333333329</v>
      </c>
      <c r="O134">
        <v>0.67157894736842105</v>
      </c>
      <c r="P134">
        <v>9.7322035328171672E-3</v>
      </c>
      <c r="Q134">
        <v>1.4792949369882093E-2</v>
      </c>
      <c r="R134">
        <v>3.8928814131268669E-2</v>
      </c>
      <c r="S134">
        <v>5.1587484460667221E-3</v>
      </c>
      <c r="T134">
        <v>7.8412976380214175E-3</v>
      </c>
      <c r="U134">
        <v>2.0634993784266888E-2</v>
      </c>
      <c r="V134" s="70">
        <v>0.63</v>
      </c>
      <c r="W134">
        <v>7.8431362586605093</v>
      </c>
      <c r="X134">
        <v>38.554176264192058</v>
      </c>
      <c r="Y134">
        <v>39.330210473512118</v>
      </c>
      <c r="Z134">
        <v>38.973871967865833</v>
      </c>
      <c r="AA134">
        <v>117.87141207522271</v>
      </c>
      <c r="AB134">
        <v>153.8155299874922</v>
      </c>
      <c r="AC134">
        <v>157.3151983451917</v>
      </c>
      <c r="AD134">
        <v>155.70822460890128</v>
      </c>
      <c r="AF134">
        <v>1557.190556219572</v>
      </c>
      <c r="AG134">
        <v>1392.862080438015</v>
      </c>
      <c r="AH134">
        <v>2785.7241608760301</v>
      </c>
      <c r="AI134">
        <v>8357.1724826280897</v>
      </c>
      <c r="AJ134" t="str">
        <f t="shared" si="4"/>
        <v>No</v>
      </c>
    </row>
    <row r="135" spans="1:36" x14ac:dyDescent="0.25">
      <c r="A135" s="55" t="s">
        <v>490</v>
      </c>
      <c r="D135" t="s">
        <v>196</v>
      </c>
      <c r="H135">
        <f>VLOOKUP($A135,raw[],11,FALSE)</f>
        <v>0</v>
      </c>
      <c r="I135" s="70">
        <v>0.91723399999999999</v>
      </c>
      <c r="J135">
        <v>0.35440260000000001</v>
      </c>
      <c r="K135">
        <v>0.40098760754208751</v>
      </c>
      <c r="L135">
        <v>0.46794444444444444</v>
      </c>
      <c r="M135">
        <v>0.53515463917525785</v>
      </c>
      <c r="N135">
        <v>0.60270833333333329</v>
      </c>
      <c r="O135">
        <v>0.67157894736842105</v>
      </c>
      <c r="P135">
        <v>4.0721459204313727E-3</v>
      </c>
      <c r="Q135">
        <v>6.189661799055687E-3</v>
      </c>
      <c r="R135">
        <v>1.6288583681725491E-2</v>
      </c>
      <c r="S135">
        <v>2.1644578655917171E-3</v>
      </c>
      <c r="T135">
        <v>3.2899759556994095E-3</v>
      </c>
      <c r="U135">
        <v>8.6578314623668683E-3</v>
      </c>
      <c r="V135" s="70">
        <v>0.48</v>
      </c>
      <c r="W135">
        <v>8.0165688622754505</v>
      </c>
      <c r="X135">
        <v>39.139320521641359</v>
      </c>
      <c r="Y135">
        <v>40.129636256987467</v>
      </c>
      <c r="Z135">
        <v>39.67490420392447</v>
      </c>
      <c r="AA135">
        <v>119.63317365269462</v>
      </c>
      <c r="AB135">
        <v>157.53419828213109</v>
      </c>
      <c r="AC135">
        <v>162.05236818998077</v>
      </c>
      <c r="AD135">
        <v>159.97772007024156</v>
      </c>
      <c r="AF135">
        <v>249.86233648829773</v>
      </c>
      <c r="AG135">
        <v>379.07262078471149</v>
      </c>
      <c r="AH135">
        <v>758.14524156942298</v>
      </c>
      <c r="AI135">
        <v>2274.4357247082689</v>
      </c>
      <c r="AJ135" t="str">
        <f t="shared" si="4"/>
        <v>Yes</v>
      </c>
    </row>
    <row r="136" spans="1:36" x14ac:dyDescent="0.25">
      <c r="A136" s="53" t="s">
        <v>492</v>
      </c>
      <c r="D136" t="s">
        <v>207</v>
      </c>
      <c r="H136">
        <f>VLOOKUP($A136,raw[],11,FALSE)</f>
        <v>0.94</v>
      </c>
      <c r="I136" s="70">
        <v>2.4734399999999996</v>
      </c>
      <c r="J136">
        <v>0.35440260000000001</v>
      </c>
      <c r="K136">
        <v>0.40098760754208751</v>
      </c>
      <c r="L136">
        <v>0.46794444444444444</v>
      </c>
      <c r="M136">
        <v>0.53515463917525785</v>
      </c>
      <c r="N136">
        <v>0.60270833333333329</v>
      </c>
      <c r="O136">
        <v>0.67157894736842105</v>
      </c>
      <c r="P136">
        <v>3.5141628363319069E-3</v>
      </c>
      <c r="Q136">
        <v>5.3415275112244981E-3</v>
      </c>
      <c r="R136">
        <v>1.4056651345327627E-2</v>
      </c>
      <c r="S136">
        <v>1.8243193259979053E-3</v>
      </c>
      <c r="T136">
        <v>2.7729653755168161E-3</v>
      </c>
      <c r="U136">
        <v>7.2972773039916214E-3</v>
      </c>
      <c r="V136" s="70">
        <v>4.83</v>
      </c>
      <c r="W136">
        <v>7.7977829457364347</v>
      </c>
      <c r="X136">
        <v>37.905315957372409</v>
      </c>
      <c r="Y136">
        <v>38.367245869631759</v>
      </c>
      <c r="Z136">
        <v>38.15513741787673</v>
      </c>
      <c r="AA136">
        <v>117.16457364341086</v>
      </c>
      <c r="AB136">
        <v>150.43880886980941</v>
      </c>
      <c r="AC136">
        <v>152.54889660497656</v>
      </c>
      <c r="AD136">
        <v>151.5799889185605</v>
      </c>
      <c r="AF136">
        <v>531.90116467798396</v>
      </c>
      <c r="AG136">
        <v>492.56621801943447</v>
      </c>
      <c r="AH136">
        <v>985.13243603886895</v>
      </c>
      <c r="AI136">
        <v>2955.3973081166068</v>
      </c>
      <c r="AJ136" t="str">
        <f t="shared" si="4"/>
        <v>No</v>
      </c>
    </row>
    <row r="137" spans="1:36" x14ac:dyDescent="0.25">
      <c r="A137" s="55" t="s">
        <v>494</v>
      </c>
      <c r="D137" t="s">
        <v>207</v>
      </c>
      <c r="H137">
        <f>VLOOKUP($A137,raw[],11,FALSE)</f>
        <v>0</v>
      </c>
      <c r="I137" s="70">
        <v>2.73109</v>
      </c>
      <c r="J137">
        <v>0.35440260000000001</v>
      </c>
      <c r="K137">
        <v>0.40098760754208751</v>
      </c>
      <c r="L137">
        <v>0.46794444444444444</v>
      </c>
      <c r="M137">
        <v>0.53515463917525785</v>
      </c>
      <c r="N137">
        <v>0.60270833333333329</v>
      </c>
      <c r="O137">
        <v>0.67157894736842105</v>
      </c>
      <c r="P137">
        <v>4.0184830234411984E-3</v>
      </c>
      <c r="Q137">
        <v>6.1080941956306208E-3</v>
      </c>
      <c r="R137">
        <v>1.6073932093764794E-2</v>
      </c>
      <c r="S137">
        <v>2.2490922596950739E-3</v>
      </c>
      <c r="T137">
        <v>3.4186202347365117E-3</v>
      </c>
      <c r="U137">
        <v>8.9963690387802955E-3</v>
      </c>
      <c r="V137" s="70">
        <v>4.83</v>
      </c>
      <c r="W137">
        <v>8.0019219132628212</v>
      </c>
      <c r="X137">
        <v>39.586728264144917</v>
      </c>
      <c r="Y137">
        <v>40.817527317083545</v>
      </c>
      <c r="Z137">
        <v>40.252370407751819</v>
      </c>
      <c r="AA137">
        <v>119.83458753935003</v>
      </c>
      <c r="AB137">
        <v>161.42169624364792</v>
      </c>
      <c r="AC137">
        <v>167.85834407959484</v>
      </c>
      <c r="AD137">
        <v>164.90277144673067</v>
      </c>
      <c r="AF137">
        <f>IFERROR(VLOOKUP($A137,[1]!Table16[#Data],5,FALSE),0)</f>
        <v>239.66961881951539</v>
      </c>
      <c r="AG137">
        <f>IFERROR(VLOOKUP($A137,[1]!Table16[#Data],2,FALSE),0)</f>
        <v>607.25491011766997</v>
      </c>
      <c r="AH137">
        <f>IFERROR(VLOOKUP($A137,[1]!Table16[#Data],3,FALSE),0)</f>
        <v>1214.5098202353399</v>
      </c>
      <c r="AI137">
        <f>IFERROR(VLOOKUP($A137,[1]!Table16[#Data],4,FALSE),0)</f>
        <v>3643.5294607060196</v>
      </c>
      <c r="AJ137" t="str">
        <f t="shared" si="4"/>
        <v>Yes</v>
      </c>
    </row>
  </sheetData>
  <pageMargins left="0.7" right="0.7" top="0.75" bottom="0.75" header="0.3" footer="0.3"/>
  <ignoredErrors>
    <ignoredError sqref="AF2:AH116 AI2:AI137" calculatedColumn="1"/>
  </ignoredErrors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16D-E9D0-428B-A4EC-ECC23A60A81D}">
  <dimension ref="A1:AJ8"/>
  <sheetViews>
    <sheetView tabSelected="1" zoomScale="75" zoomScaleNormal="75" workbookViewId="0">
      <selection activeCell="U28" sqref="U28"/>
    </sheetView>
  </sheetViews>
  <sheetFormatPr defaultRowHeight="15" x14ac:dyDescent="0.25"/>
  <cols>
    <col min="1" max="1" width="9.28515625" customWidth="1"/>
    <col min="4" max="4" width="13.7109375" customWidth="1"/>
    <col min="5" max="5" width="13.140625" customWidth="1"/>
    <col min="6" max="6" width="12.42578125" customWidth="1"/>
    <col min="7" max="7" width="10.85546875" customWidth="1"/>
    <col min="8" max="8" width="9.5703125" customWidth="1"/>
    <col min="9" max="9" width="13.140625" customWidth="1"/>
    <col min="10" max="10" width="14.42578125" customWidth="1"/>
    <col min="11" max="12" width="15" customWidth="1"/>
    <col min="13" max="13" width="13.28515625" customWidth="1"/>
    <col min="14" max="15" width="13.85546875" customWidth="1"/>
    <col min="16" max="16" width="14.42578125" customWidth="1"/>
    <col min="17" max="18" width="15" customWidth="1"/>
    <col min="19" max="19" width="13.85546875" customWidth="1"/>
    <col min="20" max="21" width="14.42578125" customWidth="1"/>
    <col min="22" max="22" width="11.28515625" customWidth="1"/>
    <col min="24" max="24" width="10.140625" customWidth="1"/>
    <col min="25" max="25" width="10.28515625" customWidth="1"/>
    <col min="26" max="26" width="11.42578125" customWidth="1"/>
    <col min="27" max="27" width="9.5703125" customWidth="1"/>
    <col min="28" max="28" width="10.7109375" customWidth="1"/>
    <col min="29" max="29" width="10.85546875" customWidth="1"/>
    <col min="30" max="30" width="12" customWidth="1"/>
    <col min="31" max="31" width="9.5703125" customWidth="1"/>
    <col min="32" max="32" width="13.28515625" customWidth="1"/>
    <col min="33" max="33" width="10.28515625" customWidth="1"/>
    <col min="36" max="36" width="13.7109375" customWidth="1"/>
  </cols>
  <sheetData>
    <row r="1" spans="1:36" x14ac:dyDescent="0.25">
      <c r="A1" s="64" t="s">
        <v>144</v>
      </c>
      <c r="B1" s="49" t="s">
        <v>145</v>
      </c>
      <c r="C1" s="49" t="s">
        <v>146</v>
      </c>
      <c r="D1" s="49" t="s">
        <v>147</v>
      </c>
      <c r="E1" s="49" t="s">
        <v>148</v>
      </c>
      <c r="F1" s="49" t="s">
        <v>149</v>
      </c>
      <c r="G1" s="49" t="s">
        <v>150</v>
      </c>
      <c r="H1" s="49" t="s">
        <v>154</v>
      </c>
      <c r="I1" s="50" t="s">
        <v>506</v>
      </c>
      <c r="J1" s="50" t="s">
        <v>507</v>
      </c>
      <c r="K1" s="50" t="s">
        <v>508</v>
      </c>
      <c r="L1" s="50" t="s">
        <v>509</v>
      </c>
      <c r="M1" s="50" t="s">
        <v>510</v>
      </c>
      <c r="N1" s="50" t="s">
        <v>511</v>
      </c>
      <c r="O1" s="50" t="s">
        <v>512</v>
      </c>
      <c r="P1" s="50" t="s">
        <v>513</v>
      </c>
      <c r="Q1" s="50" t="s">
        <v>514</v>
      </c>
      <c r="R1" s="50" t="s">
        <v>515</v>
      </c>
      <c r="S1" s="50" t="s">
        <v>516</v>
      </c>
      <c r="T1" s="50" t="s">
        <v>517</v>
      </c>
      <c r="U1" s="50" t="s">
        <v>518</v>
      </c>
      <c r="V1" s="50" t="s">
        <v>519</v>
      </c>
      <c r="W1" s="50" t="s">
        <v>520</v>
      </c>
      <c r="X1" s="50" t="s">
        <v>521</v>
      </c>
      <c r="Y1" s="50" t="s">
        <v>522</v>
      </c>
      <c r="Z1" s="50" t="s">
        <v>523</v>
      </c>
      <c r="AA1" s="50" t="s">
        <v>524</v>
      </c>
      <c r="AB1" s="50" t="s">
        <v>525</v>
      </c>
      <c r="AC1" s="50" t="s">
        <v>526</v>
      </c>
      <c r="AD1" s="50" t="s">
        <v>527</v>
      </c>
      <c r="AE1" s="50" t="s">
        <v>528</v>
      </c>
      <c r="AF1" s="50" t="s">
        <v>529</v>
      </c>
      <c r="AG1" s="50" t="s">
        <v>530</v>
      </c>
      <c r="AH1" s="50" t="s">
        <v>531</v>
      </c>
      <c r="AI1" s="50" t="s">
        <v>532</v>
      </c>
      <c r="AJ1" s="51" t="s">
        <v>504</v>
      </c>
    </row>
    <row r="2" spans="1:36" x14ac:dyDescent="0.25">
      <c r="A2" t="s">
        <v>207</v>
      </c>
      <c r="I2">
        <v>2.3297180499028216</v>
      </c>
      <c r="J2">
        <v>0.35440260000000001</v>
      </c>
      <c r="K2">
        <v>0.40098760754208751</v>
      </c>
      <c r="L2">
        <v>0.46794444444444444</v>
      </c>
      <c r="M2">
        <v>0.53515463917525785</v>
      </c>
      <c r="N2">
        <v>0.60270833333333329</v>
      </c>
      <c r="O2">
        <v>0.67157894736842105</v>
      </c>
      <c r="P2">
        <v>7.4306936143840553E-3</v>
      </c>
      <c r="Q2">
        <v>1.1294654293863763E-2</v>
      </c>
      <c r="R2">
        <v>2.9722774457536221E-2</v>
      </c>
      <c r="S2">
        <v>3.9264676090663541E-3</v>
      </c>
      <c r="T2">
        <v>5.9682307657808586E-3</v>
      </c>
      <c r="U2">
        <v>1.5705870436265416E-2</v>
      </c>
      <c r="V2">
        <v>3.5940803164860511</v>
      </c>
      <c r="W2">
        <v>8.0019219132628212</v>
      </c>
      <c r="X2">
        <v>39.586728264144917</v>
      </c>
      <c r="Y2">
        <v>40.817527317083545</v>
      </c>
      <c r="Z2">
        <v>40.252370407751819</v>
      </c>
      <c r="AA2">
        <v>119.83458753935003</v>
      </c>
      <c r="AB2">
        <v>161.42169624364792</v>
      </c>
      <c r="AC2">
        <v>167.85834407959484</v>
      </c>
      <c r="AD2">
        <v>164.90277144673067</v>
      </c>
    </row>
    <row r="3" spans="1:36" x14ac:dyDescent="0.25">
      <c r="A3" t="s">
        <v>215</v>
      </c>
      <c r="I3">
        <v>2.6674455884409198</v>
      </c>
      <c r="J3">
        <v>0.35440260000000001</v>
      </c>
      <c r="K3">
        <v>0.40098760754208751</v>
      </c>
      <c r="L3">
        <v>0.46794444444444444</v>
      </c>
      <c r="M3">
        <v>0.53515463917525785</v>
      </c>
      <c r="N3">
        <v>0.60270833333333329</v>
      </c>
      <c r="O3">
        <v>0.67157894736842105</v>
      </c>
      <c r="P3">
        <v>1.4086415554378623E-2</v>
      </c>
      <c r="Q3">
        <v>2.14113516426555E-2</v>
      </c>
      <c r="R3">
        <v>5.634566221751449E-2</v>
      </c>
      <c r="S3">
        <v>7.5595736966320151E-3</v>
      </c>
      <c r="T3">
        <v>1.1490552018880659E-2</v>
      </c>
      <c r="U3">
        <v>3.023829478652806E-2</v>
      </c>
      <c r="V3">
        <v>0.02</v>
      </c>
      <c r="W3">
        <v>9.1783258346342613</v>
      </c>
      <c r="X3">
        <v>50.331084970063586</v>
      </c>
      <c r="Y3">
        <v>56.541669036430285</v>
      </c>
      <c r="Z3">
        <v>53.689900108178044</v>
      </c>
      <c r="AA3">
        <v>137.36934746543545</v>
      </c>
      <c r="AB3">
        <v>226.03829669347306</v>
      </c>
      <c r="AC3">
        <v>256.97939695767519</v>
      </c>
      <c r="AD3">
        <v>242.77189772789524</v>
      </c>
    </row>
    <row r="4" spans="1:36" x14ac:dyDescent="0.25">
      <c r="A4" t="s">
        <v>196</v>
      </c>
      <c r="I4">
        <v>2.4617993340291191</v>
      </c>
      <c r="J4">
        <v>0.35440260000000001</v>
      </c>
      <c r="K4">
        <v>0.40098760754208751</v>
      </c>
      <c r="L4">
        <v>0.46794444444444444</v>
      </c>
      <c r="M4">
        <v>0.53515463917525785</v>
      </c>
      <c r="N4">
        <v>0.60270833333333329</v>
      </c>
      <c r="O4">
        <v>0.67157894736842105</v>
      </c>
      <c r="P4">
        <v>9.0827781157134524E-3</v>
      </c>
      <c r="Q4">
        <v>1.3805822735884448E-2</v>
      </c>
      <c r="R4">
        <v>3.633111246285381E-2</v>
      </c>
      <c r="S4">
        <v>4.8418776332020746E-3</v>
      </c>
      <c r="T4">
        <v>7.3596540024671517E-3</v>
      </c>
      <c r="U4">
        <v>1.9367510532808298E-2</v>
      </c>
      <c r="V4">
        <v>0.49169226437245345</v>
      </c>
      <c r="W4">
        <v>8.362981587165784</v>
      </c>
      <c r="X4">
        <v>43.296947842982554</v>
      </c>
      <c r="Y4">
        <v>46.258018491038726</v>
      </c>
      <c r="Z4">
        <v>44.905306491715322</v>
      </c>
      <c r="AA4">
        <v>125.10133154140887</v>
      </c>
      <c r="AB4">
        <v>183.32559742757255</v>
      </c>
      <c r="AC4">
        <v>198.42130408894653</v>
      </c>
      <c r="AD4">
        <v>191.48967467263284</v>
      </c>
    </row>
    <row r="5" spans="1:36" x14ac:dyDescent="0.25">
      <c r="A5" t="s">
        <v>201</v>
      </c>
      <c r="I5">
        <v>3.7443867834380287</v>
      </c>
      <c r="J5">
        <v>0.35440260000000001</v>
      </c>
      <c r="K5">
        <v>0.40098760754208751</v>
      </c>
      <c r="L5">
        <v>0.46794444444444444</v>
      </c>
      <c r="M5">
        <v>0.53515463917525785</v>
      </c>
      <c r="N5">
        <v>0.60270833333333329</v>
      </c>
      <c r="O5">
        <v>0.67157894736842105</v>
      </c>
      <c r="P5">
        <v>1.2149771045780777E-2</v>
      </c>
      <c r="Q5">
        <v>1.8467651989586782E-2</v>
      </c>
      <c r="R5">
        <v>4.8599084183123108E-2</v>
      </c>
      <c r="S5">
        <v>6.6070323545496645E-3</v>
      </c>
      <c r="T5">
        <v>1.0042689178915491E-2</v>
      </c>
      <c r="U5">
        <v>2.6428129418198658E-2</v>
      </c>
      <c r="V5">
        <v>2.9395498758453673</v>
      </c>
      <c r="W5">
        <v>9.0015708167984823</v>
      </c>
      <c r="X5">
        <v>49.472366474957482</v>
      </c>
      <c r="Y5">
        <v>55.328012386811046</v>
      </c>
      <c r="Z5">
        <v>52.639223556674416</v>
      </c>
      <c r="AA5">
        <v>134.55323066566527</v>
      </c>
      <c r="AB5">
        <v>221.69198571092022</v>
      </c>
      <c r="AC5">
        <v>251.83667338502664</v>
      </c>
      <c r="AD5">
        <v>237.99486998260102</v>
      </c>
    </row>
    <row r="6" spans="1:36" x14ac:dyDescent="0.25">
      <c r="A6" t="s">
        <v>225</v>
      </c>
      <c r="I6">
        <v>1.2333678388982696</v>
      </c>
      <c r="J6">
        <v>0.35440260000000001</v>
      </c>
      <c r="K6">
        <v>0.40098760754208751</v>
      </c>
      <c r="L6">
        <v>0.46794444444444444</v>
      </c>
      <c r="M6">
        <v>0.53515463917525785</v>
      </c>
      <c r="N6">
        <v>0.60270833333333329</v>
      </c>
      <c r="O6">
        <v>0.67157894736842105</v>
      </c>
      <c r="P6">
        <v>7.7726850327374105E-3</v>
      </c>
      <c r="Q6">
        <v>1.1814481249760863E-2</v>
      </c>
      <c r="R6">
        <v>3.1090740130949642E-2</v>
      </c>
      <c r="S6">
        <v>4.1951766104861973E-3</v>
      </c>
      <c r="T6">
        <v>6.3766684479390195E-3</v>
      </c>
      <c r="U6">
        <v>1.6780706441944789E-2</v>
      </c>
      <c r="V6">
        <v>1.5485158196227189</v>
      </c>
      <c r="W6">
        <v>7.9338672007268993</v>
      </c>
      <c r="X6">
        <v>39.1706580270655</v>
      </c>
      <c r="Y6">
        <v>40.22032716302116</v>
      </c>
      <c r="Z6">
        <v>39.738341282969316</v>
      </c>
      <c r="AA6">
        <v>118.95250020475962</v>
      </c>
      <c r="AB6">
        <v>157.48588624128527</v>
      </c>
      <c r="AC6">
        <v>162.33317815976801</v>
      </c>
      <c r="AD6">
        <v>160.10740416949915</v>
      </c>
    </row>
    <row r="7" spans="1:36" x14ac:dyDescent="0.25">
      <c r="A7" t="s">
        <v>260</v>
      </c>
      <c r="I7">
        <v>2.1067122412429584</v>
      </c>
      <c r="J7">
        <v>0.35440260000000001</v>
      </c>
      <c r="K7">
        <v>0.40098760754208751</v>
      </c>
      <c r="L7">
        <v>0.46794444444444444</v>
      </c>
      <c r="M7">
        <v>0.53515463917525785</v>
      </c>
      <c r="N7">
        <v>0.60270833333333329</v>
      </c>
      <c r="O7">
        <v>0.67157894736842105</v>
      </c>
      <c r="P7">
        <v>1.7381396203296113E-2</v>
      </c>
      <c r="Q7">
        <v>2.6419722229010088E-2</v>
      </c>
      <c r="R7">
        <v>6.9525584813184452E-2</v>
      </c>
      <c r="S7">
        <v>9.3870530966225635E-3</v>
      </c>
      <c r="T7">
        <v>1.4268320706866297E-2</v>
      </c>
      <c r="U7">
        <v>3.7548212386490254E-2</v>
      </c>
      <c r="V7">
        <v>0.64221556555115278</v>
      </c>
      <c r="W7">
        <v>8.5266678480611002</v>
      </c>
      <c r="X7">
        <v>43.895753407346618</v>
      </c>
      <c r="Y7">
        <v>47.096137523358543</v>
      </c>
      <c r="Z7">
        <v>45.626588784788105</v>
      </c>
      <c r="AA7">
        <v>126.97030927622939</v>
      </c>
      <c r="AB7">
        <v>184.47073962327983</v>
      </c>
      <c r="AC7">
        <v>199.1897151854279</v>
      </c>
      <c r="AD7">
        <v>192.43107272679777</v>
      </c>
    </row>
    <row r="8" spans="1:36" x14ac:dyDescent="0.25">
      <c r="A8" t="s">
        <v>505</v>
      </c>
      <c r="I8">
        <v>1.9584185329258059</v>
      </c>
      <c r="J8">
        <v>0.35440260000000001</v>
      </c>
      <c r="K8">
        <v>0.40098760754208751</v>
      </c>
      <c r="L8">
        <v>0.46794444444444444</v>
      </c>
      <c r="M8">
        <v>0.53515463917525785</v>
      </c>
      <c r="N8">
        <v>0.60270833333333329</v>
      </c>
      <c r="O8">
        <v>0.67157894736842105</v>
      </c>
      <c r="P8">
        <v>1.1598953378947726E-2</v>
      </c>
      <c r="Q8">
        <v>1.7630409136000547E-2</v>
      </c>
      <c r="R8">
        <v>4.6395813515790904E-2</v>
      </c>
      <c r="S8">
        <v>6.2495252565166349E-3</v>
      </c>
      <c r="T8">
        <v>9.499278389905285E-3</v>
      </c>
      <c r="U8">
        <v>2.499810102606654E-2</v>
      </c>
      <c r="V8">
        <v>1.1795178100395076</v>
      </c>
      <c r="W8">
        <v>8.3463983889411519</v>
      </c>
      <c r="X8">
        <v>42.744437982703481</v>
      </c>
      <c r="Y8">
        <v>45.438563010626822</v>
      </c>
      <c r="Z8">
        <v>44.201944798679186</v>
      </c>
      <c r="AA8">
        <v>124.8044740997409</v>
      </c>
      <c r="AB8">
        <v>178.9897964640019</v>
      </c>
      <c r="AC8">
        <v>191.98337418793596</v>
      </c>
      <c r="AD8">
        <v>186.01699794634956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43C2-9981-4F61-A316-2449A5954DBC}">
  <dimension ref="A1:AX413"/>
  <sheetViews>
    <sheetView workbookViewId="0">
      <selection activeCell="K291" sqref="K291"/>
    </sheetView>
  </sheetViews>
  <sheetFormatPr defaultRowHeight="15" x14ac:dyDescent="0.25"/>
  <cols>
    <col min="1" max="1" width="39.85546875" customWidth="1"/>
    <col min="3" max="3" width="14.28515625" customWidth="1"/>
    <col min="4" max="4" width="13.7109375" customWidth="1"/>
    <col min="5" max="5" width="32.28515625" customWidth="1"/>
    <col min="6" max="6" width="37" customWidth="1"/>
    <col min="7" max="7" width="32.5703125" customWidth="1"/>
    <col min="8" max="8" width="18.85546875" customWidth="1"/>
    <col min="9" max="9" width="25.42578125" customWidth="1"/>
    <col min="10" max="10" width="11.85546875" customWidth="1"/>
    <col min="11" max="11" width="14" customWidth="1"/>
    <col min="12" max="12" width="11.7109375" customWidth="1"/>
    <col min="13" max="13" width="13.7109375" customWidth="1"/>
    <col min="14" max="14" width="13.85546875" customWidth="1"/>
    <col min="15" max="15" width="11.28515625" customWidth="1"/>
    <col min="16" max="16" width="10.5703125" customWidth="1"/>
    <col min="17" max="17" width="11" customWidth="1"/>
    <col min="22" max="22" width="10.85546875" customWidth="1"/>
    <col min="23" max="23" width="12.140625" customWidth="1"/>
    <col min="24" max="24" width="13.28515625" customWidth="1"/>
    <col min="25" max="25" width="12" customWidth="1"/>
    <col min="26" max="26" width="10.28515625" customWidth="1"/>
    <col min="27" max="27" width="9.7109375" customWidth="1"/>
    <col min="28" max="28" width="11.5703125" customWidth="1"/>
    <col min="32" max="48" width="9.85546875" customWidth="1"/>
  </cols>
  <sheetData>
    <row r="1" spans="1:50" x14ac:dyDescent="0.25">
      <c r="A1" s="59" t="s">
        <v>144</v>
      </c>
      <c r="B1" s="59" t="s">
        <v>145</v>
      </c>
      <c r="C1" s="59" t="s">
        <v>146</v>
      </c>
      <c r="D1" s="59" t="s">
        <v>147</v>
      </c>
      <c r="E1" s="59" t="s">
        <v>148</v>
      </c>
      <c r="F1" s="59" t="s">
        <v>149</v>
      </c>
      <c r="G1" s="59" t="s">
        <v>150</v>
      </c>
      <c r="H1" s="60" t="s">
        <v>151</v>
      </c>
      <c r="I1" s="60" t="s">
        <v>152</v>
      </c>
      <c r="J1" s="50" t="s">
        <v>153</v>
      </c>
      <c r="K1" s="61" t="s">
        <v>154</v>
      </c>
      <c r="L1" s="61" t="s">
        <v>155</v>
      </c>
      <c r="M1" s="58" t="s">
        <v>156</v>
      </c>
      <c r="N1" s="58" t="s">
        <v>157</v>
      </c>
      <c r="O1" s="58" t="s">
        <v>158</v>
      </c>
      <c r="P1" s="58" t="s">
        <v>159</v>
      </c>
      <c r="Q1" s="58" t="s">
        <v>160</v>
      </c>
      <c r="R1" s="58" t="s">
        <v>161</v>
      </c>
      <c r="S1" s="58" t="s">
        <v>162</v>
      </c>
      <c r="T1" s="58" t="s">
        <v>163</v>
      </c>
      <c r="U1" s="58" t="s">
        <v>164</v>
      </c>
      <c r="V1" s="58" t="s">
        <v>165</v>
      </c>
      <c r="W1" s="58" t="s">
        <v>166</v>
      </c>
      <c r="X1" s="58" t="s">
        <v>167</v>
      </c>
      <c r="Y1" s="58" t="s">
        <v>168</v>
      </c>
      <c r="Z1" s="58" t="s">
        <v>169</v>
      </c>
      <c r="AA1" s="58" t="s">
        <v>170</v>
      </c>
      <c r="AB1" s="58" t="s">
        <v>171</v>
      </c>
      <c r="AC1" s="49" t="s">
        <v>172</v>
      </c>
      <c r="AD1" s="49" t="s">
        <v>173</v>
      </c>
      <c r="AE1" s="49" t="s">
        <v>174</v>
      </c>
      <c r="AF1" s="49" t="s">
        <v>175</v>
      </c>
      <c r="AG1" s="49" t="s">
        <v>176</v>
      </c>
      <c r="AH1" s="49" t="s">
        <v>177</v>
      </c>
      <c r="AI1" s="49" t="s">
        <v>178</v>
      </c>
      <c r="AJ1" s="49" t="s">
        <v>179</v>
      </c>
      <c r="AK1" s="49" t="s">
        <v>180</v>
      </c>
      <c r="AL1" s="49" t="s">
        <v>181</v>
      </c>
      <c r="AM1" s="49" t="s">
        <v>182</v>
      </c>
      <c r="AN1" s="49" t="s">
        <v>183</v>
      </c>
      <c r="AO1" s="49" t="s">
        <v>184</v>
      </c>
      <c r="AP1" s="49" t="s">
        <v>185</v>
      </c>
      <c r="AQ1" s="49" t="s">
        <v>186</v>
      </c>
      <c r="AR1" s="49" t="s">
        <v>187</v>
      </c>
      <c r="AS1" s="49" t="s">
        <v>188</v>
      </c>
      <c r="AT1" s="49" t="s">
        <v>189</v>
      </c>
      <c r="AU1" s="49" t="s">
        <v>190</v>
      </c>
      <c r="AV1" s="49" t="s">
        <v>191</v>
      </c>
      <c r="AW1" s="49" t="s">
        <v>192</v>
      </c>
      <c r="AX1" s="51" t="s">
        <v>193</v>
      </c>
    </row>
    <row r="2" spans="1:50" x14ac:dyDescent="0.25">
      <c r="A2" t="s">
        <v>194</v>
      </c>
      <c r="B2" t="s">
        <v>195</v>
      </c>
      <c r="C2">
        <v>4</v>
      </c>
      <c r="D2" t="s">
        <v>196</v>
      </c>
      <c r="E2" t="s">
        <v>197</v>
      </c>
      <c r="F2" t="s">
        <v>197</v>
      </c>
      <c r="G2" t="s">
        <v>198</v>
      </c>
      <c r="H2" s="52">
        <v>38928341</v>
      </c>
      <c r="I2" s="52">
        <v>1279029.5718960001</v>
      </c>
      <c r="J2">
        <v>0.56299999999999994</v>
      </c>
      <c r="K2">
        <v>0.38</v>
      </c>
      <c r="L2">
        <v>0.7</v>
      </c>
      <c r="M2">
        <v>1.4999999999999999E-2</v>
      </c>
      <c r="N2">
        <v>0.26918419033691254</v>
      </c>
      <c r="O2">
        <v>0.8</v>
      </c>
      <c r="P2">
        <f>VLOOKUP($F2,[2]!hbe_risk[#All],5,FALSE)</f>
        <v>0.17499999999999999</v>
      </c>
      <c r="Q2">
        <v>2.4239947368421051</v>
      </c>
      <c r="R2">
        <v>24.749374736842107</v>
      </c>
      <c r="S2">
        <v>54.494676354578331</v>
      </c>
      <c r="T2">
        <v>54.768077486715725</v>
      </c>
      <c r="U2">
        <v>54.642537465801951</v>
      </c>
      <c r="V2">
        <v>1.1833275212225594</v>
      </c>
      <c r="W2">
        <v>1.6633275212225593</v>
      </c>
      <c r="X2">
        <v>0.77734835710148453</v>
      </c>
      <c r="Y2">
        <v>1.2573483571014845</v>
      </c>
      <c r="Z2">
        <v>1.2551924305751712</v>
      </c>
      <c r="AA2">
        <v>1.3868278454463139</v>
      </c>
      <c r="AB2">
        <v>1.8668278454463139</v>
      </c>
      <c r="AC2">
        <v>5.1705920000000044E-2</v>
      </c>
      <c r="AD2">
        <v>4.2606139648156119E-3</v>
      </c>
      <c r="AE2">
        <v>1.3223737793075733E-3</v>
      </c>
      <c r="AF2">
        <v>1.0403429192195591E-3</v>
      </c>
      <c r="AG2">
        <v>1.6776300094756157E-3</v>
      </c>
      <c r="AH2">
        <v>2.3376621044886147E-3</v>
      </c>
      <c r="AI2">
        <v>2.5459831968737906E-3</v>
      </c>
      <c r="AJ2">
        <v>2.9144424789079464E-3</v>
      </c>
      <c r="AK2">
        <v>3.609036825722695E-3</v>
      </c>
      <c r="AL2">
        <v>4.7646755307516097E-3</v>
      </c>
      <c r="AM2">
        <v>6.6693979477904005E-3</v>
      </c>
      <c r="AN2">
        <v>9.7111120253384389E-3</v>
      </c>
      <c r="AO2">
        <v>1.4319291152050998E-2</v>
      </c>
      <c r="AP2">
        <v>2.1576406530464876E-2</v>
      </c>
      <c r="AQ2">
        <v>3.2497417745205051E-2</v>
      </c>
      <c r="AR2">
        <v>4.9541629377470205E-2</v>
      </c>
      <c r="AS2">
        <v>7.3784124546607335E-2</v>
      </c>
      <c r="AT2">
        <v>0.10484693966590136</v>
      </c>
      <c r="AU2">
        <v>0.13730355211350781</v>
      </c>
      <c r="AV2">
        <v>0.16337379458024129</v>
      </c>
      <c r="AW2">
        <v>0.18004602647935439</v>
      </c>
      <c r="AX2">
        <v>64.278999999999996</v>
      </c>
    </row>
    <row r="3" spans="1:50" x14ac:dyDescent="0.25">
      <c r="A3" t="s">
        <v>199</v>
      </c>
      <c r="B3" t="s">
        <v>200</v>
      </c>
      <c r="C3">
        <v>8</v>
      </c>
      <c r="D3" t="s">
        <v>201</v>
      </c>
      <c r="E3" t="s">
        <v>202</v>
      </c>
      <c r="F3" t="s">
        <v>203</v>
      </c>
      <c r="G3" t="s">
        <v>204</v>
      </c>
      <c r="H3" s="52">
        <v>2877800</v>
      </c>
      <c r="I3" s="52">
        <v>33940.773200000003</v>
      </c>
      <c r="J3">
        <v>0.98599999999999999</v>
      </c>
      <c r="K3">
        <v>0.99</v>
      </c>
      <c r="L3">
        <v>0.98</v>
      </c>
      <c r="M3">
        <v>7.4900000000000008E-2</v>
      </c>
      <c r="N3">
        <v>0.30532311464421369</v>
      </c>
      <c r="O3">
        <v>0.8</v>
      </c>
      <c r="P3">
        <f>VLOOKUP($F3,[2]!hbe_risk[#All],5,FALSE)</f>
        <v>0.17499999999999999</v>
      </c>
      <c r="Q3">
        <v>8.3499379127907005</v>
      </c>
      <c r="R3">
        <v>30.675317912790703</v>
      </c>
      <c r="S3">
        <v>80.265752401341132</v>
      </c>
      <c r="T3">
        <v>90.867851582571802</v>
      </c>
      <c r="U3">
        <v>85.999591738378115</v>
      </c>
      <c r="V3">
        <v>7.0995100654434689</v>
      </c>
      <c r="W3">
        <v>11.169510065443468</v>
      </c>
      <c r="X3">
        <v>6.6822875457658242</v>
      </c>
      <c r="Y3">
        <v>10.752287545765824</v>
      </c>
      <c r="Z3">
        <v>10.74598097654116</v>
      </c>
      <c r="AA3">
        <v>7.3070188903439135</v>
      </c>
      <c r="AB3">
        <v>11.377018890343914</v>
      </c>
      <c r="AC3">
        <v>8.0318399999999377E-3</v>
      </c>
      <c r="AD3">
        <v>8.4250436022062644E-4</v>
      </c>
      <c r="AE3">
        <v>2.2317860981916986E-4</v>
      </c>
      <c r="AF3">
        <v>2.6798997624367677E-4</v>
      </c>
      <c r="AG3">
        <v>3.7176075192468263E-4</v>
      </c>
      <c r="AH3">
        <v>4.2405787776233654E-4</v>
      </c>
      <c r="AI3">
        <v>4.8909551098896039E-4</v>
      </c>
      <c r="AJ3">
        <v>6.2990804911251211E-4</v>
      </c>
      <c r="AK3">
        <v>1.0313924221536234E-3</v>
      </c>
      <c r="AL3">
        <v>1.3959762528935795E-3</v>
      </c>
      <c r="AM3">
        <v>2.1704545902039244E-3</v>
      </c>
      <c r="AN3">
        <v>3.3020118804220071E-3</v>
      </c>
      <c r="AO3">
        <v>5.0602741383161285E-3</v>
      </c>
      <c r="AP3">
        <v>7.866762211831288E-3</v>
      </c>
      <c r="AQ3">
        <v>1.3123521533742875E-2</v>
      </c>
      <c r="AR3">
        <v>2.3054826475283081E-2</v>
      </c>
      <c r="AS3">
        <v>4.1927826476598151E-2</v>
      </c>
      <c r="AT3">
        <v>7.6053886195852127E-2</v>
      </c>
      <c r="AU3">
        <v>0.11294501020573071</v>
      </c>
      <c r="AV3">
        <v>0.15012019915822183</v>
      </c>
      <c r="AW3">
        <v>0.177809734375277</v>
      </c>
      <c r="AX3">
        <v>78.376999999999995</v>
      </c>
    </row>
    <row r="4" spans="1:50" x14ac:dyDescent="0.25">
      <c r="A4" t="s">
        <v>205</v>
      </c>
      <c r="B4" t="s">
        <v>206</v>
      </c>
      <c r="C4">
        <v>12</v>
      </c>
      <c r="D4" t="s">
        <v>207</v>
      </c>
      <c r="E4" t="s">
        <v>197</v>
      </c>
      <c r="F4" t="s">
        <v>197</v>
      </c>
      <c r="G4" t="s">
        <v>204</v>
      </c>
      <c r="H4" s="52">
        <v>43851043</v>
      </c>
      <c r="I4" s="52">
        <v>1082682.2516699999</v>
      </c>
      <c r="J4">
        <v>0.96799999999999997</v>
      </c>
      <c r="K4">
        <v>0.99</v>
      </c>
      <c r="L4">
        <v>0.91</v>
      </c>
      <c r="M4">
        <v>2.2700000000000001E-2</v>
      </c>
      <c r="N4">
        <v>0.23968205779100432</v>
      </c>
      <c r="O4">
        <v>0.8</v>
      </c>
      <c r="P4">
        <f>VLOOKUP($F4,[2]!hbe_risk[#All],5,FALSE)</f>
        <v>0.17499999999999999</v>
      </c>
      <c r="Q4">
        <v>6.7915806639624297</v>
      </c>
      <c r="R4">
        <v>29.116960663962431</v>
      </c>
      <c r="S4">
        <v>73.303199413317202</v>
      </c>
      <c r="T4">
        <v>81.092603595138769</v>
      </c>
      <c r="U4">
        <v>77.515873841875475</v>
      </c>
      <c r="V4">
        <v>3.3459761811579432</v>
      </c>
      <c r="W4">
        <v>3.8259761811579431</v>
      </c>
      <c r="X4">
        <v>2.9244179759310018</v>
      </c>
      <c r="Y4">
        <v>3.4044179759310018</v>
      </c>
      <c r="Z4">
        <v>3.3956001934754427</v>
      </c>
      <c r="AA4">
        <v>3.5550307722107459</v>
      </c>
      <c r="AB4">
        <v>4.0350307722107459</v>
      </c>
      <c r="AC4">
        <v>2.1249119999999965E-2</v>
      </c>
      <c r="AD4">
        <v>8.7360585565963197E-4</v>
      </c>
      <c r="AE4">
        <v>4.4564371401777575E-4</v>
      </c>
      <c r="AF4">
        <v>3.9593798109506111E-4</v>
      </c>
      <c r="AG4">
        <v>5.6704949804367783E-4</v>
      </c>
      <c r="AH4">
        <v>7.3783872027635298E-4</v>
      </c>
      <c r="AI4">
        <v>8.7070601082287142E-4</v>
      </c>
      <c r="AJ4">
        <v>1.028566990157689E-3</v>
      </c>
      <c r="AK4">
        <v>1.3809450743979008E-3</v>
      </c>
      <c r="AL4">
        <v>1.8717658959456205E-3</v>
      </c>
      <c r="AM4">
        <v>2.736853494921429E-3</v>
      </c>
      <c r="AN4">
        <v>4.0457467589482864E-3</v>
      </c>
      <c r="AO4">
        <v>6.1231225039840784E-3</v>
      </c>
      <c r="AP4">
        <v>9.7041589296345092E-3</v>
      </c>
      <c r="AQ4">
        <v>1.4742220491101176E-2</v>
      </c>
      <c r="AR4">
        <v>2.4022125767238396E-2</v>
      </c>
      <c r="AS4">
        <v>4.0621677612523242E-2</v>
      </c>
      <c r="AT4">
        <v>6.7112669233193367E-2</v>
      </c>
      <c r="AU4">
        <v>0.1009025873396231</v>
      </c>
      <c r="AV4">
        <v>0.13501033306710375</v>
      </c>
      <c r="AW4">
        <v>0.16275439500847341</v>
      </c>
      <c r="AX4">
        <v>76.593000000000004</v>
      </c>
    </row>
    <row r="5" spans="1:50" x14ac:dyDescent="0.25">
      <c r="A5" t="s">
        <v>208</v>
      </c>
      <c r="B5" t="s">
        <v>209</v>
      </c>
      <c r="C5">
        <v>24</v>
      </c>
      <c r="D5" t="s">
        <v>207</v>
      </c>
      <c r="E5" t="s">
        <v>210</v>
      </c>
      <c r="F5" t="s">
        <v>211</v>
      </c>
      <c r="G5" t="s">
        <v>212</v>
      </c>
      <c r="H5" s="52">
        <v>32866267.999999996</v>
      </c>
      <c r="I5" s="52">
        <v>1344986.2853639999</v>
      </c>
      <c r="J5">
        <v>0.45600000000000002</v>
      </c>
      <c r="K5">
        <v>0</v>
      </c>
      <c r="L5">
        <v>0.47</v>
      </c>
      <c r="M5">
        <v>0.10199999999999999</v>
      </c>
      <c r="N5">
        <v>0.29386253285476716</v>
      </c>
      <c r="O5">
        <v>0.38300000000000001</v>
      </c>
      <c r="P5">
        <f>VLOOKUP($F5,[2]!hbe_risk[#All],5,FALSE)</f>
        <v>4.8000000000000001E-2</v>
      </c>
      <c r="Q5">
        <v>8.0540221373545311</v>
      </c>
      <c r="R5">
        <v>30.379402137354532</v>
      </c>
      <c r="S5">
        <v>76.067651949095165</v>
      </c>
      <c r="T5">
        <v>84.638800391878419</v>
      </c>
      <c r="U5">
        <v>80.70311019795011</v>
      </c>
      <c r="V5">
        <v>1.5031774349685048</v>
      </c>
      <c r="W5">
        <v>6.3331774349685048</v>
      </c>
      <c r="X5">
        <v>1.0915262828006638</v>
      </c>
      <c r="Y5">
        <v>5.9215262828006638</v>
      </c>
      <c r="Z5">
        <v>5.9171295808133353</v>
      </c>
      <c r="AA5">
        <v>1.7086999462350192</v>
      </c>
      <c r="AB5">
        <v>6.5386999462350195</v>
      </c>
      <c r="AC5">
        <v>6.1459419999999952E-2</v>
      </c>
      <c r="AD5">
        <v>5.175743173513085E-3</v>
      </c>
      <c r="AE5">
        <v>1.908115459520635E-3</v>
      </c>
      <c r="AF5">
        <v>1.391416817844411E-3</v>
      </c>
      <c r="AG5">
        <v>2.337373534282608E-3</v>
      </c>
      <c r="AH5">
        <v>3.2551495573046388E-3</v>
      </c>
      <c r="AI5">
        <v>3.588621098633621E-3</v>
      </c>
      <c r="AJ5">
        <v>4.1407403730012613E-3</v>
      </c>
      <c r="AK5">
        <v>5.1387338118963032E-3</v>
      </c>
      <c r="AL5">
        <v>6.5956752145436654E-3</v>
      </c>
      <c r="AM5">
        <v>8.8134475201013356E-3</v>
      </c>
      <c r="AN5">
        <v>1.2337852300670162E-2</v>
      </c>
      <c r="AO5">
        <v>1.7387588593789836E-2</v>
      </c>
      <c r="AP5">
        <v>2.5639022161472846E-2</v>
      </c>
      <c r="AQ5">
        <v>3.7598293909545992E-2</v>
      </c>
      <c r="AR5">
        <v>5.5559489413917834E-2</v>
      </c>
      <c r="AS5">
        <v>7.9818388110813751E-2</v>
      </c>
      <c r="AT5">
        <v>0.10882136488375105</v>
      </c>
      <c r="AU5">
        <v>0.13596093200907966</v>
      </c>
      <c r="AV5">
        <v>0.15990749660732004</v>
      </c>
      <c r="AW5">
        <v>0.17798561198194363</v>
      </c>
      <c r="AX5">
        <v>60.54</v>
      </c>
    </row>
    <row r="6" spans="1:50" x14ac:dyDescent="0.25">
      <c r="A6" t="s">
        <v>213</v>
      </c>
      <c r="B6" t="s">
        <v>214</v>
      </c>
      <c r="C6">
        <v>32</v>
      </c>
      <c r="D6" t="s">
        <v>215</v>
      </c>
      <c r="E6" t="s">
        <v>216</v>
      </c>
      <c r="F6" t="s">
        <v>217</v>
      </c>
      <c r="G6" t="s">
        <v>204</v>
      </c>
      <c r="H6" s="52">
        <v>45195777</v>
      </c>
      <c r="I6" s="52">
        <v>773390.13602400001</v>
      </c>
      <c r="J6">
        <v>0.99299999999999999</v>
      </c>
      <c r="K6">
        <v>0.72</v>
      </c>
      <c r="L6">
        <v>0.74</v>
      </c>
      <c r="M6">
        <v>2.8000000000000004E-3</v>
      </c>
      <c r="N6">
        <v>0.32111653802265411</v>
      </c>
      <c r="O6">
        <v>0.8</v>
      </c>
      <c r="P6">
        <f>VLOOKUP($F6,[2]!hbe_risk[#All],5,FALSE)</f>
        <v>0.17499999999999999</v>
      </c>
      <c r="Q6">
        <v>16.189851234166802</v>
      </c>
      <c r="R6">
        <v>38.515231234166805</v>
      </c>
      <c r="S6">
        <v>124.22914307603131</v>
      </c>
      <c r="T6">
        <v>153.63224966267785</v>
      </c>
      <c r="U6">
        <v>140.13096462058655</v>
      </c>
      <c r="V6">
        <v>3.7320558862484297</v>
      </c>
      <c r="W6">
        <v>3.7520558862484297</v>
      </c>
      <c r="X6">
        <v>3.3024900103647581</v>
      </c>
      <c r="Y6">
        <v>3.3224900103647581</v>
      </c>
      <c r="Z6">
        <v>3.3103883542590724</v>
      </c>
      <c r="AA6">
        <v>3.9439653859701531</v>
      </c>
      <c r="AB6">
        <v>3.9639653859701531</v>
      </c>
      <c r="AC6">
        <v>1.0225190000000002E-2</v>
      </c>
      <c r="AD6">
        <v>4.1349304494828876E-4</v>
      </c>
      <c r="AE6">
        <v>1.8230049403534799E-4</v>
      </c>
      <c r="AF6">
        <v>2.3865392573492675E-4</v>
      </c>
      <c r="AG6">
        <v>7.4298392402514536E-4</v>
      </c>
      <c r="AH6">
        <v>1.0220930382760516E-3</v>
      </c>
      <c r="AI6">
        <v>1.0279796384069062E-3</v>
      </c>
      <c r="AJ6">
        <v>1.1651318209136255E-3</v>
      </c>
      <c r="AK6">
        <v>1.4105183290987842E-3</v>
      </c>
      <c r="AL6">
        <v>1.9883118699651511E-3</v>
      </c>
      <c r="AM6">
        <v>3.1481691974343147E-3</v>
      </c>
      <c r="AN6">
        <v>5.078685662527325E-3</v>
      </c>
      <c r="AO6">
        <v>8.3544362477530054E-3</v>
      </c>
      <c r="AP6">
        <v>1.2550556467869704E-2</v>
      </c>
      <c r="AQ6">
        <v>1.8900764978139851E-2</v>
      </c>
      <c r="AR6">
        <v>2.7591517362266494E-2</v>
      </c>
      <c r="AS6">
        <v>4.1750753259783509E-2</v>
      </c>
      <c r="AT6">
        <v>6.4603599400937683E-2</v>
      </c>
      <c r="AU6">
        <v>9.5142112696072714E-2</v>
      </c>
      <c r="AV6">
        <v>0.12948673666319993</v>
      </c>
      <c r="AW6">
        <v>0.16126569820237008</v>
      </c>
      <c r="AX6">
        <v>76.447999999999993</v>
      </c>
    </row>
    <row r="7" spans="1:50" x14ac:dyDescent="0.25">
      <c r="A7" t="s">
        <v>218</v>
      </c>
      <c r="B7" t="s">
        <v>219</v>
      </c>
      <c r="C7">
        <v>51</v>
      </c>
      <c r="D7" t="s">
        <v>201</v>
      </c>
      <c r="E7" t="s">
        <v>220</v>
      </c>
      <c r="F7" t="s">
        <v>203</v>
      </c>
      <c r="G7" t="s">
        <v>204</v>
      </c>
      <c r="H7" s="52">
        <v>2963234</v>
      </c>
      <c r="I7" s="52">
        <v>41968.283142</v>
      </c>
      <c r="J7">
        <v>0.99299999999999999</v>
      </c>
      <c r="K7">
        <v>0.97</v>
      </c>
      <c r="L7">
        <v>0.92</v>
      </c>
      <c r="M7">
        <v>1.8000000000000002E-2</v>
      </c>
      <c r="N7">
        <v>0.29983118977846629</v>
      </c>
      <c r="O7">
        <v>0.8</v>
      </c>
      <c r="P7">
        <f>VLOOKUP($F7,[2]!hbe_risk[#All],5,FALSE)</f>
        <v>0.17499999999999999</v>
      </c>
      <c r="Q7">
        <v>6.9121984019370499</v>
      </c>
      <c r="R7">
        <v>29.237578401937053</v>
      </c>
      <c r="S7">
        <v>71.928914546886162</v>
      </c>
      <c r="T7">
        <v>78.940274171675966</v>
      </c>
      <c r="U7">
        <v>75.720806033234823</v>
      </c>
      <c r="V7">
        <v>5.435440044507156</v>
      </c>
      <c r="W7">
        <v>9.5054400445071572</v>
      </c>
      <c r="X7">
        <v>5.0207712801808642</v>
      </c>
      <c r="Y7">
        <v>9.0907712801808636</v>
      </c>
      <c r="Z7">
        <v>9.0852203608909239</v>
      </c>
      <c r="AA7">
        <v>5.6420384001084232</v>
      </c>
      <c r="AB7">
        <v>9.7120384001084226</v>
      </c>
      <c r="AC7">
        <v>1.076725999999995E-2</v>
      </c>
      <c r="AD7">
        <v>6.0513059848790187E-4</v>
      </c>
      <c r="AE7">
        <v>1.93924378369244E-4</v>
      </c>
      <c r="AF7">
        <v>2.4832398200589723E-4</v>
      </c>
      <c r="AG7">
        <v>6.2989832208936759E-4</v>
      </c>
      <c r="AH7">
        <v>6.1722805549911967E-4</v>
      </c>
      <c r="AI7">
        <v>5.8384698125939964E-4</v>
      </c>
      <c r="AJ7">
        <v>7.6881496834193684E-4</v>
      </c>
      <c r="AK7">
        <v>1.1561838268472774E-3</v>
      </c>
      <c r="AL7">
        <v>2.1751643185807753E-3</v>
      </c>
      <c r="AM7">
        <v>3.6112755210226531E-3</v>
      </c>
      <c r="AN7">
        <v>5.9387526153959792E-3</v>
      </c>
      <c r="AO7">
        <v>8.9263102282409693E-3</v>
      </c>
      <c r="AP7">
        <v>1.3903104545352291E-2</v>
      </c>
      <c r="AQ7">
        <v>2.0983052565945907E-2</v>
      </c>
      <c r="AR7">
        <v>3.3401499418340398E-2</v>
      </c>
      <c r="AS7">
        <v>5.465880189347537E-2</v>
      </c>
      <c r="AT7">
        <v>8.2918013327087897E-2</v>
      </c>
      <c r="AU7">
        <v>0.11608841574202325</v>
      </c>
      <c r="AV7">
        <v>0.14919485486959652</v>
      </c>
      <c r="AW7">
        <v>0.17055508516504275</v>
      </c>
      <c r="AX7">
        <v>74.866</v>
      </c>
    </row>
    <row r="8" spans="1:50" x14ac:dyDescent="0.25">
      <c r="A8" t="s">
        <v>221</v>
      </c>
      <c r="B8" t="s">
        <v>222</v>
      </c>
      <c r="C8">
        <v>31</v>
      </c>
      <c r="D8" t="s">
        <v>201</v>
      </c>
      <c r="E8" t="s">
        <v>220</v>
      </c>
      <c r="F8" t="s">
        <v>203</v>
      </c>
      <c r="G8" t="s">
        <v>204</v>
      </c>
      <c r="H8" s="52">
        <v>10139175</v>
      </c>
      <c r="I8" s="52">
        <v>173217.66569999998</v>
      </c>
      <c r="J8">
        <v>0.95700000000000007</v>
      </c>
      <c r="K8">
        <v>0.98</v>
      </c>
      <c r="L8">
        <v>0.79</v>
      </c>
      <c r="M8">
        <v>2.0400000000000001E-2</v>
      </c>
      <c r="N8">
        <v>0.31329991410247759</v>
      </c>
      <c r="O8">
        <v>0.8</v>
      </c>
      <c r="P8">
        <f>VLOOKUP($F8,[2]!hbe_risk[#All],5,FALSE)</f>
        <v>0.17499999999999999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4.8267464754845646</v>
      </c>
      <c r="W8">
        <v>8.8967464754845658</v>
      </c>
      <c r="X8">
        <v>4.4124176977727476</v>
      </c>
      <c r="Y8">
        <v>8.4824176977727479</v>
      </c>
      <c r="Z8">
        <v>8.4770983435011367</v>
      </c>
      <c r="AA8">
        <v>5.0332236184667583</v>
      </c>
      <c r="AB8">
        <v>9.1032236184667585</v>
      </c>
      <c r="AC8">
        <v>2.0805819999999947E-2</v>
      </c>
      <c r="AD8">
        <v>1.123227162154904E-3</v>
      </c>
      <c r="AE8">
        <v>3.8315142751846586E-4</v>
      </c>
      <c r="AF8">
        <v>3.2753527067306111E-4</v>
      </c>
      <c r="AG8">
        <v>6.7106272431909563E-4</v>
      </c>
      <c r="AH8">
        <v>8.3423098262416112E-4</v>
      </c>
      <c r="AI8">
        <v>8.4033512329954505E-4</v>
      </c>
      <c r="AJ8">
        <v>1.0078144348421782E-3</v>
      </c>
      <c r="AK8">
        <v>1.4113549489738408E-3</v>
      </c>
      <c r="AL8">
        <v>2.1341372569251794E-3</v>
      </c>
      <c r="AM8">
        <v>3.4640864194021774E-3</v>
      </c>
      <c r="AN8">
        <v>5.6339572820308399E-3</v>
      </c>
      <c r="AO8">
        <v>9.132810862019192E-3</v>
      </c>
      <c r="AP8">
        <v>1.4898419315500004E-2</v>
      </c>
      <c r="AQ8">
        <v>2.4088434935959687E-2</v>
      </c>
      <c r="AR8">
        <v>3.8898255800715674E-2</v>
      </c>
      <c r="AS8">
        <v>6.1621997520772846E-2</v>
      </c>
      <c r="AT8">
        <v>9.1464552499687407E-2</v>
      </c>
      <c r="AU8">
        <v>0.12545163613081445</v>
      </c>
      <c r="AV8">
        <v>0.15474880684223277</v>
      </c>
      <c r="AW8">
        <v>0.17412085468380484</v>
      </c>
      <c r="AX8">
        <v>72.81</v>
      </c>
    </row>
    <row r="9" spans="1:50" x14ac:dyDescent="0.25">
      <c r="A9" t="s">
        <v>223</v>
      </c>
      <c r="B9" t="s">
        <v>224</v>
      </c>
      <c r="C9">
        <v>50</v>
      </c>
      <c r="D9" t="s">
        <v>225</v>
      </c>
      <c r="E9" t="s">
        <v>226</v>
      </c>
      <c r="F9" t="s">
        <v>226</v>
      </c>
      <c r="G9" t="s">
        <v>212</v>
      </c>
      <c r="H9" s="52">
        <v>164689383</v>
      </c>
      <c r="I9" s="52">
        <v>3023861.7612630003</v>
      </c>
      <c r="J9">
        <v>0.53400000000000003</v>
      </c>
      <c r="K9">
        <v>0</v>
      </c>
      <c r="L9">
        <v>0.98</v>
      </c>
      <c r="M9">
        <v>2.8799999999999999E-2</v>
      </c>
      <c r="N9">
        <v>0.28521070936823062</v>
      </c>
      <c r="O9">
        <v>0.8</v>
      </c>
      <c r="P9">
        <f>VLOOKUP($F9,[2]!hbe_risk[#All],5,FALSE)</f>
        <v>0.17499999999999999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2.5369327188394193</v>
      </c>
      <c r="W9">
        <v>4.3467801798476833</v>
      </c>
      <c r="X9">
        <v>2.1236042586046051</v>
      </c>
      <c r="Y9">
        <v>3.9334517196128695</v>
      </c>
      <c r="Z9">
        <v>3.9280990404492986</v>
      </c>
      <c r="AA9">
        <v>2.7430532268950283</v>
      </c>
      <c r="AB9">
        <v>4.5529006879032927</v>
      </c>
      <c r="AC9">
        <v>2.6850380000000004E-2</v>
      </c>
      <c r="AD9">
        <v>1.4273267660526731E-3</v>
      </c>
      <c r="AE9">
        <v>7.482190792888853E-4</v>
      </c>
      <c r="AF9">
        <v>6.3599449673810602E-4</v>
      </c>
      <c r="AG9">
        <v>1.0125835727474277E-3</v>
      </c>
      <c r="AH9">
        <v>1.0393796582485581E-3</v>
      </c>
      <c r="AI9">
        <v>9.9616762036654053E-4</v>
      </c>
      <c r="AJ9">
        <v>1.2461830091039462E-3</v>
      </c>
      <c r="AK9">
        <v>1.6949130194405298E-3</v>
      </c>
      <c r="AL9">
        <v>2.489878107246931E-3</v>
      </c>
      <c r="AM9">
        <v>3.8789128867372309E-3</v>
      </c>
      <c r="AN9">
        <v>6.3676250349223636E-3</v>
      </c>
      <c r="AO9">
        <v>1.0023350220130806E-2</v>
      </c>
      <c r="AP9">
        <v>1.6649733439551947E-2</v>
      </c>
      <c r="AQ9">
        <v>2.4135128950878319E-2</v>
      </c>
      <c r="AR9">
        <v>3.9140132002183678E-2</v>
      </c>
      <c r="AS9">
        <v>5.2963838292764784E-2</v>
      </c>
      <c r="AT9">
        <v>7.6193501220783055E-2</v>
      </c>
      <c r="AU9">
        <v>0.1006864161525354</v>
      </c>
      <c r="AV9">
        <v>0.12459803655517622</v>
      </c>
      <c r="AW9">
        <v>0.14122794249867238</v>
      </c>
      <c r="AX9">
        <v>72.150000000000006</v>
      </c>
    </row>
    <row r="10" spans="1:50" x14ac:dyDescent="0.25">
      <c r="A10" t="s">
        <v>227</v>
      </c>
      <c r="B10" t="s">
        <v>228</v>
      </c>
      <c r="C10">
        <v>112</v>
      </c>
      <c r="D10" t="s">
        <v>201</v>
      </c>
      <c r="E10" t="s">
        <v>229</v>
      </c>
      <c r="F10" t="s">
        <v>203</v>
      </c>
      <c r="G10" t="s">
        <v>204</v>
      </c>
      <c r="H10" s="52">
        <v>9449321</v>
      </c>
      <c r="I10" s="52">
        <v>111879.96064</v>
      </c>
      <c r="J10">
        <v>0.999</v>
      </c>
      <c r="K10">
        <v>0.97</v>
      </c>
      <c r="L10">
        <v>0.97</v>
      </c>
      <c r="M10">
        <v>9.4899999999999998E-2</v>
      </c>
      <c r="N10">
        <v>0.28713486462847726</v>
      </c>
      <c r="O10">
        <v>0.8</v>
      </c>
      <c r="P10">
        <f>VLOOKUP($F10,[2]!hbe_risk[#All],5,FALSE)</f>
        <v>0.17499999999999999</v>
      </c>
      <c r="Q10">
        <v>10.22220744814547</v>
      </c>
      <c r="R10">
        <v>32.547587448145471</v>
      </c>
      <c r="S10">
        <v>92.997384482043358</v>
      </c>
      <c r="T10">
        <v>109.25140232094563</v>
      </c>
      <c r="U10">
        <v>101.78790089549014</v>
      </c>
      <c r="V10">
        <v>5.4991995046009343</v>
      </c>
      <c r="W10">
        <v>9.5691995046009346</v>
      </c>
      <c r="X10">
        <v>5.0780297175745597</v>
      </c>
      <c r="Y10">
        <v>9.1480297175745591</v>
      </c>
      <c r="Z10">
        <v>9.1400408493060343</v>
      </c>
      <c r="AA10">
        <v>5.7081156161213604</v>
      </c>
      <c r="AB10">
        <v>9.7781156161213616</v>
      </c>
      <c r="AC10">
        <v>2.965920000000042E-3</v>
      </c>
      <c r="AD10">
        <v>2.1812945451173097E-4</v>
      </c>
      <c r="AE10">
        <v>1.386980248184975E-4</v>
      </c>
      <c r="AF10">
        <v>1.3168610083894215E-4</v>
      </c>
      <c r="AG10">
        <v>3.5169653717617841E-4</v>
      </c>
      <c r="AH10">
        <v>5.987260697524903E-4</v>
      </c>
      <c r="AI10">
        <v>8.7460441447060428E-4</v>
      </c>
      <c r="AJ10">
        <v>1.4330866848499505E-3</v>
      </c>
      <c r="AK10">
        <v>2.2944909907093732E-3</v>
      </c>
      <c r="AL10">
        <v>3.3156186518019663E-3</v>
      </c>
      <c r="AM10">
        <v>4.9758308884574175E-3</v>
      </c>
      <c r="AN10">
        <v>7.303794833465097E-3</v>
      </c>
      <c r="AO10">
        <v>1.0865495846746462E-2</v>
      </c>
      <c r="AP10">
        <v>1.6436042866597753E-2</v>
      </c>
      <c r="AQ10">
        <v>2.3166982628810194E-2</v>
      </c>
      <c r="AR10">
        <v>3.328192282230763E-2</v>
      </c>
      <c r="AS10">
        <v>5.0327355600297066E-2</v>
      </c>
      <c r="AT10">
        <v>7.7358215440379449E-2</v>
      </c>
      <c r="AU10">
        <v>0.10976028096120835</v>
      </c>
      <c r="AV10">
        <v>0.14532450263334859</v>
      </c>
      <c r="AW10">
        <v>0.17200342448771944</v>
      </c>
      <c r="AX10">
        <v>74.489999999999995</v>
      </c>
    </row>
    <row r="11" spans="1:50" x14ac:dyDescent="0.25">
      <c r="A11" t="s">
        <v>230</v>
      </c>
      <c r="B11" t="s">
        <v>231</v>
      </c>
      <c r="C11">
        <v>84</v>
      </c>
      <c r="D11" t="s">
        <v>215</v>
      </c>
      <c r="E11" t="s">
        <v>232</v>
      </c>
      <c r="F11" t="s">
        <v>217</v>
      </c>
      <c r="G11" t="s">
        <v>204</v>
      </c>
      <c r="H11" s="52">
        <v>397621</v>
      </c>
      <c r="I11" s="52">
        <v>8305.5074480000003</v>
      </c>
      <c r="J11">
        <v>0.96400000000000008</v>
      </c>
      <c r="K11">
        <v>0.67</v>
      </c>
      <c r="L11">
        <v>0.79</v>
      </c>
      <c r="M11">
        <v>3.3799999999999997E-2</v>
      </c>
      <c r="N11">
        <v>0.3153977532060992</v>
      </c>
      <c r="O11">
        <v>0.8</v>
      </c>
      <c r="P11">
        <f>VLOOKUP($F11,[2]!hbe_risk[#All],5,FALSE)</f>
        <v>0.17499999999999999</v>
      </c>
      <c r="Q11">
        <v>9.0621276496830205</v>
      </c>
      <c r="R11">
        <v>31.387507649683023</v>
      </c>
      <c r="S11">
        <v>81.917230941929887</v>
      </c>
      <c r="T11">
        <v>93.008197116263062</v>
      </c>
      <c r="U11">
        <v>87.915459882168534</v>
      </c>
      <c r="V11">
        <v>10.011238018434733</v>
      </c>
      <c r="W11">
        <v>10.031238018434733</v>
      </c>
      <c r="X11">
        <v>9.5856472802948591</v>
      </c>
      <c r="Y11">
        <v>9.6056472802948587</v>
      </c>
      <c r="Z11">
        <v>9.5955514612075792</v>
      </c>
      <c r="AA11">
        <v>10.221730295134755</v>
      </c>
      <c r="AB11">
        <v>10.241730295134754</v>
      </c>
      <c r="AC11">
        <v>1.2816070000000035E-2</v>
      </c>
      <c r="AD11">
        <v>5.2839444013232247E-4</v>
      </c>
      <c r="AE11">
        <v>3.0433131569198077E-4</v>
      </c>
      <c r="AF11">
        <v>3.30102184177905E-4</v>
      </c>
      <c r="AG11">
        <v>9.9336946473442696E-4</v>
      </c>
      <c r="AH11">
        <v>1.5584234821144477E-3</v>
      </c>
      <c r="AI11">
        <v>2.3286180141758603E-3</v>
      </c>
      <c r="AJ11">
        <v>2.7513090350750114E-3</v>
      </c>
      <c r="AK11">
        <v>2.8670260585765784E-3</v>
      </c>
      <c r="AL11">
        <v>3.5152753041282894E-3</v>
      </c>
      <c r="AM11">
        <v>4.8447417606571758E-3</v>
      </c>
      <c r="AN11">
        <v>6.7217168056650269E-3</v>
      </c>
      <c r="AO11">
        <v>1.0577857985131261E-2</v>
      </c>
      <c r="AP11">
        <v>1.4086050361921973E-2</v>
      </c>
      <c r="AQ11">
        <v>1.9026925168537715E-2</v>
      </c>
      <c r="AR11">
        <v>2.6552083204686317E-2</v>
      </c>
      <c r="AS11">
        <v>3.867017588830339E-2</v>
      </c>
      <c r="AT11">
        <v>6.118915184078795E-2</v>
      </c>
      <c r="AU11">
        <v>8.5259662158690394E-2</v>
      </c>
      <c r="AV11">
        <v>0.10937780472241215</v>
      </c>
      <c r="AW11">
        <v>0.15112605195352843</v>
      </c>
      <c r="AX11">
        <v>74.37</v>
      </c>
    </row>
    <row r="12" spans="1:50" x14ac:dyDescent="0.25">
      <c r="A12" t="s">
        <v>233</v>
      </c>
      <c r="B12" t="s">
        <v>234</v>
      </c>
      <c r="C12">
        <v>204</v>
      </c>
      <c r="D12" t="s">
        <v>207</v>
      </c>
      <c r="E12" t="s">
        <v>235</v>
      </c>
      <c r="F12" t="s">
        <v>211</v>
      </c>
      <c r="G12" t="s">
        <v>198</v>
      </c>
      <c r="H12" s="52">
        <v>12123198</v>
      </c>
      <c r="I12" s="52">
        <v>441296.53039800003</v>
      </c>
      <c r="J12">
        <v>0.83900000000000008</v>
      </c>
      <c r="K12">
        <v>0.21</v>
      </c>
      <c r="L12">
        <v>0.72</v>
      </c>
      <c r="M12">
        <v>9.2600000000000002E-2</v>
      </c>
      <c r="N12">
        <v>0.29308008391498708</v>
      </c>
      <c r="O12">
        <v>0.38300000000000001</v>
      </c>
      <c r="P12">
        <f>VLOOKUP($F12,[2]!hbe_risk[#All],5,FALSE)</f>
        <v>4.8000000000000001E-2</v>
      </c>
      <c r="Q12">
        <v>3.3030626370135003</v>
      </c>
      <c r="R12">
        <v>25.628442637013503</v>
      </c>
      <c r="S12">
        <v>57.036581248415985</v>
      </c>
      <c r="T12">
        <v>58.175430917695685</v>
      </c>
      <c r="U12">
        <v>57.65249522177777</v>
      </c>
      <c r="V12">
        <v>1.9300375613961838</v>
      </c>
      <c r="W12">
        <v>6.7600375613961834</v>
      </c>
      <c r="X12">
        <v>1.5215716116666336</v>
      </c>
      <c r="Y12">
        <v>6.3515716116666336</v>
      </c>
      <c r="Z12">
        <v>6.348616041254953</v>
      </c>
      <c r="AA12">
        <v>2.1344244787499163</v>
      </c>
      <c r="AB12">
        <v>6.9644244787499163</v>
      </c>
      <c r="AC12">
        <v>6.1164949999999954E-2</v>
      </c>
      <c r="AD12">
        <v>9.1920966308192444E-3</v>
      </c>
      <c r="AE12">
        <v>3.0964875536814694E-3</v>
      </c>
      <c r="AF12">
        <v>1.83242869242432E-3</v>
      </c>
      <c r="AG12">
        <v>2.463276961685093E-3</v>
      </c>
      <c r="AH12">
        <v>3.3343019710225666E-3</v>
      </c>
      <c r="AI12">
        <v>3.6652593795521776E-3</v>
      </c>
      <c r="AJ12">
        <v>4.0444612807645271E-3</v>
      </c>
      <c r="AK12">
        <v>4.6082345686252989E-3</v>
      </c>
      <c r="AL12">
        <v>5.694718856478747E-3</v>
      </c>
      <c r="AM12">
        <v>6.9182841363716755E-3</v>
      </c>
      <c r="AN12">
        <v>9.6187640858853684E-3</v>
      </c>
      <c r="AO12">
        <v>1.2864543277523127E-2</v>
      </c>
      <c r="AP12">
        <v>1.9340131777017523E-2</v>
      </c>
      <c r="AQ12">
        <v>2.948365902483838E-2</v>
      </c>
      <c r="AR12">
        <v>4.5251196999489859E-2</v>
      </c>
      <c r="AS12">
        <v>6.7740549247238033E-2</v>
      </c>
      <c r="AT12">
        <v>9.7565677481811094E-2</v>
      </c>
      <c r="AU12">
        <v>0.12954423249216701</v>
      </c>
      <c r="AV12">
        <v>0.15740319463492428</v>
      </c>
      <c r="AW12">
        <v>0.17611156213301282</v>
      </c>
      <c r="AX12">
        <v>61.302999999999997</v>
      </c>
    </row>
    <row r="13" spans="1:50" x14ac:dyDescent="0.25">
      <c r="A13" t="s">
        <v>236</v>
      </c>
      <c r="B13" t="s">
        <v>237</v>
      </c>
      <c r="C13">
        <v>64</v>
      </c>
      <c r="D13" t="s">
        <v>225</v>
      </c>
      <c r="E13" t="s">
        <v>226</v>
      </c>
      <c r="F13" t="s">
        <v>226</v>
      </c>
      <c r="G13" t="s">
        <v>212</v>
      </c>
      <c r="H13" s="52">
        <v>771612</v>
      </c>
      <c r="I13" s="52">
        <v>13497.037104000001</v>
      </c>
      <c r="J13">
        <v>0.73799999999999999</v>
      </c>
      <c r="K13">
        <v>0.85</v>
      </c>
      <c r="L13">
        <v>0.96</v>
      </c>
      <c r="M13">
        <v>3.32E-2</v>
      </c>
      <c r="N13">
        <v>0.26254910100193679</v>
      </c>
      <c r="O13">
        <v>0.8</v>
      </c>
      <c r="P13">
        <f>VLOOKUP($F13,[2]!hbe_risk[#All],5,FALSE)</f>
        <v>0.17499999999999999</v>
      </c>
      <c r="Q13">
        <v>5.37141268718117</v>
      </c>
      <c r="R13">
        <v>27.696792687181173</v>
      </c>
      <c r="S13">
        <v>66.167442498240433</v>
      </c>
      <c r="T13">
        <v>70.982082404071036</v>
      </c>
      <c r="U13">
        <v>68.7713015278364</v>
      </c>
      <c r="V13">
        <v>7.9881021511622698</v>
      </c>
      <c r="W13">
        <v>9.7979496121705338</v>
      </c>
      <c r="X13">
        <v>7.5696696937758636</v>
      </c>
      <c r="Y13">
        <v>9.3795171547841285</v>
      </c>
      <c r="Z13">
        <v>9.3725920991139784</v>
      </c>
      <c r="AA13">
        <v>8.1960423451588813</v>
      </c>
      <c r="AB13">
        <v>10.005889806167145</v>
      </c>
      <c r="AC13">
        <v>2.4070130000000065E-2</v>
      </c>
      <c r="AD13">
        <v>1.4172022422061688E-3</v>
      </c>
      <c r="AE13">
        <v>7.7363966030787946E-4</v>
      </c>
      <c r="AF13">
        <v>6.2697757691140463E-4</v>
      </c>
      <c r="AG13">
        <v>8.483255994234341E-4</v>
      </c>
      <c r="AH13">
        <v>1.3815089011482156E-3</v>
      </c>
      <c r="AI13">
        <v>1.9994181120536001E-3</v>
      </c>
      <c r="AJ13">
        <v>2.8979871281534348E-3</v>
      </c>
      <c r="AK13">
        <v>3.9402642111488967E-3</v>
      </c>
      <c r="AL13">
        <v>5.1523072116535949E-3</v>
      </c>
      <c r="AM13">
        <v>6.6891671323214023E-3</v>
      </c>
      <c r="AN13">
        <v>8.7964781237764387E-3</v>
      </c>
      <c r="AO13">
        <v>1.1914330293210212E-2</v>
      </c>
      <c r="AP13">
        <v>1.5987378758992074E-2</v>
      </c>
      <c r="AQ13">
        <v>2.2371298753324709E-2</v>
      </c>
      <c r="AR13">
        <v>3.1664751710371884E-2</v>
      </c>
      <c r="AS13">
        <v>4.5224866527438595E-2</v>
      </c>
      <c r="AT13">
        <v>6.3852175373826578E-2</v>
      </c>
      <c r="AU13">
        <v>8.4138014119133742E-2</v>
      </c>
      <c r="AV13">
        <v>0.10757180391387827</v>
      </c>
      <c r="AW13">
        <v>0.13047884280399449</v>
      </c>
      <c r="AX13">
        <v>71.283000000000001</v>
      </c>
    </row>
    <row r="14" spans="1:50" x14ac:dyDescent="0.25">
      <c r="A14" t="s">
        <v>238</v>
      </c>
      <c r="B14" t="s">
        <v>239</v>
      </c>
      <c r="C14">
        <v>68</v>
      </c>
      <c r="D14" t="s">
        <v>215</v>
      </c>
      <c r="E14" t="s">
        <v>240</v>
      </c>
      <c r="F14" t="s">
        <v>217</v>
      </c>
      <c r="G14" t="s">
        <v>212</v>
      </c>
      <c r="H14" s="52">
        <v>11673029</v>
      </c>
      <c r="I14" s="52">
        <v>255429.22057800004</v>
      </c>
      <c r="J14">
        <v>0.877</v>
      </c>
      <c r="K14">
        <v>0</v>
      </c>
      <c r="L14">
        <v>0.68</v>
      </c>
      <c r="M14">
        <v>5.8999999999999999E-3</v>
      </c>
      <c r="N14">
        <v>0.30395745525404161</v>
      </c>
      <c r="O14">
        <v>0.8</v>
      </c>
      <c r="P14">
        <f>VLOOKUP($F14,[2]!hbe_risk[#All],5,FALSE)</f>
        <v>0.17499999999999999</v>
      </c>
      <c r="Q14">
        <v>5.1554444511581101</v>
      </c>
      <c r="R14">
        <v>27.480824451158114</v>
      </c>
      <c r="S14">
        <v>64.828178960087726</v>
      </c>
      <c r="T14">
        <v>69.058182921619604</v>
      </c>
      <c r="U14">
        <v>67.1158545133774</v>
      </c>
      <c r="V14">
        <v>3.1582848524386273</v>
      </c>
      <c r="W14">
        <v>3.1782848524386274</v>
      </c>
      <c r="X14">
        <v>2.7378872765000741</v>
      </c>
      <c r="Y14">
        <v>2.7578872765000741</v>
      </c>
      <c r="Z14">
        <v>2.7496030957423834</v>
      </c>
      <c r="AA14">
        <v>3.366925653919048</v>
      </c>
      <c r="AB14">
        <v>3.386925653919048</v>
      </c>
      <c r="AC14">
        <v>2.9709100000000033E-2</v>
      </c>
      <c r="AD14">
        <v>4.897193717883979E-3</v>
      </c>
      <c r="AE14">
        <v>1.3668198739663531E-3</v>
      </c>
      <c r="AF14">
        <v>8.0145182980234653E-4</v>
      </c>
      <c r="AG14">
        <v>1.5902899917005938E-3</v>
      </c>
      <c r="AH14">
        <v>2.2167108166616686E-3</v>
      </c>
      <c r="AI14">
        <v>2.3808256434544035E-3</v>
      </c>
      <c r="AJ14">
        <v>2.7017673416474927E-3</v>
      </c>
      <c r="AK14">
        <v>3.4050648103696583E-3</v>
      </c>
      <c r="AL14">
        <v>4.0223318978457098E-3</v>
      </c>
      <c r="AM14">
        <v>5.4458134444849886E-3</v>
      </c>
      <c r="AN14">
        <v>7.3660074965235349E-3</v>
      </c>
      <c r="AO14">
        <v>1.0344997560068297E-2</v>
      </c>
      <c r="AP14">
        <v>1.5273457306002375E-2</v>
      </c>
      <c r="AQ14">
        <v>2.021988914621773E-2</v>
      </c>
      <c r="AR14">
        <v>2.6226459693234751E-2</v>
      </c>
      <c r="AS14">
        <v>3.7707929298066836E-2</v>
      </c>
      <c r="AT14">
        <v>5.3415839354835411E-2</v>
      </c>
      <c r="AU14">
        <v>7.5058941457281939E-2</v>
      </c>
      <c r="AV14">
        <v>0.10012328168132084</v>
      </c>
      <c r="AW14">
        <v>0.12450695537268339</v>
      </c>
      <c r="AX14">
        <v>71.081999999999994</v>
      </c>
    </row>
    <row r="15" spans="1:50" x14ac:dyDescent="0.25">
      <c r="A15" t="s">
        <v>241</v>
      </c>
      <c r="B15" t="s">
        <v>242</v>
      </c>
      <c r="C15">
        <v>70</v>
      </c>
      <c r="D15" t="s">
        <v>201</v>
      </c>
      <c r="E15" t="s">
        <v>202</v>
      </c>
      <c r="F15" t="s">
        <v>203</v>
      </c>
      <c r="G15" t="s">
        <v>204</v>
      </c>
      <c r="H15" s="52">
        <v>3280815</v>
      </c>
      <c r="I15" s="52">
        <v>26882.998110000004</v>
      </c>
      <c r="J15">
        <v>0.997</v>
      </c>
      <c r="K15">
        <v>0</v>
      </c>
      <c r="L15">
        <v>0.8</v>
      </c>
      <c r="M15">
        <v>3.1099999999999999E-2</v>
      </c>
      <c r="N15">
        <v>0.28477767915605673</v>
      </c>
      <c r="O15">
        <v>0.8</v>
      </c>
      <c r="P15">
        <f>VLOOKUP($F15,[2]!hbe_risk[#All],5,FALSE)</f>
        <v>0.17499999999999999</v>
      </c>
      <c r="Q15">
        <v>9.139398722725911</v>
      </c>
      <c r="R15">
        <v>31.464778722725914</v>
      </c>
      <c r="S15">
        <v>83.367800930056632</v>
      </c>
      <c r="T15">
        <v>95.173521191318059</v>
      </c>
      <c r="U15">
        <v>89.752583988482783</v>
      </c>
      <c r="V15">
        <v>3.4562201088169573</v>
      </c>
      <c r="W15">
        <v>7.5262201088169576</v>
      </c>
      <c r="X15">
        <v>3.0363215568375357</v>
      </c>
      <c r="Y15">
        <v>7.1063215568375355</v>
      </c>
      <c r="Z15">
        <v>7.0989277244228752</v>
      </c>
      <c r="AA15">
        <v>3.6646829974076005</v>
      </c>
      <c r="AB15">
        <v>7.7346829974076012</v>
      </c>
      <c r="AC15">
        <v>6.0063199999999782E-3</v>
      </c>
      <c r="AD15">
        <v>1.9382668509522699E-4</v>
      </c>
      <c r="AE15">
        <v>7.8816134579568219E-5</v>
      </c>
      <c r="AF15">
        <v>1.4236250855910915E-4</v>
      </c>
      <c r="AG15">
        <v>2.3216834662481817E-4</v>
      </c>
      <c r="AH15">
        <v>3.5394296885179403E-4</v>
      </c>
      <c r="AI15">
        <v>4.1900509701857375E-4</v>
      </c>
      <c r="AJ15">
        <v>6.3276490838450202E-4</v>
      </c>
      <c r="AK15">
        <v>8.7107643029025658E-4</v>
      </c>
      <c r="AL15">
        <v>1.4272141124412998E-3</v>
      </c>
      <c r="AM15">
        <v>2.5831558042264573E-3</v>
      </c>
      <c r="AN15">
        <v>4.5597254547808585E-3</v>
      </c>
      <c r="AO15">
        <v>7.2805632907693195E-3</v>
      </c>
      <c r="AP15">
        <v>1.1803545063804526E-2</v>
      </c>
      <c r="AQ15">
        <v>1.8687882479733471E-2</v>
      </c>
      <c r="AR15">
        <v>3.0730713953492684E-2</v>
      </c>
      <c r="AS15">
        <v>5.0403647743064516E-2</v>
      </c>
      <c r="AT15">
        <v>7.5853994123620261E-2</v>
      </c>
      <c r="AU15">
        <v>0.1080398902564598</v>
      </c>
      <c r="AV15">
        <v>0.14120156540971807</v>
      </c>
      <c r="AW15">
        <v>0.1682036960272317</v>
      </c>
      <c r="AX15">
        <v>77.176000000000002</v>
      </c>
    </row>
    <row r="16" spans="1:50" x14ac:dyDescent="0.25">
      <c r="A16" t="s">
        <v>243</v>
      </c>
      <c r="B16" t="s">
        <v>244</v>
      </c>
      <c r="C16">
        <v>72</v>
      </c>
      <c r="D16" t="s">
        <v>207</v>
      </c>
      <c r="E16" t="s">
        <v>245</v>
      </c>
      <c r="F16" t="s">
        <v>211</v>
      </c>
      <c r="G16" t="s">
        <v>204</v>
      </c>
      <c r="H16" s="52">
        <v>2351625</v>
      </c>
      <c r="I16" s="52">
        <v>59056.358625000001</v>
      </c>
      <c r="J16">
        <v>0.997</v>
      </c>
      <c r="K16">
        <v>0</v>
      </c>
      <c r="L16">
        <v>0.95</v>
      </c>
      <c r="M16">
        <v>8.0000000000000002E-3</v>
      </c>
      <c r="N16">
        <v>0.25755155919454675</v>
      </c>
      <c r="O16">
        <v>0.38300000000000001</v>
      </c>
      <c r="P16">
        <f>VLOOKUP($F16,[2]!hbe_risk[#All],5,FALSE)</f>
        <v>4.8000000000000001E-2</v>
      </c>
      <c r="Q16">
        <v>14.1289945917285</v>
      </c>
      <c r="R16">
        <v>36.454374591728502</v>
      </c>
      <c r="S16">
        <v>112.26849673029878</v>
      </c>
      <c r="T16">
        <v>136.5191087853905</v>
      </c>
      <c r="U16">
        <v>125.38374032232937</v>
      </c>
      <c r="V16">
        <v>7.4656735232810334</v>
      </c>
      <c r="W16">
        <v>12.295673523281033</v>
      </c>
      <c r="X16">
        <v>7.0455520160009852</v>
      </c>
      <c r="Y16">
        <v>11.875552016000984</v>
      </c>
      <c r="Z16">
        <v>11.86845749557471</v>
      </c>
      <c r="AA16">
        <v>7.6742159002832038</v>
      </c>
      <c r="AB16">
        <v>12.504215900283203</v>
      </c>
      <c r="AC16">
        <v>3.0160739999999932E-2</v>
      </c>
      <c r="AD16">
        <v>2.0156072048475504E-3</v>
      </c>
      <c r="AE16">
        <v>5.2198706887591855E-4</v>
      </c>
      <c r="AF16">
        <v>4.3840538932199332E-4</v>
      </c>
      <c r="AG16">
        <v>7.8506094886064942E-4</v>
      </c>
      <c r="AH16">
        <v>1.3829633814185711E-3</v>
      </c>
      <c r="AI16">
        <v>2.2022662689883169E-3</v>
      </c>
      <c r="AJ16">
        <v>3.1381645842773185E-3</v>
      </c>
      <c r="AK16">
        <v>4.5169997243930081E-3</v>
      </c>
      <c r="AL16">
        <v>5.6268078527099679E-3</v>
      </c>
      <c r="AM16">
        <v>7.0094243114026374E-3</v>
      </c>
      <c r="AN16">
        <v>8.962636173207186E-3</v>
      </c>
      <c r="AO16">
        <v>1.1197285644061732E-2</v>
      </c>
      <c r="AP16">
        <v>1.5649063132168003E-2</v>
      </c>
      <c r="AQ16">
        <v>2.3495641099233546E-2</v>
      </c>
      <c r="AR16">
        <v>3.5985853599522818E-2</v>
      </c>
      <c r="AS16">
        <v>5.4975598922963879E-2</v>
      </c>
      <c r="AT16">
        <v>8.5568510513363741E-2</v>
      </c>
      <c r="AU16">
        <v>0.12580420791353883</v>
      </c>
      <c r="AV16">
        <v>0.16400218688819299</v>
      </c>
      <c r="AW16">
        <v>0.18242030187253114</v>
      </c>
      <c r="AX16">
        <v>69.094999999999999</v>
      </c>
    </row>
    <row r="17" spans="1:50" x14ac:dyDescent="0.25">
      <c r="A17" t="s">
        <v>246</v>
      </c>
      <c r="B17" t="s">
        <v>247</v>
      </c>
      <c r="C17">
        <v>76</v>
      </c>
      <c r="D17" t="s">
        <v>215</v>
      </c>
      <c r="E17" t="s">
        <v>248</v>
      </c>
      <c r="F17" t="s">
        <v>217</v>
      </c>
      <c r="G17" t="s">
        <v>204</v>
      </c>
      <c r="H17" s="52">
        <v>212559409</v>
      </c>
      <c r="I17" s="52">
        <v>2991348.5628570002</v>
      </c>
      <c r="J17">
        <v>0.99099999999999999</v>
      </c>
      <c r="K17">
        <v>0.63</v>
      </c>
      <c r="L17">
        <v>0.77</v>
      </c>
      <c r="M17">
        <v>5.8999999999999999E-3</v>
      </c>
      <c r="N17">
        <v>0.30724885463432083</v>
      </c>
      <c r="O17">
        <v>0.8</v>
      </c>
      <c r="P17">
        <f>VLOOKUP($F17,[2]!hbe_risk[#All],5,FALSE)</f>
        <v>0.17499999999999999</v>
      </c>
      <c r="Q17">
        <v>4.9740144041450804</v>
      </c>
      <c r="R17">
        <v>27.299394404145083</v>
      </c>
      <c r="S17">
        <v>66.260390963960702</v>
      </c>
      <c r="T17">
        <v>71.330239214337468</v>
      </c>
      <c r="U17">
        <v>69.002272060704414</v>
      </c>
      <c r="V17">
        <v>2.4186789516513252</v>
      </c>
      <c r="W17">
        <v>2.4386789516513252</v>
      </c>
      <c r="X17">
        <v>1.9969916927722777</v>
      </c>
      <c r="Y17">
        <v>2.0169916927722777</v>
      </c>
      <c r="Z17">
        <v>2.0091150901354493</v>
      </c>
      <c r="AA17">
        <v>2.6277795531366177</v>
      </c>
      <c r="AB17">
        <v>2.6477795531366177</v>
      </c>
      <c r="AC17">
        <v>1.3017090000000026E-2</v>
      </c>
      <c r="AD17">
        <v>5.6547331706076689E-4</v>
      </c>
      <c r="AE17">
        <v>2.2605523840020086E-4</v>
      </c>
      <c r="AF17">
        <v>3.1057988826817137E-4</v>
      </c>
      <c r="AG17">
        <v>1.0834225044440882E-3</v>
      </c>
      <c r="AH17">
        <v>1.646481274941336E-3</v>
      </c>
      <c r="AI17">
        <v>1.5739236317706482E-3</v>
      </c>
      <c r="AJ17">
        <v>1.8152815796892621E-3</v>
      </c>
      <c r="AK17">
        <v>2.2928846495734894E-3</v>
      </c>
      <c r="AL17">
        <v>2.9492000185282218E-3</v>
      </c>
      <c r="AM17">
        <v>4.254119071000209E-3</v>
      </c>
      <c r="AN17">
        <v>6.0649824775330236E-3</v>
      </c>
      <c r="AO17">
        <v>8.5723717159903456E-3</v>
      </c>
      <c r="AP17">
        <v>1.2759457491334723E-2</v>
      </c>
      <c r="AQ17">
        <v>1.8896658395500792E-2</v>
      </c>
      <c r="AR17">
        <v>2.6861635507597945E-2</v>
      </c>
      <c r="AS17">
        <v>4.0189189323367715E-2</v>
      </c>
      <c r="AT17">
        <v>5.8274971982341994E-2</v>
      </c>
      <c r="AU17">
        <v>8.0933496732912821E-2</v>
      </c>
      <c r="AV17">
        <v>0.10629084029109252</v>
      </c>
      <c r="AW17">
        <v>0.1376155916216682</v>
      </c>
      <c r="AX17">
        <v>75.561000000000007</v>
      </c>
    </row>
    <row r="18" spans="1:50" x14ac:dyDescent="0.25">
      <c r="A18" t="s">
        <v>249</v>
      </c>
      <c r="B18" t="s">
        <v>250</v>
      </c>
      <c r="C18">
        <v>100</v>
      </c>
      <c r="D18" t="s">
        <v>201</v>
      </c>
      <c r="E18" t="s">
        <v>202</v>
      </c>
      <c r="F18" t="s">
        <v>203</v>
      </c>
      <c r="G18" t="s">
        <v>204</v>
      </c>
      <c r="H18" s="52">
        <v>6948445</v>
      </c>
      <c r="I18" s="52">
        <v>62230.27341999999</v>
      </c>
      <c r="J18">
        <v>0.997</v>
      </c>
      <c r="K18">
        <v>0.98</v>
      </c>
      <c r="L18">
        <v>0.91</v>
      </c>
      <c r="M18">
        <v>2.12E-2</v>
      </c>
      <c r="N18">
        <v>0.29457918010947859</v>
      </c>
      <c r="O18">
        <v>0.8</v>
      </c>
      <c r="P18">
        <f>VLOOKUP($F18,[2]!hbe_risk[#All],5,FALSE)</f>
        <v>0.17499999999999999</v>
      </c>
      <c r="Q18">
        <v>11.789004116405639</v>
      </c>
      <c r="R18">
        <v>34.114384116405645</v>
      </c>
      <c r="S18">
        <v>100.47300147114967</v>
      </c>
      <c r="T18">
        <v>119.80235376700196</v>
      </c>
      <c r="U18">
        <v>110.92672376320421</v>
      </c>
      <c r="V18">
        <v>5.5843417295371287</v>
      </c>
      <c r="W18">
        <v>9.6543417295371299</v>
      </c>
      <c r="X18">
        <v>5.1507826549868918</v>
      </c>
      <c r="Y18">
        <v>9.2207826549868912</v>
      </c>
      <c r="Z18">
        <v>9.2074496742911194</v>
      </c>
      <c r="AA18">
        <v>5.7976748913921501</v>
      </c>
      <c r="AB18">
        <v>9.8676748913921504</v>
      </c>
      <c r="AC18">
        <v>6.2872199999999432E-3</v>
      </c>
      <c r="AD18">
        <v>2.9419466659171174E-4</v>
      </c>
      <c r="AE18">
        <v>1.4199479841383962E-4</v>
      </c>
      <c r="AF18">
        <v>1.6836809920065034E-4</v>
      </c>
      <c r="AG18">
        <v>4.41219319301264E-4</v>
      </c>
      <c r="AH18">
        <v>5.8236631127583406E-4</v>
      </c>
      <c r="AI18">
        <v>6.8015417152451484E-4</v>
      </c>
      <c r="AJ18">
        <v>9.7709788609903043E-4</v>
      </c>
      <c r="AK18">
        <v>1.451836741961423E-3</v>
      </c>
      <c r="AL18">
        <v>2.4327225167702225E-3</v>
      </c>
      <c r="AM18">
        <v>4.3091716106383278E-3</v>
      </c>
      <c r="AN18">
        <v>7.0797041205687443E-3</v>
      </c>
      <c r="AO18">
        <v>1.0891843655815784E-2</v>
      </c>
      <c r="AP18">
        <v>1.5697542549870307E-2</v>
      </c>
      <c r="AQ18">
        <v>2.1988035741056983E-2</v>
      </c>
      <c r="AR18">
        <v>3.1315833409297673E-2</v>
      </c>
      <c r="AS18">
        <v>4.7939476495177831E-2</v>
      </c>
      <c r="AT18">
        <v>7.7214375970854052E-2</v>
      </c>
      <c r="AU18">
        <v>0.12904744450444883</v>
      </c>
      <c r="AV18">
        <v>0.15072573325399216</v>
      </c>
      <c r="AW18">
        <v>0.17740366801760049</v>
      </c>
      <c r="AX18">
        <v>74.846999999999994</v>
      </c>
    </row>
    <row r="19" spans="1:50" x14ac:dyDescent="0.25">
      <c r="A19" t="s">
        <v>251</v>
      </c>
      <c r="B19" t="s">
        <v>252</v>
      </c>
      <c r="C19">
        <v>854</v>
      </c>
      <c r="D19" t="s">
        <v>207</v>
      </c>
      <c r="E19" t="s">
        <v>235</v>
      </c>
      <c r="F19" t="s">
        <v>211</v>
      </c>
      <c r="G19" t="s">
        <v>198</v>
      </c>
      <c r="H19" s="52">
        <v>20903278</v>
      </c>
      <c r="I19" s="52">
        <v>798254.38026400004</v>
      </c>
      <c r="J19">
        <v>0.82200000000000006</v>
      </c>
      <c r="K19">
        <v>0</v>
      </c>
      <c r="L19">
        <v>0.91</v>
      </c>
      <c r="M19">
        <v>6.6000000000000003E-2</v>
      </c>
      <c r="N19">
        <v>0.29335469441802142</v>
      </c>
      <c r="O19">
        <v>0.38300000000000001</v>
      </c>
      <c r="P19">
        <f>VLOOKUP($F19,[2]!hbe_risk[#All],5,FALSE)</f>
        <v>4.8000000000000001E-2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2.4658937941500021</v>
      </c>
      <c r="W19">
        <v>7.2958937941500022</v>
      </c>
      <c r="X19">
        <v>2.0574574895667275</v>
      </c>
      <c r="Y19">
        <v>6.887457489566728</v>
      </c>
      <c r="Z19">
        <v>6.8846170043761976</v>
      </c>
      <c r="AA19">
        <v>2.6702701423646276</v>
      </c>
      <c r="AB19">
        <v>7.5002701423646272</v>
      </c>
      <c r="AC19">
        <v>5.4227859999999926E-2</v>
      </c>
      <c r="AD19">
        <v>7.7985433150949057E-3</v>
      </c>
      <c r="AE19">
        <v>2.7098510180781272E-3</v>
      </c>
      <c r="AF19">
        <v>1.6109777987679034E-3</v>
      </c>
      <c r="AG19">
        <v>2.4565525709780954E-3</v>
      </c>
      <c r="AH19">
        <v>3.4406424856136286E-3</v>
      </c>
      <c r="AI19">
        <v>3.6839859647303831E-3</v>
      </c>
      <c r="AJ19">
        <v>4.0687159913709147E-3</v>
      </c>
      <c r="AK19">
        <v>4.6667301775740718E-3</v>
      </c>
      <c r="AL19">
        <v>5.7359348761896311E-3</v>
      </c>
      <c r="AM19">
        <v>7.1848904155756791E-3</v>
      </c>
      <c r="AN19">
        <v>1.0079208538840959E-2</v>
      </c>
      <c r="AO19">
        <v>1.4324556284323308E-2</v>
      </c>
      <c r="AP19">
        <v>2.2267003529747472E-2</v>
      </c>
      <c r="AQ19">
        <v>3.4331618474766817E-2</v>
      </c>
      <c r="AR19">
        <v>5.5031678246900514E-2</v>
      </c>
      <c r="AS19">
        <v>8.4597333790458251E-2</v>
      </c>
      <c r="AT19">
        <v>0.12093596991685143</v>
      </c>
      <c r="AU19">
        <v>0.153968715439502</v>
      </c>
      <c r="AV19">
        <v>0.17687638060945704</v>
      </c>
      <c r="AW19">
        <v>0.19401800579474437</v>
      </c>
      <c r="AX19">
        <v>60.917000000000002</v>
      </c>
    </row>
    <row r="20" spans="1:50" x14ac:dyDescent="0.25">
      <c r="A20" t="s">
        <v>253</v>
      </c>
      <c r="B20" t="s">
        <v>254</v>
      </c>
      <c r="C20">
        <v>108</v>
      </c>
      <c r="D20" t="s">
        <v>207</v>
      </c>
      <c r="E20" t="s">
        <v>255</v>
      </c>
      <c r="F20" t="s">
        <v>211</v>
      </c>
      <c r="G20" t="s">
        <v>198</v>
      </c>
      <c r="H20" s="52">
        <v>11890781</v>
      </c>
      <c r="I20" s="52">
        <v>466796.38971700001</v>
      </c>
      <c r="J20">
        <v>0.83900000000000008</v>
      </c>
      <c r="K20">
        <v>0</v>
      </c>
      <c r="L20">
        <v>0.93</v>
      </c>
      <c r="M20">
        <v>5.5500000000000001E-2</v>
      </c>
      <c r="N20">
        <v>0.27469611022005852</v>
      </c>
      <c r="O20">
        <v>0.38300000000000001</v>
      </c>
      <c r="P20">
        <f>VLOOKUP($F20,[2]!hbe_risk[#All],5,FALSE)</f>
        <v>4.8000000000000001E-2</v>
      </c>
      <c r="Q20">
        <v>2.333509863013699</v>
      </c>
      <c r="R20">
        <v>24.658889863013702</v>
      </c>
      <c r="S20">
        <v>54.284204080537677</v>
      </c>
      <c r="T20">
        <v>54.495155964561924</v>
      </c>
      <c r="U20">
        <v>54.39829131837277</v>
      </c>
      <c r="V20">
        <v>2.2290672676519732</v>
      </c>
      <c r="W20">
        <v>7.0590672676519732</v>
      </c>
      <c r="X20">
        <v>1.8259970827017029</v>
      </c>
      <c r="Y20">
        <v>6.6559970827017025</v>
      </c>
      <c r="Z20">
        <v>6.6551991017301058</v>
      </c>
      <c r="AA20">
        <v>2.4315304775626578</v>
      </c>
      <c r="AB20">
        <v>7.2615304775626583</v>
      </c>
      <c r="AC20">
        <v>4.245322E-2</v>
      </c>
      <c r="AD20">
        <v>5.2388458765429743E-3</v>
      </c>
      <c r="AE20">
        <v>4.006474712416051E-3</v>
      </c>
      <c r="AF20">
        <v>2.4991916576126484E-3</v>
      </c>
      <c r="AG20">
        <v>2.9437964950105862E-3</v>
      </c>
      <c r="AH20">
        <v>3.8451912617084071E-3</v>
      </c>
      <c r="AI20">
        <v>4.6036661153950687E-3</v>
      </c>
      <c r="AJ20">
        <v>5.6684137059228833E-3</v>
      </c>
      <c r="AK20">
        <v>7.1054044654335858E-3</v>
      </c>
      <c r="AL20">
        <v>7.8941964027643974E-3</v>
      </c>
      <c r="AM20">
        <v>8.5934741230756576E-3</v>
      </c>
      <c r="AN20">
        <v>1.0836939465032305E-2</v>
      </c>
      <c r="AO20">
        <v>1.4199740651491634E-2</v>
      </c>
      <c r="AP20">
        <v>2.0994713798631822E-2</v>
      </c>
      <c r="AQ20">
        <v>3.1694349071188635E-2</v>
      </c>
      <c r="AR20">
        <v>4.8176649717086024E-2</v>
      </c>
      <c r="AS20">
        <v>7.1068723406333134E-2</v>
      </c>
      <c r="AT20">
        <v>0.10104282858093268</v>
      </c>
      <c r="AU20">
        <v>0.13271945448202221</v>
      </c>
      <c r="AV20">
        <v>0.15908807736679403</v>
      </c>
      <c r="AW20">
        <v>0.17707971183175569</v>
      </c>
      <c r="AX20">
        <v>61.024999999999999</v>
      </c>
    </row>
    <row r="21" spans="1:50" x14ac:dyDescent="0.25">
      <c r="A21" t="s">
        <v>256</v>
      </c>
      <c r="B21" t="s">
        <v>257</v>
      </c>
      <c r="C21">
        <v>132</v>
      </c>
      <c r="D21" t="s">
        <v>207</v>
      </c>
      <c r="E21" t="s">
        <v>235</v>
      </c>
      <c r="F21" t="s">
        <v>211</v>
      </c>
      <c r="G21" t="s">
        <v>212</v>
      </c>
      <c r="H21" s="52">
        <v>555988</v>
      </c>
      <c r="I21" s="52">
        <v>10946.847732000002</v>
      </c>
      <c r="J21">
        <v>0.75599999999999989</v>
      </c>
      <c r="K21">
        <v>0.96</v>
      </c>
      <c r="L21">
        <v>0.94</v>
      </c>
      <c r="M21">
        <v>6.9000000000000006E-2</v>
      </c>
      <c r="N21">
        <v>0.3000704220321459</v>
      </c>
      <c r="O21">
        <v>0.38300000000000001</v>
      </c>
      <c r="P21">
        <f>VLOOKUP($F21,[2]!hbe_risk[#All],5,FALSE)</f>
        <v>4.8000000000000001E-2</v>
      </c>
      <c r="Q21">
        <v>6.2126765384615403</v>
      </c>
      <c r="R21">
        <v>28.538056538461543</v>
      </c>
      <c r="S21">
        <v>67.820242075802071</v>
      </c>
      <c r="T21">
        <v>73.057257963057225</v>
      </c>
      <c r="U21">
        <v>70.652530964043308</v>
      </c>
      <c r="V21">
        <v>9.0413161569142524</v>
      </c>
      <c r="W21">
        <v>13.871316156914252</v>
      </c>
      <c r="X21">
        <v>8.6218194591820296</v>
      </c>
      <c r="Y21">
        <v>13.45181945918203</v>
      </c>
      <c r="Z21">
        <v>13.444135359315574</v>
      </c>
      <c r="AA21">
        <v>9.2496357757298071</v>
      </c>
      <c r="AB21">
        <v>14.079635775729807</v>
      </c>
      <c r="AC21">
        <v>1.6891330000000017E-2</v>
      </c>
      <c r="AD21">
        <v>8.835060929734364E-4</v>
      </c>
      <c r="AE21">
        <v>3.6018949682796144E-4</v>
      </c>
      <c r="AF21">
        <v>3.1745117221964545E-4</v>
      </c>
      <c r="AG21">
        <v>7.1874741951376536E-4</v>
      </c>
      <c r="AH21">
        <v>9.8729318287466223E-4</v>
      </c>
      <c r="AI21">
        <v>1.0549137828094477E-3</v>
      </c>
      <c r="AJ21">
        <v>1.2816495980247336E-3</v>
      </c>
      <c r="AK21">
        <v>1.766754144431473E-3</v>
      </c>
      <c r="AL21">
        <v>2.6319969899160373E-3</v>
      </c>
      <c r="AM21">
        <v>4.1280856784911306E-3</v>
      </c>
      <c r="AN21">
        <v>6.3780955172675919E-3</v>
      </c>
      <c r="AO21">
        <v>9.8315278107226102E-3</v>
      </c>
      <c r="AP21">
        <v>1.5378905889861292E-2</v>
      </c>
      <c r="AQ21">
        <v>2.3843289182670511E-2</v>
      </c>
      <c r="AR21">
        <v>3.7230990810350639E-2</v>
      </c>
      <c r="AS21">
        <v>5.94463055539085E-2</v>
      </c>
      <c r="AT21">
        <v>8.8828317635577608E-2</v>
      </c>
      <c r="AU21">
        <v>0.11984598831744618</v>
      </c>
      <c r="AV21">
        <v>0.14998257302398399</v>
      </c>
      <c r="AW21">
        <v>0.1727976225444309</v>
      </c>
      <c r="AX21">
        <v>72.703000000000003</v>
      </c>
    </row>
    <row r="22" spans="1:50" x14ac:dyDescent="0.25">
      <c r="A22" t="s">
        <v>258</v>
      </c>
      <c r="B22" t="s">
        <v>259</v>
      </c>
      <c r="C22">
        <v>116</v>
      </c>
      <c r="D22" t="s">
        <v>260</v>
      </c>
      <c r="E22" t="s">
        <v>261</v>
      </c>
      <c r="F22" t="s">
        <v>262</v>
      </c>
      <c r="G22" t="s">
        <v>212</v>
      </c>
      <c r="H22" s="52">
        <v>16718971.000000002</v>
      </c>
      <c r="I22" s="52">
        <v>379938.61597500008</v>
      </c>
      <c r="J22">
        <v>0.83200000000000007</v>
      </c>
      <c r="K22">
        <v>0.94</v>
      </c>
      <c r="L22">
        <v>0.92</v>
      </c>
      <c r="M22">
        <v>4.0999999999999995E-2</v>
      </c>
      <c r="N22">
        <v>0.34253523319202128</v>
      </c>
      <c r="O22">
        <v>0.8</v>
      </c>
      <c r="P22">
        <f>VLOOKUP($F22,[2]!hbe_risk[#All],5,FALSE)</f>
        <v>0.17499999999999999</v>
      </c>
      <c r="Q22">
        <v>3.3202537063655004</v>
      </c>
      <c r="R22">
        <v>25.645633706365501</v>
      </c>
      <c r="S22">
        <v>57.441657707732055</v>
      </c>
      <c r="T22">
        <v>58.782388165448587</v>
      </c>
      <c r="U22">
        <v>58.166753078696722</v>
      </c>
      <c r="V22">
        <v>3.0769329395417069</v>
      </c>
      <c r="W22">
        <v>3.7069329395417068</v>
      </c>
      <c r="X22">
        <v>2.6669097703049065</v>
      </c>
      <c r="Y22">
        <v>3.2969097703049064</v>
      </c>
      <c r="Z22">
        <v>3.29329314309539</v>
      </c>
      <c r="AA22">
        <v>3.2818750395023719</v>
      </c>
      <c r="AB22">
        <v>3.9118750395023718</v>
      </c>
      <c r="AC22">
        <v>2.3772909999999974E-2</v>
      </c>
      <c r="AD22">
        <v>9.7424053249741489E-4</v>
      </c>
      <c r="AE22">
        <v>1.6717461274585335E-3</v>
      </c>
      <c r="AF22">
        <v>1.194425499967817E-3</v>
      </c>
      <c r="AG22">
        <v>1.1093254475269168E-3</v>
      </c>
      <c r="AH22">
        <v>1.3370400435358479E-3</v>
      </c>
      <c r="AI22">
        <v>1.8276034080960189E-3</v>
      </c>
      <c r="AJ22">
        <v>2.4019140769418047E-3</v>
      </c>
      <c r="AK22">
        <v>3.1654986404268596E-3</v>
      </c>
      <c r="AL22">
        <v>4.0670161869690961E-3</v>
      </c>
      <c r="AM22">
        <v>5.1147043764609547E-3</v>
      </c>
      <c r="AN22">
        <v>6.6590983524453693E-3</v>
      </c>
      <c r="AO22">
        <v>1.0262420003263018E-2</v>
      </c>
      <c r="AP22">
        <v>1.7905784673707129E-2</v>
      </c>
      <c r="AQ22">
        <v>2.7932062680663994E-2</v>
      </c>
      <c r="AR22">
        <v>4.4392905636891383E-2</v>
      </c>
      <c r="AS22">
        <v>6.773773252768292E-2</v>
      </c>
      <c r="AT22">
        <v>9.5873096646979544E-2</v>
      </c>
      <c r="AU22">
        <v>0.12561634576764696</v>
      </c>
      <c r="AV22">
        <v>0.15292352428423295</v>
      </c>
      <c r="AW22">
        <v>0.17773889336070817</v>
      </c>
      <c r="AX22">
        <v>69.435000000000002</v>
      </c>
    </row>
    <row r="23" spans="1:50" x14ac:dyDescent="0.25">
      <c r="A23" t="s">
        <v>263</v>
      </c>
      <c r="B23" t="s">
        <v>264</v>
      </c>
      <c r="C23">
        <v>120</v>
      </c>
      <c r="D23" t="s">
        <v>207</v>
      </c>
      <c r="E23" t="s">
        <v>235</v>
      </c>
      <c r="F23" t="s">
        <v>211</v>
      </c>
      <c r="G23" t="s">
        <v>212</v>
      </c>
      <c r="H23" s="52">
        <v>26545864</v>
      </c>
      <c r="I23" s="52">
        <v>945271.67117600015</v>
      </c>
      <c r="J23">
        <v>0.67</v>
      </c>
      <c r="K23">
        <v>0</v>
      </c>
      <c r="L23">
        <v>0.69</v>
      </c>
      <c r="M23">
        <v>6.6199999999999995E-2</v>
      </c>
      <c r="N23">
        <v>0.29497789261106083</v>
      </c>
      <c r="O23">
        <v>0.38300000000000001</v>
      </c>
      <c r="P23">
        <f>VLOOKUP($F23,[2]!hbe_risk[#All],5,FALSE)</f>
        <v>4.8000000000000001E-2</v>
      </c>
      <c r="Q23">
        <v>3.9143565443425103</v>
      </c>
      <c r="R23">
        <v>26.239736544342513</v>
      </c>
      <c r="S23">
        <v>59.144253215847812</v>
      </c>
      <c r="T23">
        <v>61.061915365280782</v>
      </c>
      <c r="U23">
        <v>60.18136544047514</v>
      </c>
      <c r="V23">
        <v>2.0178320777930754</v>
      </c>
      <c r="W23">
        <v>6.8478320777930755</v>
      </c>
      <c r="X23">
        <v>1.6065239891468417</v>
      </c>
      <c r="Y23">
        <v>6.436523989146842</v>
      </c>
      <c r="Z23">
        <v>6.4317567369108488</v>
      </c>
      <c r="AA23">
        <v>2.2232322794562345</v>
      </c>
      <c r="AB23">
        <v>7.0532322794562345</v>
      </c>
      <c r="AC23">
        <v>6.119441000000006E-2</v>
      </c>
      <c r="AD23">
        <v>7.2176258558494548E-3</v>
      </c>
      <c r="AE23">
        <v>2.6275587039534072E-3</v>
      </c>
      <c r="AF23">
        <v>1.7924673681891632E-3</v>
      </c>
      <c r="AG23">
        <v>2.6749331320549278E-3</v>
      </c>
      <c r="AH23">
        <v>3.8411895876434422E-3</v>
      </c>
      <c r="AI23">
        <v>4.5577375755387209E-3</v>
      </c>
      <c r="AJ23">
        <v>5.3565303343789759E-3</v>
      </c>
      <c r="AK23">
        <v>6.4853402754334391E-3</v>
      </c>
      <c r="AL23">
        <v>7.9277310419522892E-3</v>
      </c>
      <c r="AM23">
        <v>9.6224058705783044E-3</v>
      </c>
      <c r="AN23">
        <v>1.2983774435845554E-2</v>
      </c>
      <c r="AO23">
        <v>1.6929201860546864E-2</v>
      </c>
      <c r="AP23">
        <v>2.4637086454959319E-2</v>
      </c>
      <c r="AQ23">
        <v>3.6873179579201235E-2</v>
      </c>
      <c r="AR23">
        <v>5.5759166911210051E-2</v>
      </c>
      <c r="AS23">
        <v>8.2609444240637903E-2</v>
      </c>
      <c r="AT23">
        <v>0.11878660513009633</v>
      </c>
      <c r="AU23">
        <v>0.15675453059100936</v>
      </c>
      <c r="AV23">
        <v>0.18387036190936415</v>
      </c>
      <c r="AW23">
        <v>0.18995136782086644</v>
      </c>
      <c r="AX23">
        <v>58.771999999999998</v>
      </c>
    </row>
    <row r="24" spans="1:50" x14ac:dyDescent="0.25">
      <c r="A24" t="s">
        <v>265</v>
      </c>
      <c r="B24" t="s">
        <v>266</v>
      </c>
      <c r="C24">
        <v>140</v>
      </c>
      <c r="D24" t="s">
        <v>207</v>
      </c>
      <c r="E24" t="s">
        <v>210</v>
      </c>
      <c r="F24" t="s">
        <v>211</v>
      </c>
      <c r="G24" t="s">
        <v>198</v>
      </c>
      <c r="H24" s="52">
        <v>4829764</v>
      </c>
      <c r="I24" s="52">
        <v>171021.94323999999</v>
      </c>
      <c r="J24">
        <v>0.52500000000000002</v>
      </c>
      <c r="K24">
        <v>0</v>
      </c>
      <c r="L24">
        <v>0.42</v>
      </c>
      <c r="M24">
        <v>7.5700000000000003E-2</v>
      </c>
      <c r="N24">
        <v>0.29820485243263806</v>
      </c>
      <c r="O24">
        <v>0.38300000000000001</v>
      </c>
      <c r="P24">
        <f>VLOOKUP($F24,[2]!hbe_risk[#All],5,FALSE)</f>
        <v>4.8000000000000001E-2</v>
      </c>
      <c r="Q24">
        <v>2.8842403697478991</v>
      </c>
      <c r="R24">
        <v>25.209620369747903</v>
      </c>
      <c r="S24">
        <v>55.592546177764042</v>
      </c>
      <c r="T24">
        <v>56.197808415245035</v>
      </c>
      <c r="U24">
        <v>55.919884789407618</v>
      </c>
      <c r="V24">
        <v>1.1204459056919176</v>
      </c>
      <c r="W24">
        <v>5.9504459056919181</v>
      </c>
      <c r="X24">
        <v>0.71502257725354135</v>
      </c>
      <c r="Y24">
        <v>5.5450225772535413</v>
      </c>
      <c r="Z24">
        <v>5.5432524907249965</v>
      </c>
      <c r="AA24">
        <v>1.3237480624114055</v>
      </c>
      <c r="AB24">
        <v>6.153748062411406</v>
      </c>
      <c r="AC24">
        <v>8.1922939999999944E-2</v>
      </c>
      <c r="AD24">
        <v>1.0878201770992952E-2</v>
      </c>
      <c r="AE24">
        <v>3.1964143762712766E-3</v>
      </c>
      <c r="AF24">
        <v>2.2879438563343461E-3</v>
      </c>
      <c r="AG24">
        <v>3.2946666733317093E-3</v>
      </c>
      <c r="AH24">
        <v>5.0192257116822353E-3</v>
      </c>
      <c r="AI24">
        <v>6.8432530446659069E-3</v>
      </c>
      <c r="AJ24">
        <v>8.6738032464507842E-3</v>
      </c>
      <c r="AK24">
        <v>1.1062967535899281E-2</v>
      </c>
      <c r="AL24">
        <v>1.2937061582216988E-2</v>
      </c>
      <c r="AM24">
        <v>1.4983573488699718E-2</v>
      </c>
      <c r="AN24">
        <v>1.8293733980304344E-2</v>
      </c>
      <c r="AO24">
        <v>2.2298694890880218E-2</v>
      </c>
      <c r="AP24">
        <v>2.9786511926594324E-2</v>
      </c>
      <c r="AQ24">
        <v>4.1518704376223209E-2</v>
      </c>
      <c r="AR24">
        <v>5.9437275456103944E-2</v>
      </c>
      <c r="AS24">
        <v>8.4083240543308749E-2</v>
      </c>
      <c r="AT24">
        <v>0.11801391721629427</v>
      </c>
      <c r="AU24">
        <v>0.15387640621894813</v>
      </c>
      <c r="AV24">
        <v>0.1794807122599974</v>
      </c>
      <c r="AW24">
        <v>0.1877332125933043</v>
      </c>
      <c r="AX24">
        <v>52.667999999999999</v>
      </c>
    </row>
    <row r="25" spans="1:50" x14ac:dyDescent="0.25">
      <c r="A25" t="s">
        <v>267</v>
      </c>
      <c r="B25" t="s">
        <v>268</v>
      </c>
      <c r="C25">
        <v>148</v>
      </c>
      <c r="D25" t="s">
        <v>207</v>
      </c>
      <c r="E25" t="s">
        <v>235</v>
      </c>
      <c r="F25" t="s">
        <v>211</v>
      </c>
      <c r="G25" t="s">
        <v>198</v>
      </c>
      <c r="H25" s="52">
        <v>16425859</v>
      </c>
      <c r="I25" s="52">
        <v>696998.47494700004</v>
      </c>
      <c r="J25">
        <v>0.217</v>
      </c>
      <c r="K25">
        <v>0</v>
      </c>
      <c r="L25">
        <v>0.52</v>
      </c>
      <c r="M25">
        <v>0.19339999999999999</v>
      </c>
      <c r="N25">
        <v>0.30401743635557654</v>
      </c>
      <c r="O25">
        <v>0.38300000000000001</v>
      </c>
      <c r="P25">
        <f>VLOOKUP($F25,[2]!hbe_risk[#All],5,FALSE)</f>
        <v>4.8000000000000001E-2</v>
      </c>
      <c r="Q25">
        <v>3.3824201680672301</v>
      </c>
      <c r="R25">
        <v>25.707800168067234</v>
      </c>
      <c r="S25">
        <v>57.199670171647846</v>
      </c>
      <c r="T25">
        <v>58.382099104048024</v>
      </c>
      <c r="U25">
        <v>57.839152731653456</v>
      </c>
      <c r="V25">
        <v>0.93751956384089108</v>
      </c>
      <c r="W25">
        <v>5.7675195638408914</v>
      </c>
      <c r="X25">
        <v>0.53072385934489408</v>
      </c>
      <c r="Y25">
        <v>5.360723859344894</v>
      </c>
      <c r="Z25">
        <v>5.358466906429749</v>
      </c>
      <c r="AA25">
        <v>1.141311002459183</v>
      </c>
      <c r="AB25">
        <v>5.9713110024591831</v>
      </c>
      <c r="AC25">
        <v>7.452462E-2</v>
      </c>
      <c r="AD25">
        <v>1.3083130315146792E-2</v>
      </c>
      <c r="AE25">
        <v>5.1726818568924651E-3</v>
      </c>
      <c r="AF25">
        <v>3.3557672904945485E-3</v>
      </c>
      <c r="AG25">
        <v>3.8593400925335006E-3</v>
      </c>
      <c r="AH25">
        <v>5.0987288719791489E-3</v>
      </c>
      <c r="AI25">
        <v>6.6955044433153633E-3</v>
      </c>
      <c r="AJ25">
        <v>8.4720848040507456E-3</v>
      </c>
      <c r="AK25">
        <v>1.0411925957953318E-2</v>
      </c>
      <c r="AL25">
        <v>1.1080151343649754E-2</v>
      </c>
      <c r="AM25">
        <v>1.1559324901721306E-2</v>
      </c>
      <c r="AN25">
        <v>1.2924525230492354E-2</v>
      </c>
      <c r="AO25">
        <v>1.6349138162578825E-2</v>
      </c>
      <c r="AP25">
        <v>2.34057272938786E-2</v>
      </c>
      <c r="AQ25">
        <v>3.4681211713298674E-2</v>
      </c>
      <c r="AR25">
        <v>5.2117806535806076E-2</v>
      </c>
      <c r="AS25">
        <v>7.5725788787142714E-2</v>
      </c>
      <c r="AT25">
        <v>0.10590133201655805</v>
      </c>
      <c r="AU25">
        <v>0.13696195144420933</v>
      </c>
      <c r="AV25">
        <v>0.16219236641061724</v>
      </c>
      <c r="AW25">
        <v>0.17872314050125573</v>
      </c>
      <c r="AX25">
        <v>53.798999999999999</v>
      </c>
    </row>
    <row r="26" spans="1:50" x14ac:dyDescent="0.25">
      <c r="A26" t="s">
        <v>269</v>
      </c>
      <c r="B26" t="s">
        <v>270</v>
      </c>
      <c r="C26">
        <v>156</v>
      </c>
      <c r="D26" t="s">
        <v>260</v>
      </c>
      <c r="E26" t="s">
        <v>271</v>
      </c>
      <c r="F26" t="s">
        <v>262</v>
      </c>
      <c r="G26" t="s">
        <v>204</v>
      </c>
      <c r="H26" s="52">
        <v>1439323774</v>
      </c>
      <c r="I26" s="52">
        <v>17171132.623819999</v>
      </c>
      <c r="J26">
        <v>0.999</v>
      </c>
      <c r="K26">
        <v>0.95</v>
      </c>
      <c r="L26">
        <v>0.99</v>
      </c>
      <c r="M26">
        <v>6.08E-2</v>
      </c>
      <c r="N26">
        <v>0.33366275035206483</v>
      </c>
      <c r="O26">
        <v>0.8</v>
      </c>
      <c r="P26">
        <f>VLOOKUP($F26,[2]!hbe_risk[#All],5,FALSE)</f>
        <v>0.17499999999999999</v>
      </c>
      <c r="Q26">
        <v>8.1668994004484805</v>
      </c>
      <c r="R26">
        <v>30.492279400448481</v>
      </c>
      <c r="S26">
        <v>78.313666660684589</v>
      </c>
      <c r="T26">
        <v>87.995038589808217</v>
      </c>
      <c r="U26">
        <v>83.549557238087317</v>
      </c>
      <c r="V26">
        <v>2.6695235885559976</v>
      </c>
      <c r="W26">
        <v>3.2995235885559975</v>
      </c>
      <c r="X26">
        <v>2.2350183639880257</v>
      </c>
      <c r="Y26">
        <v>2.8650183639880256</v>
      </c>
      <c r="Z26">
        <v>2.8513938115512873</v>
      </c>
      <c r="AA26">
        <v>2.8831940734608197</v>
      </c>
      <c r="AB26">
        <v>3.5131940734608196</v>
      </c>
      <c r="AC26">
        <v>9.8941700000000129E-3</v>
      </c>
      <c r="AD26">
        <v>4.1349115174888618E-4</v>
      </c>
      <c r="AE26">
        <v>3.1192504790974275E-4</v>
      </c>
      <c r="AF26">
        <v>2.3281974802200089E-4</v>
      </c>
      <c r="AG26">
        <v>3.3838460396917025E-4</v>
      </c>
      <c r="AH26">
        <v>4.7513191743787025E-4</v>
      </c>
      <c r="AI26">
        <v>6.3559567612006638E-4</v>
      </c>
      <c r="AJ26">
        <v>8.0382412585949207E-4</v>
      </c>
      <c r="AK26">
        <v>1.0182795635051796E-3</v>
      </c>
      <c r="AL26">
        <v>1.4416102180106471E-3</v>
      </c>
      <c r="AM26">
        <v>2.1173871312260202E-3</v>
      </c>
      <c r="AN26">
        <v>3.512568221798414E-3</v>
      </c>
      <c r="AO26">
        <v>5.8831350606262144E-3</v>
      </c>
      <c r="AP26">
        <v>1.0955642853977677E-2</v>
      </c>
      <c r="AQ26">
        <v>1.943896708122141E-2</v>
      </c>
      <c r="AR26">
        <v>3.4256869399675968E-2</v>
      </c>
      <c r="AS26">
        <v>5.4431970137010864E-2</v>
      </c>
      <c r="AT26">
        <v>7.7417050050061387E-2</v>
      </c>
      <c r="AU26">
        <v>0.10718323055323137</v>
      </c>
      <c r="AV26">
        <v>0.13326657184885557</v>
      </c>
      <c r="AW26">
        <v>0.15465995088238757</v>
      </c>
      <c r="AX26">
        <v>76.623000000000005</v>
      </c>
    </row>
    <row r="27" spans="1:50" x14ac:dyDescent="0.25">
      <c r="A27" t="s">
        <v>272</v>
      </c>
      <c r="B27" t="s">
        <v>273</v>
      </c>
      <c r="C27">
        <v>170</v>
      </c>
      <c r="D27" t="s">
        <v>215</v>
      </c>
      <c r="E27" t="s">
        <v>274</v>
      </c>
      <c r="F27" t="s">
        <v>217</v>
      </c>
      <c r="G27" t="s">
        <v>204</v>
      </c>
      <c r="H27" s="52">
        <v>50882884</v>
      </c>
      <c r="I27" s="52">
        <v>764718.86363599997</v>
      </c>
      <c r="J27">
        <v>0.99199999999999999</v>
      </c>
      <c r="K27">
        <v>0.88</v>
      </c>
      <c r="L27">
        <v>0.88</v>
      </c>
      <c r="M27">
        <v>1.2199999999999999E-2</v>
      </c>
      <c r="N27">
        <v>0.31514724266997862</v>
      </c>
      <c r="O27">
        <v>0.8</v>
      </c>
      <c r="P27">
        <f>VLOOKUP($F27,[2]!hbe_risk[#All],5,FALSE)</f>
        <v>0.17499999999999999</v>
      </c>
      <c r="Q27">
        <v>19.091770137496699</v>
      </c>
      <c r="R27">
        <v>41.417150137496698</v>
      </c>
      <c r="S27">
        <v>97.046751200806597</v>
      </c>
      <c r="T27">
        <v>110.79202550839801</v>
      </c>
      <c r="U27">
        <v>104.48048608443773</v>
      </c>
      <c r="V27">
        <v>3.5469352538724293</v>
      </c>
      <c r="W27">
        <v>3.5669352538724293</v>
      </c>
      <c r="X27">
        <v>3.128120530792641</v>
      </c>
      <c r="Y27">
        <v>3.148120530792641</v>
      </c>
      <c r="Z27">
        <v>3.1405455514966527</v>
      </c>
      <c r="AA27">
        <v>3.7550117338988556</v>
      </c>
      <c r="AB27">
        <v>3.7750117338988556</v>
      </c>
      <c r="AC27">
        <v>1.2637350000000006E-2</v>
      </c>
      <c r="AD27">
        <v>5.3865213556538111E-4</v>
      </c>
      <c r="AE27">
        <v>4.0049114360269359E-4</v>
      </c>
      <c r="AF27">
        <v>3.6850387787640276E-4</v>
      </c>
      <c r="AG27">
        <v>9.3549477319647498E-4</v>
      </c>
      <c r="AH27">
        <v>1.7994247056837621E-3</v>
      </c>
      <c r="AI27">
        <v>1.864232983062206E-3</v>
      </c>
      <c r="AJ27">
        <v>1.825573792480839E-3</v>
      </c>
      <c r="AK27">
        <v>1.9885352256190023E-3</v>
      </c>
      <c r="AL27">
        <v>2.2528131865802684E-3</v>
      </c>
      <c r="AM27">
        <v>2.8462647968053767E-3</v>
      </c>
      <c r="AN27">
        <v>4.3761225358191951E-3</v>
      </c>
      <c r="AO27">
        <v>6.5323439574352634E-3</v>
      </c>
      <c r="AP27">
        <v>1.0092265971036027E-2</v>
      </c>
      <c r="AQ27">
        <v>1.559690302839245E-2</v>
      </c>
      <c r="AR27">
        <v>2.3838540259638542E-2</v>
      </c>
      <c r="AS27">
        <v>3.5819227461109215E-2</v>
      </c>
      <c r="AT27">
        <v>5.6040589677096839E-2</v>
      </c>
      <c r="AU27">
        <v>8.7598910727402585E-2</v>
      </c>
      <c r="AV27">
        <v>0.10396421786115767</v>
      </c>
      <c r="AW27">
        <v>0.15253600286363886</v>
      </c>
      <c r="AX27">
        <v>77.021000000000001</v>
      </c>
    </row>
    <row r="28" spans="1:50" x14ac:dyDescent="0.25">
      <c r="A28" t="s">
        <v>275</v>
      </c>
      <c r="B28" t="s">
        <v>276</v>
      </c>
      <c r="C28">
        <v>174</v>
      </c>
      <c r="D28" t="s">
        <v>207</v>
      </c>
      <c r="E28" t="s">
        <v>255</v>
      </c>
      <c r="F28" t="s">
        <v>211</v>
      </c>
      <c r="G28" t="s">
        <v>212</v>
      </c>
      <c r="H28" s="52">
        <v>869595</v>
      </c>
      <c r="I28" s="52">
        <v>27901.82517</v>
      </c>
      <c r="J28">
        <v>0.7609999999999999</v>
      </c>
      <c r="K28">
        <v>0</v>
      </c>
      <c r="L28">
        <v>0.87</v>
      </c>
      <c r="M28">
        <v>5.0499999999999996E-2</v>
      </c>
      <c r="N28">
        <v>0.27833288120198318</v>
      </c>
      <c r="O28">
        <v>0.38300000000000001</v>
      </c>
      <c r="P28">
        <f>VLOOKUP($F28,[2]!hbe_risk[#All],5,FALSE)</f>
        <v>4.8000000000000001E-2</v>
      </c>
      <c r="Q28">
        <v>3.3421121858500502</v>
      </c>
      <c r="R28">
        <v>25.667492185850051</v>
      </c>
      <c r="S28">
        <v>56.920105228505662</v>
      </c>
      <c r="T28">
        <v>57.978009275049708</v>
      </c>
      <c r="U28">
        <v>57.492242098119512</v>
      </c>
      <c r="V28">
        <v>5.312244042826558</v>
      </c>
      <c r="W28">
        <v>10.142244042826558</v>
      </c>
      <c r="X28">
        <v>4.9028007801640658</v>
      </c>
      <c r="Y28">
        <v>9.7328007801640659</v>
      </c>
      <c r="Z28">
        <v>9.7293488997336262</v>
      </c>
      <c r="AA28">
        <v>5.5169793934868174</v>
      </c>
      <c r="AB28">
        <v>10.346979393486818</v>
      </c>
      <c r="AC28">
        <v>5.3117580000000018E-2</v>
      </c>
      <c r="AD28">
        <v>4.4733246816431645E-3</v>
      </c>
      <c r="AE28">
        <v>1.367968458423591E-3</v>
      </c>
      <c r="AF28">
        <v>1.0731665348840088E-3</v>
      </c>
      <c r="AG28">
        <v>1.7216025774921843E-3</v>
      </c>
      <c r="AH28">
        <v>2.3973981604181061E-3</v>
      </c>
      <c r="AI28">
        <v>2.6139796347828515E-3</v>
      </c>
      <c r="AJ28">
        <v>2.993883306561577E-3</v>
      </c>
      <c r="AK28">
        <v>3.6980277228157348E-3</v>
      </c>
      <c r="AL28">
        <v>4.8596002026809627E-3</v>
      </c>
      <c r="AM28">
        <v>6.7645265277408743E-3</v>
      </c>
      <c r="AN28">
        <v>9.8107215788994246E-3</v>
      </c>
      <c r="AO28">
        <v>1.4404631742828257E-2</v>
      </c>
      <c r="AP28">
        <v>2.1682562096455023E-2</v>
      </c>
      <c r="AQ28">
        <v>3.2718619887808872E-2</v>
      </c>
      <c r="AR28">
        <v>4.9782045329479753E-2</v>
      </c>
      <c r="AS28">
        <v>7.3859408421804468E-2</v>
      </c>
      <c r="AT28">
        <v>0.10484703295475105</v>
      </c>
      <c r="AU28">
        <v>0.13712499271089665</v>
      </c>
      <c r="AV28">
        <v>0.16310819751122144</v>
      </c>
      <c r="AW28">
        <v>0.17969401756102807</v>
      </c>
      <c r="AX28">
        <v>63.982999999999997</v>
      </c>
    </row>
    <row r="29" spans="1:50" x14ac:dyDescent="0.25">
      <c r="A29" t="s">
        <v>277</v>
      </c>
      <c r="B29" t="s">
        <v>278</v>
      </c>
      <c r="C29">
        <v>180</v>
      </c>
      <c r="D29" t="s">
        <v>207</v>
      </c>
      <c r="E29" t="s">
        <v>210</v>
      </c>
      <c r="F29" t="s">
        <v>211</v>
      </c>
      <c r="G29" t="s">
        <v>198</v>
      </c>
      <c r="H29" s="52">
        <v>89561404</v>
      </c>
      <c r="I29" s="52">
        <v>3709454.2308719996</v>
      </c>
      <c r="J29">
        <v>0.81499999999999995</v>
      </c>
      <c r="K29">
        <v>0</v>
      </c>
      <c r="L29">
        <v>0.56999999999999995</v>
      </c>
      <c r="M29">
        <v>0.10779999999999999</v>
      </c>
      <c r="N29">
        <v>0.28784992441120982</v>
      </c>
      <c r="O29">
        <v>0.38300000000000001</v>
      </c>
      <c r="P29">
        <f>VLOOKUP($F29,[2]!hbe_risk[#All],5,FALSE)</f>
        <v>4.8000000000000001E-2</v>
      </c>
      <c r="Q29">
        <v>0</v>
      </c>
      <c r="R29">
        <v>0</v>
      </c>
      <c r="S29">
        <v>0</v>
      </c>
      <c r="T29">
        <v>0</v>
      </c>
      <c r="U29">
        <v>0</v>
      </c>
      <c r="V29">
        <v>1.4507294174698213</v>
      </c>
      <c r="W29">
        <v>6.2807294174698214</v>
      </c>
      <c r="X29">
        <v>1.045044807731943</v>
      </c>
      <c r="Y29">
        <v>5.8750448077319426</v>
      </c>
      <c r="Z29">
        <v>5.8732664760860409</v>
      </c>
      <c r="AA29">
        <v>1.65412472665261</v>
      </c>
      <c r="AB29">
        <v>6.4841247266526096</v>
      </c>
      <c r="AC29">
        <v>6.4932519999999938E-2</v>
      </c>
      <c r="AD29">
        <v>9.5056695801248679E-3</v>
      </c>
      <c r="AE29">
        <v>3.4410748447625044E-3</v>
      </c>
      <c r="AF29">
        <v>2.0330546256173577E-3</v>
      </c>
      <c r="AG29">
        <v>2.719773650616568E-3</v>
      </c>
      <c r="AH29">
        <v>3.6635580335150114E-3</v>
      </c>
      <c r="AI29">
        <v>4.0131964022377788E-3</v>
      </c>
      <c r="AJ29">
        <v>4.4064621302765915E-3</v>
      </c>
      <c r="AK29">
        <v>4.9888338436428958E-3</v>
      </c>
      <c r="AL29">
        <v>6.1151343995977494E-3</v>
      </c>
      <c r="AM29">
        <v>7.3603030081988681E-3</v>
      </c>
      <c r="AN29">
        <v>1.0138900378272279E-2</v>
      </c>
      <c r="AO29">
        <v>1.344107868531209E-2</v>
      </c>
      <c r="AP29">
        <v>2.0035393681773542E-2</v>
      </c>
      <c r="AQ29">
        <v>3.0375283369765884E-2</v>
      </c>
      <c r="AR29">
        <v>4.6352652330819422E-2</v>
      </c>
      <c r="AS29">
        <v>6.8917204664108972E-2</v>
      </c>
      <c r="AT29">
        <v>9.8668373818565164E-2</v>
      </c>
      <c r="AU29">
        <v>0.13067829451434507</v>
      </c>
      <c r="AV29">
        <v>0.15784700316171463</v>
      </c>
      <c r="AW29">
        <v>0.17666724177473303</v>
      </c>
      <c r="AX29">
        <v>60.210999999999999</v>
      </c>
    </row>
    <row r="30" spans="1:50" x14ac:dyDescent="0.25">
      <c r="A30" t="s">
        <v>279</v>
      </c>
      <c r="B30" t="s">
        <v>280</v>
      </c>
      <c r="C30">
        <v>178</v>
      </c>
      <c r="D30" t="s">
        <v>207</v>
      </c>
      <c r="E30" t="s">
        <v>210</v>
      </c>
      <c r="F30" t="s">
        <v>211</v>
      </c>
      <c r="G30" t="s">
        <v>212</v>
      </c>
      <c r="H30" s="52">
        <v>5518092</v>
      </c>
      <c r="I30" s="52">
        <v>182372.94059999997</v>
      </c>
      <c r="J30">
        <v>0.91500000000000004</v>
      </c>
      <c r="K30">
        <v>0</v>
      </c>
      <c r="L30">
        <v>0.73</v>
      </c>
      <c r="M30">
        <v>8.9700000000000002E-2</v>
      </c>
      <c r="N30">
        <v>0.28670054073476925</v>
      </c>
      <c r="O30">
        <v>0.38300000000000001</v>
      </c>
      <c r="P30">
        <f>VLOOKUP($F30,[2]!hbe_risk[#All],5,FALSE)</f>
        <v>4.8000000000000001E-2</v>
      </c>
      <c r="Q30">
        <v>6.1042125029212402</v>
      </c>
      <c r="R30">
        <v>28.429592502921242</v>
      </c>
      <c r="S30">
        <v>67.66631727785375</v>
      </c>
      <c r="T30">
        <v>72.879672427181333</v>
      </c>
      <c r="U30">
        <v>70.485809938899479</v>
      </c>
      <c r="V30">
        <v>2.59583460982532</v>
      </c>
      <c r="W30">
        <v>7.4258346098253201</v>
      </c>
      <c r="X30">
        <v>2.1840658839662601</v>
      </c>
      <c r="Y30">
        <v>7.0140658839662606</v>
      </c>
      <c r="Z30">
        <v>7.0097625177251341</v>
      </c>
      <c r="AA30">
        <v>2.8013990386687038</v>
      </c>
      <c r="AB30">
        <v>7.6313990386687038</v>
      </c>
      <c r="AC30">
        <v>3.530600999999995E-2</v>
      </c>
      <c r="AD30">
        <v>3.1717311724933847E-3</v>
      </c>
      <c r="AE30">
        <v>1.3452772188216387E-3</v>
      </c>
      <c r="AF30">
        <v>9.9392376760084429E-4</v>
      </c>
      <c r="AG30">
        <v>1.6210963076301219E-3</v>
      </c>
      <c r="AH30">
        <v>2.5597781871428797E-3</v>
      </c>
      <c r="AI30">
        <v>3.44003463784692E-3</v>
      </c>
      <c r="AJ30">
        <v>4.3737151618387328E-3</v>
      </c>
      <c r="AK30">
        <v>5.6764018575043334E-3</v>
      </c>
      <c r="AL30">
        <v>6.9930262268914824E-3</v>
      </c>
      <c r="AM30">
        <v>8.5974144782363215E-3</v>
      </c>
      <c r="AN30">
        <v>1.1451863433616953E-2</v>
      </c>
      <c r="AO30">
        <v>1.4818382230749182E-2</v>
      </c>
      <c r="AP30">
        <v>2.1302291206178454E-2</v>
      </c>
      <c r="AQ30">
        <v>3.1865335079911378E-2</v>
      </c>
      <c r="AR30">
        <v>4.8549067683627468E-2</v>
      </c>
      <c r="AS30">
        <v>7.3367233525748185E-2</v>
      </c>
      <c r="AT30">
        <v>0.10931198128355135</v>
      </c>
      <c r="AU30">
        <v>0.15002151967875849</v>
      </c>
      <c r="AV30">
        <v>0.18105531460327798</v>
      </c>
      <c r="AW30">
        <v>0.18968310805025923</v>
      </c>
      <c r="AX30">
        <v>64.156999999999996</v>
      </c>
    </row>
    <row r="31" spans="1:50" x14ac:dyDescent="0.25">
      <c r="A31" t="s">
        <v>281</v>
      </c>
      <c r="B31" t="s">
        <v>282</v>
      </c>
      <c r="C31">
        <v>188</v>
      </c>
      <c r="D31" t="s">
        <v>215</v>
      </c>
      <c r="E31" t="s">
        <v>274</v>
      </c>
      <c r="F31" t="s">
        <v>217</v>
      </c>
      <c r="G31" t="s">
        <v>204</v>
      </c>
      <c r="H31" s="52">
        <v>5094114</v>
      </c>
      <c r="I31" s="52">
        <v>71883.042654000004</v>
      </c>
      <c r="J31">
        <v>0.97799999999999998</v>
      </c>
      <c r="K31">
        <v>0.87</v>
      </c>
      <c r="L31">
        <v>0.98</v>
      </c>
      <c r="M31">
        <v>4.0000000000000001E-3</v>
      </c>
      <c r="N31">
        <v>0.30752866335744444</v>
      </c>
      <c r="O31">
        <v>0.8</v>
      </c>
      <c r="P31">
        <f>VLOOKUP($F31,[2]!hbe_risk[#All],5,FALSE)</f>
        <v>0.17499999999999999</v>
      </c>
      <c r="Q31">
        <v>14.0360325472088</v>
      </c>
      <c r="R31">
        <v>36.361412547208801</v>
      </c>
      <c r="S31">
        <v>108.25737028284458</v>
      </c>
      <c r="T31">
        <v>130.46871471055076</v>
      </c>
      <c r="U31">
        <v>120.26973483735875</v>
      </c>
      <c r="V31">
        <v>6.8954766116386441</v>
      </c>
      <c r="W31">
        <v>6.9154766116386437</v>
      </c>
      <c r="X31">
        <v>6.4552307661715762</v>
      </c>
      <c r="Y31">
        <v>6.4752307661715758</v>
      </c>
      <c r="Z31">
        <v>6.4591490554085196</v>
      </c>
      <c r="AA31">
        <v>7.1111937526900997</v>
      </c>
      <c r="AB31">
        <v>7.1311937526900993</v>
      </c>
      <c r="AC31">
        <v>7.3181299999999462E-3</v>
      </c>
      <c r="AD31">
        <v>4.6142426273991451E-4</v>
      </c>
      <c r="AE31">
        <v>1.8918914118232766E-4</v>
      </c>
      <c r="AF31">
        <v>2.5232738020382442E-4</v>
      </c>
      <c r="AG31">
        <v>5.2172454069002096E-4</v>
      </c>
      <c r="AH31">
        <v>7.908633138036745E-4</v>
      </c>
      <c r="AI31">
        <v>9.1949466879533679E-4</v>
      </c>
      <c r="AJ31">
        <v>1.0856776487376807E-3</v>
      </c>
      <c r="AK31">
        <v>1.3319622395929988E-3</v>
      </c>
      <c r="AL31">
        <v>1.7484039146829294E-3</v>
      </c>
      <c r="AM31">
        <v>2.4687342957337038E-3</v>
      </c>
      <c r="AN31">
        <v>3.6194176823825556E-3</v>
      </c>
      <c r="AO31">
        <v>5.4910944339037924E-3</v>
      </c>
      <c r="AP31">
        <v>8.4570007585224993E-3</v>
      </c>
      <c r="AQ31">
        <v>1.3241919781259413E-2</v>
      </c>
      <c r="AR31">
        <v>2.0486290411796466E-2</v>
      </c>
      <c r="AS31">
        <v>3.2474185601327671E-2</v>
      </c>
      <c r="AT31">
        <v>5.0450906422022219E-2</v>
      </c>
      <c r="AU31">
        <v>7.5109505569320376E-2</v>
      </c>
      <c r="AV31">
        <v>0.10663738143527123</v>
      </c>
      <c r="AW31">
        <v>0.14167834271936142</v>
      </c>
      <c r="AX31">
        <v>80.003</v>
      </c>
    </row>
    <row r="32" spans="1:50" x14ac:dyDescent="0.25">
      <c r="A32" t="s">
        <v>283</v>
      </c>
      <c r="B32" t="s">
        <v>284</v>
      </c>
      <c r="C32">
        <v>384</v>
      </c>
      <c r="D32" t="s">
        <v>207</v>
      </c>
      <c r="E32" t="s">
        <v>235</v>
      </c>
      <c r="F32" t="s">
        <v>211</v>
      </c>
      <c r="G32" t="s">
        <v>212</v>
      </c>
      <c r="H32" s="52">
        <v>26378275</v>
      </c>
      <c r="I32" s="52">
        <v>946848.18112500012</v>
      </c>
      <c r="J32">
        <v>0.69799999999999995</v>
      </c>
      <c r="K32">
        <v>0.62</v>
      </c>
      <c r="L32">
        <v>0.8</v>
      </c>
      <c r="M32">
        <v>0.1069</v>
      </c>
      <c r="N32">
        <v>0.29747114568885691</v>
      </c>
      <c r="O32">
        <v>0.38300000000000001</v>
      </c>
      <c r="P32">
        <f>VLOOKUP($F32,[2]!hbe_risk[#All],5,FALSE)</f>
        <v>4.8000000000000001E-2</v>
      </c>
      <c r="Q32">
        <v>3.7326126436781601</v>
      </c>
      <c r="R32">
        <v>26.057992643678162</v>
      </c>
      <c r="S32">
        <v>58.49183420708799</v>
      </c>
      <c r="T32">
        <v>60.16452641339238</v>
      </c>
      <c r="U32">
        <v>59.39646150846643</v>
      </c>
      <c r="V32">
        <v>2.2716675500600374</v>
      </c>
      <c r="W32">
        <v>7.1016675500600375</v>
      </c>
      <c r="X32">
        <v>1.8569086787757421</v>
      </c>
      <c r="Y32">
        <v>6.6869086787757421</v>
      </c>
      <c r="Z32">
        <v>6.6813204815400633</v>
      </c>
      <c r="AA32">
        <v>2.4782980307506786</v>
      </c>
      <c r="AB32">
        <v>7.3082980307506791</v>
      </c>
      <c r="AC32">
        <v>6.0459799999999959E-2</v>
      </c>
      <c r="AD32">
        <v>7.0854339175694843E-3</v>
      </c>
      <c r="AE32">
        <v>2.5836663336663377E-3</v>
      </c>
      <c r="AF32">
        <v>1.8599525234577871E-3</v>
      </c>
      <c r="AG32">
        <v>2.7715887376696716E-3</v>
      </c>
      <c r="AH32">
        <v>4.0981295766211977E-3</v>
      </c>
      <c r="AI32">
        <v>5.2283557631281133E-3</v>
      </c>
      <c r="AJ32">
        <v>6.4126252707657526E-3</v>
      </c>
      <c r="AK32">
        <v>8.0386040975210463E-3</v>
      </c>
      <c r="AL32">
        <v>9.7503351565958046E-3</v>
      </c>
      <c r="AM32">
        <v>1.1730824607662307E-2</v>
      </c>
      <c r="AN32">
        <v>1.531094484439299E-2</v>
      </c>
      <c r="AO32">
        <v>1.9539605890519628E-2</v>
      </c>
      <c r="AP32">
        <v>2.7532192358079261E-2</v>
      </c>
      <c r="AQ32">
        <v>4.005454440234088E-2</v>
      </c>
      <c r="AR32">
        <v>5.8992919015540331E-2</v>
      </c>
      <c r="AS32">
        <v>8.5363956262810389E-2</v>
      </c>
      <c r="AT32">
        <v>0.12069078346567236</v>
      </c>
      <c r="AU32">
        <v>0.15740472383682066</v>
      </c>
      <c r="AV32">
        <v>0.18322798533596515</v>
      </c>
      <c r="AW32">
        <v>0.18956358144949656</v>
      </c>
      <c r="AX32">
        <v>57.244999999999997</v>
      </c>
    </row>
    <row r="33" spans="1:50" x14ac:dyDescent="0.25">
      <c r="A33" t="s">
        <v>285</v>
      </c>
      <c r="B33" t="s">
        <v>286</v>
      </c>
      <c r="C33">
        <v>192</v>
      </c>
      <c r="D33" t="s">
        <v>215</v>
      </c>
      <c r="E33" t="s">
        <v>232</v>
      </c>
      <c r="F33" t="s">
        <v>217</v>
      </c>
      <c r="G33" t="s">
        <v>204</v>
      </c>
      <c r="H33" s="52">
        <v>11326616</v>
      </c>
      <c r="I33" s="52">
        <v>115724.03567200001</v>
      </c>
      <c r="J33">
        <v>0.999</v>
      </c>
      <c r="K33">
        <v>0.99</v>
      </c>
      <c r="L33">
        <v>0.99</v>
      </c>
      <c r="M33">
        <v>7.7000000000000002E-3</v>
      </c>
      <c r="N33">
        <v>0.31223161166773539</v>
      </c>
      <c r="O33">
        <v>0.8</v>
      </c>
      <c r="P33">
        <f>VLOOKUP($F33,[2]!hbe_risk[#All],5,FALSE)</f>
        <v>0.17499999999999999</v>
      </c>
      <c r="Q33">
        <v>12.3150574434957</v>
      </c>
      <c r="R33">
        <v>34.640437443495699</v>
      </c>
      <c r="S33">
        <v>88.192733725763134</v>
      </c>
      <c r="T33">
        <v>100.85684349900771</v>
      </c>
      <c r="U33">
        <v>95.041751976312611</v>
      </c>
      <c r="V33">
        <v>6.024688640923328</v>
      </c>
      <c r="W33">
        <v>6.0446886409233276</v>
      </c>
      <c r="X33">
        <v>5.592623904696298</v>
      </c>
      <c r="Y33">
        <v>5.6126239046962976</v>
      </c>
      <c r="Z33">
        <v>5.5996908003685002</v>
      </c>
      <c r="AA33">
        <v>6.2374890386805104</v>
      </c>
      <c r="AB33">
        <v>6.25748903868051</v>
      </c>
      <c r="AC33">
        <v>4.4860099999999509E-3</v>
      </c>
      <c r="AD33">
        <v>2.7286407095093327E-4</v>
      </c>
      <c r="AE33">
        <v>1.6058487043142235E-4</v>
      </c>
      <c r="AF33">
        <v>2.0419291715907133E-4</v>
      </c>
      <c r="AG33">
        <v>4.2856112965182892E-4</v>
      </c>
      <c r="AH33">
        <v>5.7381236719039597E-4</v>
      </c>
      <c r="AI33">
        <v>6.3449671839327154E-4</v>
      </c>
      <c r="AJ33">
        <v>7.9041557705802586E-4</v>
      </c>
      <c r="AK33">
        <v>1.0684936873866888E-3</v>
      </c>
      <c r="AL33">
        <v>1.6980494435071534E-3</v>
      </c>
      <c r="AM33">
        <v>2.8320069798676538E-3</v>
      </c>
      <c r="AN33">
        <v>4.5622141489087241E-3</v>
      </c>
      <c r="AO33">
        <v>7.0343698713799694E-3</v>
      </c>
      <c r="AP33">
        <v>1.1144826118651127E-2</v>
      </c>
      <c r="AQ33">
        <v>1.7004870824126817E-2</v>
      </c>
      <c r="AR33">
        <v>2.4790327704297923E-2</v>
      </c>
      <c r="AS33">
        <v>3.7568422963982953E-2</v>
      </c>
      <c r="AT33">
        <v>6.0408823783307579E-2</v>
      </c>
      <c r="AU33">
        <v>8.5664354340569099E-2</v>
      </c>
      <c r="AV33">
        <v>0.11387042910074163</v>
      </c>
      <c r="AW33">
        <v>0.14301913227179722</v>
      </c>
      <c r="AX33">
        <v>78.685000000000002</v>
      </c>
    </row>
    <row r="34" spans="1:50" x14ac:dyDescent="0.25">
      <c r="A34" t="s">
        <v>287</v>
      </c>
      <c r="B34" t="s">
        <v>288</v>
      </c>
      <c r="C34">
        <v>262</v>
      </c>
      <c r="D34" t="s">
        <v>196</v>
      </c>
      <c r="E34" t="s">
        <v>255</v>
      </c>
      <c r="F34" t="s">
        <v>211</v>
      </c>
      <c r="G34" t="s">
        <v>212</v>
      </c>
      <c r="H34" s="52">
        <v>988002</v>
      </c>
      <c r="I34" s="52">
        <v>21434.703389999999</v>
      </c>
      <c r="J34">
        <v>0.86699999999999999</v>
      </c>
      <c r="K34">
        <v>0.77</v>
      </c>
      <c r="L34">
        <v>0.7</v>
      </c>
      <c r="M34">
        <v>5.33E-2</v>
      </c>
      <c r="N34">
        <v>0.2560195816126718</v>
      </c>
      <c r="O34">
        <v>0.38300000000000001</v>
      </c>
      <c r="P34">
        <f>VLOOKUP($F34,[2]!hbe_risk[#All],5,FALSE)</f>
        <v>4.8000000000000001E-2</v>
      </c>
      <c r="Q34">
        <v>4.3846181583793697</v>
      </c>
      <c r="R34">
        <v>26.709998158379371</v>
      </c>
      <c r="S34">
        <v>60.637996340754768</v>
      </c>
      <c r="T34">
        <v>63.088344844742409</v>
      </c>
      <c r="U34">
        <v>61.963196605480377</v>
      </c>
      <c r="V34">
        <v>4.581837081274001</v>
      </c>
      <c r="W34">
        <v>9.4118370812740011</v>
      </c>
      <c r="X34">
        <v>4.1607355624260425</v>
      </c>
      <c r="Y34">
        <v>8.9907355624260425</v>
      </c>
      <c r="Z34">
        <v>8.9826541036061194</v>
      </c>
      <c r="AA34">
        <v>4.7907288537047314</v>
      </c>
      <c r="AB34">
        <v>9.6207288537047315</v>
      </c>
      <c r="AC34">
        <v>3.3652050000000017E-2</v>
      </c>
      <c r="AD34">
        <v>4.5286948660676427E-3</v>
      </c>
      <c r="AE34">
        <v>1.7770425757683657E-3</v>
      </c>
      <c r="AF34">
        <v>1.2140762544420878E-3</v>
      </c>
      <c r="AG34">
        <v>1.6221358937118986E-3</v>
      </c>
      <c r="AH34">
        <v>2.1692584353159221E-3</v>
      </c>
      <c r="AI34">
        <v>2.6138540091944569E-3</v>
      </c>
      <c r="AJ34">
        <v>3.2985286081480751E-3</v>
      </c>
      <c r="AK34">
        <v>4.4668745220981217E-3</v>
      </c>
      <c r="AL34">
        <v>5.5143666885556029E-3</v>
      </c>
      <c r="AM34">
        <v>6.6193220926600979E-3</v>
      </c>
      <c r="AN34">
        <v>8.6599715494527271E-3</v>
      </c>
      <c r="AO34">
        <v>1.1327594658021498E-2</v>
      </c>
      <c r="AP34">
        <v>1.7073142130542264E-2</v>
      </c>
      <c r="AQ34">
        <v>2.6326994283116099E-2</v>
      </c>
      <c r="AR34">
        <v>4.0989689849863606E-2</v>
      </c>
      <c r="AS34">
        <v>6.2473910229660326E-2</v>
      </c>
      <c r="AT34">
        <v>9.1689805616604197E-2</v>
      </c>
      <c r="AU34">
        <v>0.12456118941341625</v>
      </c>
      <c r="AV34">
        <v>0.15352283955587445</v>
      </c>
      <c r="AW34">
        <v>0.17455336213556152</v>
      </c>
      <c r="AX34">
        <v>66.540000000000006</v>
      </c>
    </row>
    <row r="35" spans="1:50" x14ac:dyDescent="0.25">
      <c r="A35" t="s">
        <v>289</v>
      </c>
      <c r="B35" t="s">
        <v>290</v>
      </c>
      <c r="C35">
        <v>212</v>
      </c>
      <c r="D35" t="s">
        <v>215</v>
      </c>
      <c r="E35" t="s">
        <v>232</v>
      </c>
      <c r="F35" t="s">
        <v>217</v>
      </c>
      <c r="G35" t="s">
        <v>204</v>
      </c>
      <c r="H35" s="52">
        <v>71991</v>
      </c>
      <c r="I35" s="52">
        <v>863.89200000000005</v>
      </c>
      <c r="J35">
        <v>0</v>
      </c>
      <c r="K35">
        <v>0.99</v>
      </c>
      <c r="L35">
        <v>0.97</v>
      </c>
      <c r="M35">
        <v>1.54E-2</v>
      </c>
      <c r="N35">
        <v>0</v>
      </c>
      <c r="O35">
        <v>0.8</v>
      </c>
      <c r="P35">
        <f>VLOOKUP($F35,[2]!hbe_risk[#All],5,FALSE)</f>
        <v>0.17499999999999999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15.405178474589993</v>
      </c>
      <c r="W35">
        <v>15.425178474589993</v>
      </c>
      <c r="X35">
        <v>14.982991777476984</v>
      </c>
      <c r="Y35">
        <v>15.002991777476984</v>
      </c>
      <c r="Z35">
        <v>14.994990723322861</v>
      </c>
      <c r="AA35">
        <v>15.614457136663045</v>
      </c>
      <c r="AB35">
        <v>15.634457136663045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t="s">
        <v>291</v>
      </c>
      <c r="B36" t="s">
        <v>292</v>
      </c>
      <c r="C36">
        <v>214</v>
      </c>
      <c r="D36" t="s">
        <v>215</v>
      </c>
      <c r="E36" t="s">
        <v>232</v>
      </c>
      <c r="F36" t="s">
        <v>217</v>
      </c>
      <c r="G36" t="s">
        <v>204</v>
      </c>
      <c r="H36" s="52">
        <v>10847904</v>
      </c>
      <c r="I36" s="52">
        <v>213540.99023999998</v>
      </c>
      <c r="J36">
        <v>0.97900000000000009</v>
      </c>
      <c r="K36">
        <v>0.66</v>
      </c>
      <c r="L36">
        <v>0.81</v>
      </c>
      <c r="M36">
        <v>1.26E-2</v>
      </c>
      <c r="N36">
        <v>0.32463206947122436</v>
      </c>
      <c r="O36">
        <v>0.8</v>
      </c>
      <c r="P36">
        <f>VLOOKUP($F36,[2]!hbe_risk[#All],5,FALSE)</f>
        <v>0.17499999999999999</v>
      </c>
      <c r="Q36">
        <v>9.6267321042156695</v>
      </c>
      <c r="R36">
        <v>31.952112104215672</v>
      </c>
      <c r="S36">
        <v>86.129085143348405</v>
      </c>
      <c r="T36">
        <v>99.118317335371898</v>
      </c>
      <c r="U36">
        <v>93.153936470185954</v>
      </c>
      <c r="V36">
        <v>5.1556460777931026</v>
      </c>
      <c r="W36">
        <v>5.1756460777931022</v>
      </c>
      <c r="X36">
        <v>4.7308346147246665</v>
      </c>
      <c r="Y36">
        <v>4.7508346147246661</v>
      </c>
      <c r="Z36">
        <v>4.7409237570165788</v>
      </c>
      <c r="AA36">
        <v>5.3658605259893948</v>
      </c>
      <c r="AB36">
        <v>5.3858605259893944</v>
      </c>
      <c r="AC36">
        <v>2.5863129999999946E-2</v>
      </c>
      <c r="AD36">
        <v>7.7357455939433485E-4</v>
      </c>
      <c r="AE36">
        <v>3.7187683614816214E-4</v>
      </c>
      <c r="AF36">
        <v>3.7267275157720303E-4</v>
      </c>
      <c r="AG36">
        <v>9.3912551170492601E-4</v>
      </c>
      <c r="AH36">
        <v>1.6595884607338623E-3</v>
      </c>
      <c r="AI36">
        <v>2.0990892974385718E-3</v>
      </c>
      <c r="AJ36">
        <v>2.5592100458552546E-3</v>
      </c>
      <c r="AK36">
        <v>2.842646430570593E-3</v>
      </c>
      <c r="AL36">
        <v>3.5714677964116342E-3</v>
      </c>
      <c r="AM36">
        <v>4.7655679490866583E-3</v>
      </c>
      <c r="AN36">
        <v>6.3086682489530439E-3</v>
      </c>
      <c r="AO36">
        <v>9.1492027847737221E-3</v>
      </c>
      <c r="AP36">
        <v>1.349657537567036E-2</v>
      </c>
      <c r="AQ36">
        <v>1.986574936550884E-2</v>
      </c>
      <c r="AR36">
        <v>2.8805916843350335E-2</v>
      </c>
      <c r="AS36">
        <v>4.1771450280558585E-2</v>
      </c>
      <c r="AT36">
        <v>5.7749967357403655E-2</v>
      </c>
      <c r="AU36">
        <v>7.6204519482658148E-2</v>
      </c>
      <c r="AV36">
        <v>9.5852149000280579E-2</v>
      </c>
      <c r="AW36">
        <v>0.11520297024996774</v>
      </c>
      <c r="AX36">
        <v>73.811000000000007</v>
      </c>
    </row>
    <row r="37" spans="1:50" x14ac:dyDescent="0.25">
      <c r="A37" t="s">
        <v>293</v>
      </c>
      <c r="B37" t="s">
        <v>294</v>
      </c>
      <c r="C37">
        <v>218</v>
      </c>
      <c r="D37" t="s">
        <v>215</v>
      </c>
      <c r="E37" t="s">
        <v>240</v>
      </c>
      <c r="F37" t="s">
        <v>217</v>
      </c>
      <c r="G37" t="s">
        <v>204</v>
      </c>
      <c r="H37" s="52">
        <v>17643060</v>
      </c>
      <c r="I37" s="52">
        <v>350320.59936000005</v>
      </c>
      <c r="J37">
        <v>0.93299999999999994</v>
      </c>
      <c r="K37">
        <v>0.62</v>
      </c>
      <c r="L37">
        <v>0.7</v>
      </c>
      <c r="M37">
        <v>1.43E-2</v>
      </c>
      <c r="N37">
        <v>0.31201435746723727</v>
      </c>
      <c r="O37">
        <v>0.8</v>
      </c>
      <c r="P37">
        <f>VLOOKUP($F37,[2]!hbe_risk[#All],5,FALSE)</f>
        <v>0.17499999999999999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3.5576990218214322</v>
      </c>
      <c r="W37">
        <v>3.5776990218214322</v>
      </c>
      <c r="X37">
        <v>3.1386409552248393</v>
      </c>
      <c r="Y37">
        <v>3.1586409552248393</v>
      </c>
      <c r="Z37">
        <v>3.1512568656474906</v>
      </c>
      <c r="AA37">
        <v>3.7658622591016755</v>
      </c>
      <c r="AB37">
        <v>3.7858622591016755</v>
      </c>
      <c r="AC37">
        <v>1.3603999999999943E-2</v>
      </c>
      <c r="AD37">
        <v>6.8767006354446118E-4</v>
      </c>
      <c r="AE37">
        <v>3.9370417335979569E-4</v>
      </c>
      <c r="AF37">
        <v>4.9526642493011395E-4</v>
      </c>
      <c r="AG37">
        <v>1.0292681964982182E-3</v>
      </c>
      <c r="AH37">
        <v>1.6221000035185156E-3</v>
      </c>
      <c r="AI37">
        <v>1.9509558964916247E-3</v>
      </c>
      <c r="AJ37">
        <v>2.024378160246552E-3</v>
      </c>
      <c r="AK37">
        <v>2.1684233691174424E-3</v>
      </c>
      <c r="AL37">
        <v>2.710723957563381E-3</v>
      </c>
      <c r="AM37">
        <v>3.4507564595453277E-3</v>
      </c>
      <c r="AN37">
        <v>5.0299162268145599E-3</v>
      </c>
      <c r="AO37">
        <v>6.85829796409302E-3</v>
      </c>
      <c r="AP37">
        <v>9.9720927830648891E-3</v>
      </c>
      <c r="AQ37">
        <v>1.3981656629861733E-2</v>
      </c>
      <c r="AR37">
        <v>2.2815887117368309E-2</v>
      </c>
      <c r="AS37">
        <v>3.6522283012411859E-2</v>
      </c>
      <c r="AT37">
        <v>5.592534206364163E-2</v>
      </c>
      <c r="AU37">
        <v>8.5126930812053858E-2</v>
      </c>
      <c r="AV37">
        <v>0.10901687879307558</v>
      </c>
      <c r="AW37">
        <v>0.13971960254114565</v>
      </c>
      <c r="AX37">
        <v>76.701999999999998</v>
      </c>
    </row>
    <row r="38" spans="1:50" x14ac:dyDescent="0.25">
      <c r="A38" t="s">
        <v>295</v>
      </c>
      <c r="B38" t="s">
        <v>296</v>
      </c>
      <c r="C38">
        <v>818</v>
      </c>
      <c r="D38" t="s">
        <v>196</v>
      </c>
      <c r="E38" t="s">
        <v>197</v>
      </c>
      <c r="F38" t="s">
        <v>197</v>
      </c>
      <c r="G38" t="s">
        <v>212</v>
      </c>
      <c r="H38" s="52">
        <v>102334403</v>
      </c>
      <c r="I38" s="52">
        <v>2715750.3868140001</v>
      </c>
      <c r="J38">
        <v>0.86699999999999999</v>
      </c>
      <c r="K38">
        <v>0.92</v>
      </c>
      <c r="L38">
        <v>0.94</v>
      </c>
      <c r="M38">
        <v>1.55E-2</v>
      </c>
      <c r="N38">
        <v>0.26878838285685103</v>
      </c>
      <c r="O38">
        <v>0.8</v>
      </c>
      <c r="P38">
        <f>VLOOKUP($F38,[2]!hbe_risk[#All],5,FALSE)</f>
        <v>0.17499999999999999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2.7589009131685325</v>
      </c>
      <c r="W38">
        <v>3.2389009131685325</v>
      </c>
      <c r="X38">
        <v>2.33714775795137</v>
      </c>
      <c r="Y38">
        <v>2.81714775795137</v>
      </c>
      <c r="Z38">
        <v>2.8088966562937792</v>
      </c>
      <c r="AA38">
        <v>2.9680250081308914</v>
      </c>
      <c r="AB38">
        <v>3.4480250081308914</v>
      </c>
      <c r="AC38">
        <v>1.5603000000000028E-2</v>
      </c>
      <c r="AD38">
        <v>1.0979411761717916E-3</v>
      </c>
      <c r="AE38">
        <v>4.0203096550612541E-4</v>
      </c>
      <c r="AF38">
        <v>3.3723214981119505E-4</v>
      </c>
      <c r="AG38">
        <v>4.8947906856727417E-4</v>
      </c>
      <c r="AH38">
        <v>7.3460421749213067E-4</v>
      </c>
      <c r="AI38">
        <v>9.0669127946694952E-4</v>
      </c>
      <c r="AJ38">
        <v>1.1951674384517003E-3</v>
      </c>
      <c r="AK38">
        <v>1.4403121562159814E-3</v>
      </c>
      <c r="AL38">
        <v>2.1571886813432435E-3</v>
      </c>
      <c r="AM38">
        <v>4.4969935214368723E-3</v>
      </c>
      <c r="AN38">
        <v>8.2593242275040731E-3</v>
      </c>
      <c r="AO38">
        <v>1.1397434154598698E-2</v>
      </c>
      <c r="AP38">
        <v>1.8330517874933352E-2</v>
      </c>
      <c r="AQ38">
        <v>2.8106823757184662E-2</v>
      </c>
      <c r="AR38">
        <v>4.3978088495614923E-2</v>
      </c>
      <c r="AS38">
        <v>6.7373729113522129E-2</v>
      </c>
      <c r="AT38">
        <v>9.481964846989685E-2</v>
      </c>
      <c r="AU38">
        <v>0.12462073263023554</v>
      </c>
      <c r="AV38">
        <v>0.14965792419484689</v>
      </c>
      <c r="AW38">
        <v>0.1716527449047042</v>
      </c>
      <c r="AX38">
        <v>71.744</v>
      </c>
    </row>
    <row r="39" spans="1:50" x14ac:dyDescent="0.25">
      <c r="A39" t="s">
        <v>297</v>
      </c>
      <c r="B39" t="s">
        <v>298</v>
      </c>
      <c r="C39">
        <v>222</v>
      </c>
      <c r="D39" t="s">
        <v>215</v>
      </c>
      <c r="E39" t="s">
        <v>274</v>
      </c>
      <c r="F39" t="s">
        <v>217</v>
      </c>
      <c r="G39" t="s">
        <v>212</v>
      </c>
      <c r="H39" s="52">
        <v>6486201</v>
      </c>
      <c r="I39" s="52">
        <v>119229.34678200001</v>
      </c>
      <c r="J39">
        <v>0.97499999999999998</v>
      </c>
      <c r="K39">
        <v>0.75</v>
      </c>
      <c r="L39">
        <v>0.72</v>
      </c>
      <c r="M39">
        <v>3.7000000000000002E-3</v>
      </c>
      <c r="N39">
        <v>0.31847101781109982</v>
      </c>
      <c r="O39">
        <v>0.8</v>
      </c>
      <c r="P39">
        <f>VLOOKUP($F39,[2]!hbe_risk[#All],5,FALSE)</f>
        <v>0.17499999999999999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3.3923935344229226</v>
      </c>
      <c r="W39">
        <v>3.4123935344229226</v>
      </c>
      <c r="X39">
        <v>2.9680746098178332</v>
      </c>
      <c r="Y39">
        <v>2.9880746098178332</v>
      </c>
      <c r="Z39">
        <v>2.9782084583549095</v>
      </c>
      <c r="AA39">
        <v>3.6024323819496735</v>
      </c>
      <c r="AB39">
        <v>3.6224323819496735</v>
      </c>
      <c r="AC39">
        <v>1.4574100000000034E-2</v>
      </c>
      <c r="AD39">
        <v>5.8787271574654756E-4</v>
      </c>
      <c r="AE39">
        <v>2.7359335287326406E-4</v>
      </c>
      <c r="AF39">
        <v>5.6615653243363045E-4</v>
      </c>
      <c r="AG39">
        <v>1.5467045213967004E-3</v>
      </c>
      <c r="AH39">
        <v>2.5678802993155231E-3</v>
      </c>
      <c r="AI39">
        <v>3.1928440582634624E-3</v>
      </c>
      <c r="AJ39">
        <v>3.3442466916200142E-3</v>
      </c>
      <c r="AK39">
        <v>3.5035388763385374E-3</v>
      </c>
      <c r="AL39">
        <v>4.1767442776819916E-3</v>
      </c>
      <c r="AM39">
        <v>5.3286807808323637E-3</v>
      </c>
      <c r="AN39">
        <v>7.0022786397334483E-3</v>
      </c>
      <c r="AO39">
        <v>9.2354011811787394E-3</v>
      </c>
      <c r="AP39">
        <v>1.2596566492475666E-2</v>
      </c>
      <c r="AQ39">
        <v>1.7923417547505406E-2</v>
      </c>
      <c r="AR39">
        <v>2.5981559241636625E-2</v>
      </c>
      <c r="AS39">
        <v>4.006102477670364E-2</v>
      </c>
      <c r="AT39">
        <v>6.487128410649827E-2</v>
      </c>
      <c r="AU39">
        <v>9.7752780082995316E-2</v>
      </c>
      <c r="AV39">
        <v>0.13331544574056195</v>
      </c>
      <c r="AW39">
        <v>0.16445094512423067</v>
      </c>
      <c r="AX39">
        <v>72.986000000000004</v>
      </c>
    </row>
    <row r="40" spans="1:50" x14ac:dyDescent="0.25">
      <c r="A40" t="s">
        <v>299</v>
      </c>
      <c r="B40" t="s">
        <v>300</v>
      </c>
      <c r="C40">
        <v>226</v>
      </c>
      <c r="D40" t="s">
        <v>207</v>
      </c>
      <c r="E40" t="s">
        <v>210</v>
      </c>
      <c r="F40" t="s">
        <v>211</v>
      </c>
      <c r="G40" t="s">
        <v>204</v>
      </c>
      <c r="H40" s="52">
        <v>1402985</v>
      </c>
      <c r="I40" s="52">
        <v>46935.460189999998</v>
      </c>
      <c r="J40">
        <v>0.67299999999999993</v>
      </c>
      <c r="K40">
        <v>0</v>
      </c>
      <c r="L40">
        <v>0.53</v>
      </c>
      <c r="M40">
        <v>8.6999999999999994E-2</v>
      </c>
      <c r="N40">
        <v>0.29421756240904251</v>
      </c>
      <c r="O40">
        <v>0.38300000000000001</v>
      </c>
      <c r="P40">
        <f>VLOOKUP($F40,[2]!hbe_risk[#All],5,FALSE)</f>
        <v>4.8000000000000001E-2</v>
      </c>
      <c r="Q40">
        <v>0</v>
      </c>
      <c r="R40">
        <v>0</v>
      </c>
      <c r="S40">
        <v>0</v>
      </c>
      <c r="T40">
        <v>0</v>
      </c>
      <c r="U40">
        <v>0</v>
      </c>
      <c r="V40">
        <v>1.8871528382185865</v>
      </c>
      <c r="W40">
        <v>6.7171528382185866</v>
      </c>
      <c r="X40">
        <v>1.4631340988068653</v>
      </c>
      <c r="Y40">
        <v>6.2931340988068651</v>
      </c>
      <c r="Z40">
        <v>6.2837312343217775</v>
      </c>
      <c r="AA40">
        <v>2.0970846631981361</v>
      </c>
      <c r="AB40">
        <v>6.9270846631981362</v>
      </c>
      <c r="AC40">
        <v>6.615154999999999E-2</v>
      </c>
      <c r="AD40">
        <v>7.402633157446486E-3</v>
      </c>
      <c r="AE40">
        <v>2.1810695183507099E-3</v>
      </c>
      <c r="AF40">
        <v>1.5562487226160725E-3</v>
      </c>
      <c r="AG40">
        <v>2.3132551113445414E-3</v>
      </c>
      <c r="AH40">
        <v>3.4802340590138416E-3</v>
      </c>
      <c r="AI40">
        <v>4.5521277188898144E-3</v>
      </c>
      <c r="AJ40">
        <v>5.7480766731512912E-3</v>
      </c>
      <c r="AK40">
        <v>7.4241408926806708E-3</v>
      </c>
      <c r="AL40">
        <v>9.0465084276737297E-3</v>
      </c>
      <c r="AM40">
        <v>1.0861773807009084E-2</v>
      </c>
      <c r="AN40">
        <v>1.3991105432571413E-2</v>
      </c>
      <c r="AO40">
        <v>1.7756206547881865E-2</v>
      </c>
      <c r="AP40">
        <v>2.4992880145554782E-2</v>
      </c>
      <c r="AQ40">
        <v>3.6571653590172899E-2</v>
      </c>
      <c r="AR40">
        <v>5.4569874871999657E-2</v>
      </c>
      <c r="AS40">
        <v>8.0250756410082932E-2</v>
      </c>
      <c r="AT40">
        <v>0.11593152791385582</v>
      </c>
      <c r="AU40">
        <v>0.15409844685016419</v>
      </c>
      <c r="AV40">
        <v>0.18164158514648934</v>
      </c>
      <c r="AW40">
        <v>0.18918617294163986</v>
      </c>
      <c r="AX40">
        <v>58.246000000000002</v>
      </c>
    </row>
    <row r="41" spans="1:50" x14ac:dyDescent="0.25">
      <c r="A41" t="s">
        <v>301</v>
      </c>
      <c r="B41" t="s">
        <v>302</v>
      </c>
      <c r="C41">
        <v>232</v>
      </c>
      <c r="D41" t="s">
        <v>207</v>
      </c>
      <c r="E41" t="s">
        <v>255</v>
      </c>
      <c r="F41" t="s">
        <v>211</v>
      </c>
      <c r="G41" t="s">
        <v>198</v>
      </c>
      <c r="H41" s="52">
        <v>3546427</v>
      </c>
      <c r="I41" s="52">
        <v>108648.337572</v>
      </c>
      <c r="J41">
        <v>0.33700000000000002</v>
      </c>
      <c r="K41">
        <v>0</v>
      </c>
      <c r="L41">
        <v>0.95</v>
      </c>
      <c r="M41">
        <v>4.3799999999999999E-2</v>
      </c>
      <c r="N41">
        <v>0.28032204375965358</v>
      </c>
      <c r="O41">
        <v>0.38300000000000001</v>
      </c>
      <c r="P41">
        <f>VLOOKUP($F41,[2]!hbe_risk[#All],5,FALSE)</f>
        <v>4.8000000000000001E-2</v>
      </c>
      <c r="Q41">
        <v>2.3576962352941182</v>
      </c>
      <c r="R41">
        <v>24.68307623529412</v>
      </c>
      <c r="S41">
        <v>54.323590925386782</v>
      </c>
      <c r="T41">
        <v>54.542454124109071</v>
      </c>
      <c r="U41">
        <v>54.441956769434462</v>
      </c>
      <c r="V41">
        <v>3.9978660097412022</v>
      </c>
      <c r="W41">
        <v>8.8278660097412018</v>
      </c>
      <c r="X41">
        <v>3.5913549988729287</v>
      </c>
      <c r="Y41">
        <v>8.4213549988729284</v>
      </c>
      <c r="Z41">
        <v>8.4192761685551485</v>
      </c>
      <c r="AA41">
        <v>4.201555948892219</v>
      </c>
      <c r="AB41">
        <v>9.031555948892219</v>
      </c>
      <c r="AC41">
        <v>3.4723760000000041E-2</v>
      </c>
      <c r="AD41">
        <v>2.4781015018042821E-3</v>
      </c>
      <c r="AE41">
        <v>8.4167337173048572E-4</v>
      </c>
      <c r="AF41">
        <v>6.3627494974549182E-4</v>
      </c>
      <c r="AG41">
        <v>1.2279952533809392E-3</v>
      </c>
      <c r="AH41">
        <v>1.7458328942756751E-3</v>
      </c>
      <c r="AI41">
        <v>2.3091203916955402E-3</v>
      </c>
      <c r="AJ41">
        <v>3.0931500050215776E-3</v>
      </c>
      <c r="AK41">
        <v>4.0145967103637353E-3</v>
      </c>
      <c r="AL41">
        <v>5.8038531347772357E-3</v>
      </c>
      <c r="AM41">
        <v>7.8511851733448889E-3</v>
      </c>
      <c r="AN41">
        <v>1.1601511257012974E-2</v>
      </c>
      <c r="AO41">
        <v>1.6819371008290708E-2</v>
      </c>
      <c r="AP41">
        <v>2.4093849190500269E-2</v>
      </c>
      <c r="AQ41">
        <v>3.3915841624018422E-2</v>
      </c>
      <c r="AR41">
        <v>5.0132268661539331E-2</v>
      </c>
      <c r="AS41">
        <v>6.8765768717437184E-2</v>
      </c>
      <c r="AT41">
        <v>9.5663090170238829E-2</v>
      </c>
      <c r="AU41">
        <v>0.12187267007815591</v>
      </c>
      <c r="AV41">
        <v>0.14350139431758438</v>
      </c>
      <c r="AW41">
        <v>0.16133688006745536</v>
      </c>
      <c r="AX41">
        <v>65.742999999999995</v>
      </c>
    </row>
    <row r="42" spans="1:50" x14ac:dyDescent="0.25">
      <c r="A42" t="s">
        <v>303</v>
      </c>
      <c r="B42" t="s">
        <v>304</v>
      </c>
      <c r="C42">
        <v>748</v>
      </c>
      <c r="D42" t="s">
        <v>207</v>
      </c>
      <c r="E42" t="s">
        <v>245</v>
      </c>
      <c r="F42" t="s">
        <v>211</v>
      </c>
      <c r="G42" t="s">
        <v>212</v>
      </c>
      <c r="H42" s="52">
        <v>1160164</v>
      </c>
      <c r="I42" s="52">
        <v>30991.460932000002</v>
      </c>
      <c r="J42">
        <v>0.877</v>
      </c>
      <c r="K42">
        <v>0</v>
      </c>
      <c r="L42">
        <v>0.83</v>
      </c>
      <c r="M42">
        <v>3.3700000000000001E-2</v>
      </c>
      <c r="N42">
        <v>0.26669916009179478</v>
      </c>
      <c r="O42">
        <v>0.38300000000000001</v>
      </c>
      <c r="P42">
        <f>VLOOKUP($F42,[2]!hbe_risk[#All],5,FALSE)</f>
        <v>4.8000000000000001E-2</v>
      </c>
      <c r="Q42">
        <v>6.7625510543131</v>
      </c>
      <c r="R42">
        <v>29.087931054313103</v>
      </c>
      <c r="S42">
        <v>70.986650446623642</v>
      </c>
      <c r="T42">
        <v>77.585480754530067</v>
      </c>
      <c r="U42">
        <v>74.555437358642877</v>
      </c>
      <c r="V42">
        <v>6.291373879834147</v>
      </c>
      <c r="W42">
        <v>11.121373879834147</v>
      </c>
      <c r="X42">
        <v>5.8709417361737843</v>
      </c>
      <c r="Y42">
        <v>10.700941736173785</v>
      </c>
      <c r="Z42">
        <v>10.693446720301095</v>
      </c>
      <c r="AA42">
        <v>6.5000270054588647</v>
      </c>
      <c r="AB42">
        <v>11.330027005458865</v>
      </c>
      <c r="AC42">
        <v>4.1364780000000025E-2</v>
      </c>
      <c r="AD42">
        <v>3.4059410001647896E-3</v>
      </c>
      <c r="AE42">
        <v>9.8030722047431234E-4</v>
      </c>
      <c r="AF42">
        <v>8.6807639205732548E-4</v>
      </c>
      <c r="AG42">
        <v>1.4461408425982657E-3</v>
      </c>
      <c r="AH42">
        <v>2.7145884310466198E-3</v>
      </c>
      <c r="AI42">
        <v>5.1136808851141866E-3</v>
      </c>
      <c r="AJ42">
        <v>7.891072324963902E-3</v>
      </c>
      <c r="AK42">
        <v>1.184394012407225E-2</v>
      </c>
      <c r="AL42">
        <v>1.3774594490664763E-2</v>
      </c>
      <c r="AM42">
        <v>1.6473925374650578E-2</v>
      </c>
      <c r="AN42">
        <v>1.9192056716447851E-2</v>
      </c>
      <c r="AO42">
        <v>2.2386772623661511E-2</v>
      </c>
      <c r="AP42">
        <v>2.7120612335334537E-2</v>
      </c>
      <c r="AQ42">
        <v>3.492585157254887E-2</v>
      </c>
      <c r="AR42">
        <v>4.7731677173213805E-2</v>
      </c>
      <c r="AS42">
        <v>6.6573082502703551E-2</v>
      </c>
      <c r="AT42">
        <v>9.7492856558824795E-2</v>
      </c>
      <c r="AU42">
        <v>0.13733419141121558</v>
      </c>
      <c r="AV42">
        <v>0.16949007393556464</v>
      </c>
      <c r="AW42">
        <v>0.18298509554159806</v>
      </c>
      <c r="AX42">
        <v>59.314</v>
      </c>
    </row>
    <row r="43" spans="1:50" x14ac:dyDescent="0.25">
      <c r="A43" t="s">
        <v>305</v>
      </c>
      <c r="B43" t="s">
        <v>306</v>
      </c>
      <c r="C43">
        <v>231</v>
      </c>
      <c r="D43" t="s">
        <v>207</v>
      </c>
      <c r="E43" t="s">
        <v>255</v>
      </c>
      <c r="F43" t="s">
        <v>211</v>
      </c>
      <c r="G43" t="s">
        <v>198</v>
      </c>
      <c r="H43" s="52">
        <v>114963583</v>
      </c>
      <c r="I43" s="52">
        <v>3744478.8618929996</v>
      </c>
      <c r="J43">
        <v>0.47499999999999998</v>
      </c>
      <c r="K43">
        <v>0</v>
      </c>
      <c r="L43">
        <v>0.71</v>
      </c>
      <c r="M43">
        <v>4.9100000000000005E-2</v>
      </c>
      <c r="N43">
        <v>0.28503182774365166</v>
      </c>
      <c r="O43">
        <v>0.38300000000000001</v>
      </c>
      <c r="P43">
        <f>VLOOKUP($F43,[2]!hbe_risk[#All],5,FALSE)</f>
        <v>4.8000000000000001E-2</v>
      </c>
      <c r="Q43">
        <v>2.5761982054616381</v>
      </c>
      <c r="R43">
        <v>24.901578205461639</v>
      </c>
      <c r="S43">
        <v>54.98658742089053</v>
      </c>
      <c r="T43">
        <v>55.436794484456613</v>
      </c>
      <c r="U43">
        <v>55.230068917032078</v>
      </c>
      <c r="V43">
        <v>1.2201796854020799</v>
      </c>
      <c r="W43">
        <v>6.05017968540208</v>
      </c>
      <c r="X43">
        <v>0.81104599640899488</v>
      </c>
      <c r="Y43">
        <v>5.6410459964089945</v>
      </c>
      <c r="Z43">
        <v>5.6379312552106704</v>
      </c>
      <c r="AA43">
        <v>1.4248046663193334</v>
      </c>
      <c r="AB43">
        <v>6.254804666319334</v>
      </c>
      <c r="AC43">
        <v>3.7012740000000051E-2</v>
      </c>
      <c r="AD43">
        <v>4.6414736577096265E-3</v>
      </c>
      <c r="AE43">
        <v>1.9935509206170151E-3</v>
      </c>
      <c r="AF43">
        <v>1.5454682631205908E-3</v>
      </c>
      <c r="AG43">
        <v>1.9050779435204272E-3</v>
      </c>
      <c r="AH43">
        <v>2.3477185739406736E-3</v>
      </c>
      <c r="AI43">
        <v>2.7097529005401357E-3</v>
      </c>
      <c r="AJ43">
        <v>3.4293316886060874E-3</v>
      </c>
      <c r="AK43">
        <v>4.7462675394306575E-3</v>
      </c>
      <c r="AL43">
        <v>5.7779081057784164E-3</v>
      </c>
      <c r="AM43">
        <v>6.7330993208277378E-3</v>
      </c>
      <c r="AN43">
        <v>8.631628649689525E-3</v>
      </c>
      <c r="AO43">
        <v>1.109764170343012E-2</v>
      </c>
      <c r="AP43">
        <v>1.6761832968059817E-2</v>
      </c>
      <c r="AQ43">
        <v>2.5944878137743488E-2</v>
      </c>
      <c r="AR43">
        <v>4.0497096687850065E-2</v>
      </c>
      <c r="AS43">
        <v>6.2082622674679316E-2</v>
      </c>
      <c r="AT43">
        <v>9.1379287062263045E-2</v>
      </c>
      <c r="AU43">
        <v>0.12421080985599947</v>
      </c>
      <c r="AV43">
        <v>0.15312231087451061</v>
      </c>
      <c r="AW43">
        <v>0.1732068676439589</v>
      </c>
      <c r="AX43">
        <v>65.966999999999999</v>
      </c>
    </row>
    <row r="44" spans="1:50" x14ac:dyDescent="0.25">
      <c r="A44" t="s">
        <v>307</v>
      </c>
      <c r="B44" t="s">
        <v>308</v>
      </c>
      <c r="C44">
        <v>242</v>
      </c>
      <c r="D44" t="s">
        <v>260</v>
      </c>
      <c r="E44" t="s">
        <v>309</v>
      </c>
      <c r="F44" t="s">
        <v>262</v>
      </c>
      <c r="G44" t="s">
        <v>204</v>
      </c>
      <c r="H44" s="52">
        <v>896444</v>
      </c>
      <c r="I44" s="52">
        <v>19249.342011999997</v>
      </c>
      <c r="J44">
        <v>0.98699999999999999</v>
      </c>
      <c r="K44">
        <v>0.99</v>
      </c>
      <c r="L44">
        <v>0.99</v>
      </c>
      <c r="M44">
        <v>2.7999999999999997E-2</v>
      </c>
      <c r="N44">
        <v>0.33599766658927327</v>
      </c>
      <c r="O44">
        <v>0.8</v>
      </c>
      <c r="P44">
        <f>VLOOKUP($F44,[2]!hbe_risk[#All],5,FALSE)</f>
        <v>0.17499999999999999</v>
      </c>
      <c r="Q44">
        <v>6.3290720463001202</v>
      </c>
      <c r="R44">
        <v>28.654452046300122</v>
      </c>
      <c r="S44">
        <v>68.856599508838627</v>
      </c>
      <c r="T44">
        <v>74.572423424434419</v>
      </c>
      <c r="U44">
        <v>71.947837899518888</v>
      </c>
      <c r="V44">
        <v>9.6849213061640675</v>
      </c>
      <c r="W44">
        <v>10.314921306164068</v>
      </c>
      <c r="X44">
        <v>9.2684402224669977</v>
      </c>
      <c r="Y44">
        <v>9.8984402224669985</v>
      </c>
      <c r="Z44">
        <v>9.8924993276692383</v>
      </c>
      <c r="AA44">
        <v>9.8921657930192648</v>
      </c>
      <c r="AB44">
        <v>10.522165793019266</v>
      </c>
      <c r="AC44">
        <v>2.0327489999999962E-2</v>
      </c>
      <c r="AD44">
        <v>1.0965807339025986E-3</v>
      </c>
      <c r="AE44">
        <v>7.2825092411859626E-4</v>
      </c>
      <c r="AF44">
        <v>6.7875887290512428E-4</v>
      </c>
      <c r="AG44">
        <v>1.5185453179404377E-3</v>
      </c>
      <c r="AH44">
        <v>2.1563365818124533E-3</v>
      </c>
      <c r="AI44">
        <v>2.3915281641432853E-3</v>
      </c>
      <c r="AJ44">
        <v>2.8039936499999326E-3</v>
      </c>
      <c r="AK44">
        <v>3.5914512687979555E-3</v>
      </c>
      <c r="AL44">
        <v>4.8388408359874143E-3</v>
      </c>
      <c r="AM44">
        <v>6.8665980996010702E-3</v>
      </c>
      <c r="AN44">
        <v>9.9144025039840707E-3</v>
      </c>
      <c r="AO44">
        <v>1.4400169866841899E-2</v>
      </c>
      <c r="AP44">
        <v>2.2381014757687345E-2</v>
      </c>
      <c r="AQ44">
        <v>3.4740935896048833E-2</v>
      </c>
      <c r="AR44">
        <v>5.2248719569785697E-2</v>
      </c>
      <c r="AS44">
        <v>7.6233131228191808E-2</v>
      </c>
      <c r="AT44">
        <v>0.1074735981205143</v>
      </c>
      <c r="AU44">
        <v>0.14106182345401735</v>
      </c>
      <c r="AV44">
        <v>0.16739284900489815</v>
      </c>
      <c r="AW44">
        <v>0.18357140929969654</v>
      </c>
      <c r="AX44">
        <v>67.272999999999996</v>
      </c>
    </row>
    <row r="45" spans="1:50" x14ac:dyDescent="0.25">
      <c r="A45" t="s">
        <v>310</v>
      </c>
      <c r="B45" t="s">
        <v>311</v>
      </c>
      <c r="C45">
        <v>266</v>
      </c>
      <c r="D45" t="s">
        <v>207</v>
      </c>
      <c r="E45" t="s">
        <v>210</v>
      </c>
      <c r="F45" t="s">
        <v>211</v>
      </c>
      <c r="G45" t="s">
        <v>204</v>
      </c>
      <c r="H45" s="52">
        <v>2225728</v>
      </c>
      <c r="I45" s="52">
        <v>71214.393087999997</v>
      </c>
      <c r="J45">
        <v>0.90200000000000002</v>
      </c>
      <c r="K45">
        <v>0</v>
      </c>
      <c r="L45">
        <v>0.63</v>
      </c>
      <c r="M45">
        <v>7.1800000000000003E-2</v>
      </c>
      <c r="N45">
        <v>0.28132112561296718</v>
      </c>
      <c r="O45">
        <v>0.38300000000000001</v>
      </c>
      <c r="P45">
        <f>VLOOKUP($F45,[2]!hbe_risk[#All],5,FALSE)</f>
        <v>4.8000000000000001E-2</v>
      </c>
      <c r="Q45">
        <v>14.7500999632651</v>
      </c>
      <c r="R45">
        <v>37.075479963265103</v>
      </c>
      <c r="S45">
        <v>114.98755908811953</v>
      </c>
      <c r="T45">
        <v>140.33008442856817</v>
      </c>
      <c r="U45">
        <v>128.69333246497769</v>
      </c>
      <c r="V45">
        <v>3.820882997492542</v>
      </c>
      <c r="W45">
        <v>8.6508829974925412</v>
      </c>
      <c r="X45">
        <v>3.3988831410553746</v>
      </c>
      <c r="Y45">
        <v>8.2288831410553751</v>
      </c>
      <c r="Z45">
        <v>8.2208604916821137</v>
      </c>
      <c r="AA45">
        <v>4.0300950468029031</v>
      </c>
      <c r="AB45">
        <v>8.8600950468029041</v>
      </c>
      <c r="AC45">
        <v>3.5289049999999988E-2</v>
      </c>
      <c r="AD45">
        <v>3.2822266607422609E-3</v>
      </c>
      <c r="AE45">
        <v>1.4246611256491133E-3</v>
      </c>
      <c r="AF45">
        <v>1.0168697486343512E-3</v>
      </c>
      <c r="AG45">
        <v>1.6831402253875375E-3</v>
      </c>
      <c r="AH45">
        <v>2.4521700865733679E-3</v>
      </c>
      <c r="AI45">
        <v>2.8030899832170719E-3</v>
      </c>
      <c r="AJ45">
        <v>3.2615302728932773E-3</v>
      </c>
      <c r="AK45">
        <v>3.9674325463094733E-3</v>
      </c>
      <c r="AL45">
        <v>5.0423508811659017E-3</v>
      </c>
      <c r="AM45">
        <v>6.4192521777389194E-3</v>
      </c>
      <c r="AN45">
        <v>9.1931682307958215E-3</v>
      </c>
      <c r="AO45">
        <v>1.2376268022031546E-2</v>
      </c>
      <c r="AP45">
        <v>1.8788781969380986E-2</v>
      </c>
      <c r="AQ45">
        <v>2.9231552200221736E-2</v>
      </c>
      <c r="AR45">
        <v>4.547283590363508E-2</v>
      </c>
      <c r="AS45">
        <v>6.9728157093137316E-2</v>
      </c>
      <c r="AT45">
        <v>0.10415017804360961</v>
      </c>
      <c r="AU45">
        <v>0.14414752105565432</v>
      </c>
      <c r="AV45">
        <v>0.17836414951536853</v>
      </c>
      <c r="AW45">
        <v>0.18954100115392675</v>
      </c>
      <c r="AX45">
        <v>66.06</v>
      </c>
    </row>
    <row r="46" spans="1:50" x14ac:dyDescent="0.25">
      <c r="A46" t="s">
        <v>312</v>
      </c>
      <c r="B46" t="s">
        <v>313</v>
      </c>
      <c r="C46">
        <v>270</v>
      </c>
      <c r="D46" t="s">
        <v>207</v>
      </c>
      <c r="E46" t="s">
        <v>235</v>
      </c>
      <c r="F46" t="s">
        <v>211</v>
      </c>
      <c r="G46" t="s">
        <v>198</v>
      </c>
      <c r="H46" s="52">
        <v>2416664</v>
      </c>
      <c r="I46" s="52">
        <v>93655.396655999997</v>
      </c>
      <c r="J46">
        <v>0.83700000000000008</v>
      </c>
      <c r="K46">
        <v>0</v>
      </c>
      <c r="L46">
        <v>0.88</v>
      </c>
      <c r="M46">
        <v>5.4000000000000006E-2</v>
      </c>
      <c r="N46">
        <v>0.28511757354019951</v>
      </c>
      <c r="O46">
        <v>0.38300000000000001</v>
      </c>
      <c r="P46">
        <f>VLOOKUP($F46,[2]!hbe_risk[#All],5,FALSE)</f>
        <v>4.8000000000000001E-2</v>
      </c>
      <c r="Q46">
        <v>3.3362173608720602</v>
      </c>
      <c r="R46">
        <v>25.661597360872062</v>
      </c>
      <c r="S46">
        <v>57.394235466554235</v>
      </c>
      <c r="T46">
        <v>58.701975780976838</v>
      </c>
      <c r="U46">
        <v>58.101489070702755</v>
      </c>
      <c r="V46">
        <v>4.0309485398891729</v>
      </c>
      <c r="W46">
        <v>8.8609485398891721</v>
      </c>
      <c r="X46">
        <v>3.6232868928097282</v>
      </c>
      <c r="Y46">
        <v>8.4532868928097287</v>
      </c>
      <c r="Z46">
        <v>8.4507604472549698</v>
      </c>
      <c r="AA46">
        <v>4.235048705863302</v>
      </c>
      <c r="AB46">
        <v>9.0650487058633011</v>
      </c>
      <c r="AC46">
        <v>4.4846699999999982E-2</v>
      </c>
      <c r="AD46">
        <v>6.0042168100136557E-3</v>
      </c>
      <c r="AE46">
        <v>2.8182363501683258E-3</v>
      </c>
      <c r="AF46">
        <v>1.6928909326386164E-3</v>
      </c>
      <c r="AG46">
        <v>2.5842259310052498E-3</v>
      </c>
      <c r="AH46">
        <v>3.6404715507950859E-3</v>
      </c>
      <c r="AI46">
        <v>3.866848876643869E-3</v>
      </c>
      <c r="AJ46">
        <v>4.2444775193489276E-3</v>
      </c>
      <c r="AK46">
        <v>4.8541267331024705E-3</v>
      </c>
      <c r="AL46">
        <v>5.9551070629616102E-3</v>
      </c>
      <c r="AM46">
        <v>7.431462649688041E-3</v>
      </c>
      <c r="AN46">
        <v>1.0387347107233732E-2</v>
      </c>
      <c r="AO46">
        <v>1.4813591881899082E-2</v>
      </c>
      <c r="AP46">
        <v>2.2951012443546647E-2</v>
      </c>
      <c r="AQ46">
        <v>3.5087979162260245E-2</v>
      </c>
      <c r="AR46">
        <v>5.5866513026930048E-2</v>
      </c>
      <c r="AS46">
        <v>8.5511449355615179E-2</v>
      </c>
      <c r="AT46">
        <v>0.12162201543909797</v>
      </c>
      <c r="AU46">
        <v>0.15459474780737206</v>
      </c>
      <c r="AV46">
        <v>0.17718941763536672</v>
      </c>
      <c r="AW46">
        <v>0.18781110355425057</v>
      </c>
      <c r="AX46">
        <v>61.536000000000001</v>
      </c>
    </row>
    <row r="47" spans="1:50" x14ac:dyDescent="0.25">
      <c r="A47" t="s">
        <v>314</v>
      </c>
      <c r="B47" t="s">
        <v>315</v>
      </c>
      <c r="C47">
        <v>268</v>
      </c>
      <c r="D47" t="s">
        <v>201</v>
      </c>
      <c r="E47" t="s">
        <v>220</v>
      </c>
      <c r="F47" t="s">
        <v>203</v>
      </c>
      <c r="G47" t="s">
        <v>204</v>
      </c>
      <c r="H47" s="52">
        <v>3989175</v>
      </c>
      <c r="I47" s="52">
        <v>54236.823300000004</v>
      </c>
      <c r="J47">
        <v>0.99400000000000011</v>
      </c>
      <c r="K47">
        <v>0.97</v>
      </c>
      <c r="L47">
        <v>0.88</v>
      </c>
      <c r="M47">
        <v>1.6799999999999999E-2</v>
      </c>
      <c r="N47">
        <v>0.30226538426236971</v>
      </c>
      <c r="O47">
        <v>0.8</v>
      </c>
      <c r="P47">
        <f>VLOOKUP($F47,[2]!hbe_risk[#All],5,FALSE)</f>
        <v>0.17499999999999999</v>
      </c>
      <c r="Q47">
        <v>6.0768318999817499</v>
      </c>
      <c r="R47">
        <v>28.402211899981751</v>
      </c>
      <c r="S47">
        <v>68.40550531899035</v>
      </c>
      <c r="T47">
        <v>74.017832655105821</v>
      </c>
      <c r="U47">
        <v>71.440770571848645</v>
      </c>
      <c r="V47">
        <v>5.343662356041821</v>
      </c>
      <c r="W47">
        <v>9.4136623560418222</v>
      </c>
      <c r="X47">
        <v>4.9284745971400907</v>
      </c>
      <c r="Y47">
        <v>8.9984745971400919</v>
      </c>
      <c r="Z47">
        <v>8.992467386581751</v>
      </c>
      <c r="AA47">
        <v>5.5504457444917223</v>
      </c>
      <c r="AB47">
        <v>9.6204457444917217</v>
      </c>
      <c r="AC47">
        <v>9.3725400000000073E-3</v>
      </c>
      <c r="AD47">
        <v>1.9797553360777006E-4</v>
      </c>
      <c r="AE47">
        <v>2.0735409973811434E-4</v>
      </c>
      <c r="AF47">
        <v>2.4003638935156418E-4</v>
      </c>
      <c r="AG47">
        <v>4.5753167598254051E-4</v>
      </c>
      <c r="AH47">
        <v>7.6044483648193904E-4</v>
      </c>
      <c r="AI47">
        <v>9.382859233619756E-4</v>
      </c>
      <c r="AJ47">
        <v>1.4003231053486603E-3</v>
      </c>
      <c r="AK47">
        <v>1.9889461737895805E-3</v>
      </c>
      <c r="AL47">
        <v>3.0774283108491989E-3</v>
      </c>
      <c r="AM47">
        <v>5.0342282800873482E-3</v>
      </c>
      <c r="AN47">
        <v>7.4128365925189869E-3</v>
      </c>
      <c r="AO47">
        <v>1.0913221897763821E-2</v>
      </c>
      <c r="AP47">
        <v>1.5735986414418947E-2</v>
      </c>
      <c r="AQ47">
        <v>2.2391947554543861E-2</v>
      </c>
      <c r="AR47">
        <v>3.5964808161803266E-2</v>
      </c>
      <c r="AS47">
        <v>5.749216665832782E-2</v>
      </c>
      <c r="AT47">
        <v>8.5833556720407642E-2</v>
      </c>
      <c r="AU47">
        <v>0.11840450151830864</v>
      </c>
      <c r="AV47">
        <v>0.15124273128827495</v>
      </c>
      <c r="AW47">
        <v>0.17455391798157871</v>
      </c>
      <c r="AX47">
        <v>73.52</v>
      </c>
    </row>
    <row r="48" spans="1:50" x14ac:dyDescent="0.25">
      <c r="A48" t="s">
        <v>316</v>
      </c>
      <c r="B48" t="s">
        <v>317</v>
      </c>
      <c r="C48">
        <v>288</v>
      </c>
      <c r="D48" t="s">
        <v>207</v>
      </c>
      <c r="E48" t="s">
        <v>235</v>
      </c>
      <c r="F48" t="s">
        <v>211</v>
      </c>
      <c r="G48" t="s">
        <v>212</v>
      </c>
      <c r="H48" s="52">
        <v>31072945</v>
      </c>
      <c r="I48" s="52">
        <v>918951.27543000004</v>
      </c>
      <c r="J48">
        <v>0.77900000000000003</v>
      </c>
      <c r="K48">
        <v>0</v>
      </c>
      <c r="L48">
        <v>0.94</v>
      </c>
      <c r="M48">
        <v>8.9700000000000002E-2</v>
      </c>
      <c r="N48">
        <v>0.28403638578377721</v>
      </c>
      <c r="O48">
        <v>0.38300000000000001</v>
      </c>
      <c r="P48">
        <f>VLOOKUP($F48,[2]!hbe_risk[#All],5,FALSE)</f>
        <v>4.8000000000000001E-2</v>
      </c>
      <c r="Q48">
        <v>3.4731641176470598</v>
      </c>
      <c r="R48">
        <v>25.798544117647062</v>
      </c>
      <c r="S48">
        <v>57.58484947462955</v>
      </c>
      <c r="T48">
        <v>58.920521717621952</v>
      </c>
      <c r="U48">
        <v>58.307209256154366</v>
      </c>
      <c r="V48">
        <v>3.557361288641625</v>
      </c>
      <c r="W48">
        <v>8.3873612886416247</v>
      </c>
      <c r="X48">
        <v>3.143961292841694</v>
      </c>
      <c r="Y48">
        <v>7.9739612928416941</v>
      </c>
      <c r="Z48">
        <v>7.9692321557483421</v>
      </c>
      <c r="AA48">
        <v>3.7635073006813196</v>
      </c>
      <c r="AB48">
        <v>8.5935073006813205</v>
      </c>
      <c r="AC48">
        <v>3.5642599999999948E-2</v>
      </c>
      <c r="AD48">
        <v>4.149856681765509E-3</v>
      </c>
      <c r="AE48">
        <v>2.4289206759000818E-3</v>
      </c>
      <c r="AF48">
        <v>1.4780126761002475E-3</v>
      </c>
      <c r="AG48">
        <v>2.2701080527187663E-3</v>
      </c>
      <c r="AH48">
        <v>3.1965747429605808E-3</v>
      </c>
      <c r="AI48">
        <v>3.4179442965405391E-3</v>
      </c>
      <c r="AJ48">
        <v>3.7990990910748736E-3</v>
      </c>
      <c r="AK48">
        <v>4.3840796455411864E-3</v>
      </c>
      <c r="AL48">
        <v>5.4620319673887507E-3</v>
      </c>
      <c r="AM48">
        <v>6.9136575860238936E-3</v>
      </c>
      <c r="AN48">
        <v>9.7826339431338512E-3</v>
      </c>
      <c r="AO48">
        <v>1.3975423628321094E-2</v>
      </c>
      <c r="AP48">
        <v>2.1658255532280242E-2</v>
      </c>
      <c r="AQ48">
        <v>3.3396493720368937E-2</v>
      </c>
      <c r="AR48">
        <v>5.3643305615802127E-2</v>
      </c>
      <c r="AS48">
        <v>8.2942202743849419E-2</v>
      </c>
      <c r="AT48">
        <v>0.11649930948760615</v>
      </c>
      <c r="AU48">
        <v>0.14710779935977858</v>
      </c>
      <c r="AV48">
        <v>0.16969064515389221</v>
      </c>
      <c r="AW48">
        <v>0.18507690604955032</v>
      </c>
      <c r="AX48">
        <v>63.652000000000001</v>
      </c>
    </row>
    <row r="49" spans="1:50" x14ac:dyDescent="0.25">
      <c r="A49" t="s">
        <v>318</v>
      </c>
      <c r="B49" t="s">
        <v>319</v>
      </c>
      <c r="C49">
        <v>308</v>
      </c>
      <c r="D49" t="s">
        <v>215</v>
      </c>
      <c r="E49" t="s">
        <v>232</v>
      </c>
      <c r="F49" t="s">
        <v>217</v>
      </c>
      <c r="G49" t="s">
        <v>204</v>
      </c>
      <c r="H49" s="52">
        <v>112519</v>
      </c>
      <c r="I49" s="52">
        <v>1867.3653240000001</v>
      </c>
      <c r="J49">
        <v>0</v>
      </c>
      <c r="K49">
        <v>0.92</v>
      </c>
      <c r="L49">
        <v>0.72</v>
      </c>
      <c r="M49">
        <v>1.2199999999999999E-2</v>
      </c>
      <c r="N49">
        <v>0.29613894314236111</v>
      </c>
      <c r="O49">
        <v>0.8</v>
      </c>
      <c r="P49">
        <f>VLOOKUP($F49,[2]!hbe_risk[#All],5,FALSE)</f>
        <v>0.17499999999999999</v>
      </c>
      <c r="Q49">
        <v>13.4618579566612</v>
      </c>
      <c r="R49">
        <v>35.787237956661201</v>
      </c>
      <c r="S49">
        <v>104.11710060942646</v>
      </c>
      <c r="T49">
        <v>124.47241718561369</v>
      </c>
      <c r="U49">
        <v>115.12568607040831</v>
      </c>
      <c r="V49">
        <v>16.49026191818291</v>
      </c>
      <c r="W49">
        <v>16.510261918182909</v>
      </c>
      <c r="X49">
        <v>16.061026672472742</v>
      </c>
      <c r="Y49">
        <v>16.081026672472742</v>
      </c>
      <c r="Z49">
        <v>16.070257008107504</v>
      </c>
      <c r="AA49">
        <v>16.702053541060167</v>
      </c>
      <c r="AB49">
        <v>16.722053541060166</v>
      </c>
      <c r="AC49">
        <v>1.4997749999999942E-2</v>
      </c>
      <c r="AD49">
        <v>3.6735449081464562E-4</v>
      </c>
      <c r="AE49">
        <v>3.8824880202159074E-4</v>
      </c>
      <c r="AF49">
        <v>3.6831624204885594E-4</v>
      </c>
      <c r="AG49">
        <v>8.6481254953050981E-4</v>
      </c>
      <c r="AH49">
        <v>1.1755032326795176E-3</v>
      </c>
      <c r="AI49">
        <v>1.261220638983001E-3</v>
      </c>
      <c r="AJ49">
        <v>1.5091060374845919E-3</v>
      </c>
      <c r="AK49">
        <v>2.0339689951691491E-3</v>
      </c>
      <c r="AL49">
        <v>2.9493189580010646E-3</v>
      </c>
      <c r="AM49">
        <v>4.5325803150417527E-3</v>
      </c>
      <c r="AN49">
        <v>6.9671995741876248E-3</v>
      </c>
      <c r="AO49">
        <v>1.0670981013797255E-2</v>
      </c>
      <c r="AP49">
        <v>1.6546205211132935E-2</v>
      </c>
      <c r="AQ49">
        <v>2.5387032279184138E-2</v>
      </c>
      <c r="AR49">
        <v>3.8551274376297302E-2</v>
      </c>
      <c r="AS49">
        <v>5.9001782501401222E-2</v>
      </c>
      <c r="AT49">
        <v>8.7282692380791893E-2</v>
      </c>
      <c r="AU49">
        <v>0.12067409114223994</v>
      </c>
      <c r="AV49">
        <v>0.15141543034416774</v>
      </c>
      <c r="AW49">
        <v>0.17455656914973092</v>
      </c>
      <c r="AX49">
        <v>72.393000000000001</v>
      </c>
    </row>
    <row r="50" spans="1:50" x14ac:dyDescent="0.25">
      <c r="A50" t="s">
        <v>320</v>
      </c>
      <c r="B50" t="s">
        <v>321</v>
      </c>
      <c r="C50">
        <v>320</v>
      </c>
      <c r="D50" t="s">
        <v>215</v>
      </c>
      <c r="E50" t="s">
        <v>274</v>
      </c>
      <c r="F50" t="s">
        <v>217</v>
      </c>
      <c r="G50" t="s">
        <v>204</v>
      </c>
      <c r="H50" s="52">
        <v>17915567</v>
      </c>
      <c r="I50" s="52">
        <v>443625.27005399996</v>
      </c>
      <c r="J50">
        <v>0.65</v>
      </c>
      <c r="K50">
        <v>0.48</v>
      </c>
      <c r="L50">
        <v>0.89</v>
      </c>
      <c r="M50">
        <v>2.3999999999999998E-3</v>
      </c>
      <c r="N50">
        <v>0.30839295792692983</v>
      </c>
      <c r="O50">
        <v>0.8</v>
      </c>
      <c r="P50">
        <f>VLOOKUP($F50,[2]!hbe_risk[#All],5,FALSE)</f>
        <v>0.17499999999999999</v>
      </c>
      <c r="Q50">
        <v>5.68497528201069</v>
      </c>
      <c r="R50">
        <v>28.010355282010693</v>
      </c>
      <c r="S50">
        <v>66.735458959374839</v>
      </c>
      <c r="T50">
        <v>71.682533209162528</v>
      </c>
      <c r="U50">
        <v>69.410941281488221</v>
      </c>
      <c r="V50">
        <v>3.3271000081060298</v>
      </c>
      <c r="W50">
        <v>3.3471000081060298</v>
      </c>
      <c r="X50">
        <v>2.9100975959498281</v>
      </c>
      <c r="Y50">
        <v>2.9300975959498281</v>
      </c>
      <c r="Z50">
        <v>2.9230046721316496</v>
      </c>
      <c r="AA50">
        <v>3.5345303598901334</v>
      </c>
      <c r="AB50">
        <v>3.5545303598901334</v>
      </c>
      <c r="AC50">
        <v>2.0742189999999973E-2</v>
      </c>
      <c r="AD50">
        <v>1.368431771812982E-3</v>
      </c>
      <c r="AE50">
        <v>3.6245288288105519E-4</v>
      </c>
      <c r="AF50">
        <v>5.2137122931350153E-4</v>
      </c>
      <c r="AG50">
        <v>1.1096552392384836E-3</v>
      </c>
      <c r="AH50">
        <v>1.9003611057800845E-3</v>
      </c>
      <c r="AI50">
        <v>2.5229613775001329E-3</v>
      </c>
      <c r="AJ50">
        <v>2.9107288532517787E-3</v>
      </c>
      <c r="AK50">
        <v>3.2086735075177934E-3</v>
      </c>
      <c r="AL50">
        <v>3.6432711183425706E-3</v>
      </c>
      <c r="AM50">
        <v>4.4425458558329557E-3</v>
      </c>
      <c r="AN50">
        <v>5.8420898780306516E-3</v>
      </c>
      <c r="AO50">
        <v>8.1244104977409928E-3</v>
      </c>
      <c r="AP50">
        <v>1.1786110862698037E-2</v>
      </c>
      <c r="AQ50">
        <v>1.5896801658864184E-2</v>
      </c>
      <c r="AR50">
        <v>2.2905563498596741E-2</v>
      </c>
      <c r="AS50">
        <v>3.8229745445683708E-2</v>
      </c>
      <c r="AT50">
        <v>6.2634535527386723E-2</v>
      </c>
      <c r="AU50">
        <v>9.3292937507748516E-2</v>
      </c>
      <c r="AV50">
        <v>0.12614651709186733</v>
      </c>
      <c r="AW50">
        <v>0.15412626562601031</v>
      </c>
      <c r="AX50">
        <v>73.936000000000007</v>
      </c>
    </row>
    <row r="51" spans="1:50" x14ac:dyDescent="0.25">
      <c r="A51" t="s">
        <v>322</v>
      </c>
      <c r="B51" t="s">
        <v>323</v>
      </c>
      <c r="C51">
        <v>324</v>
      </c>
      <c r="D51" t="s">
        <v>207</v>
      </c>
      <c r="E51" t="s">
        <v>235</v>
      </c>
      <c r="F51" t="s">
        <v>211</v>
      </c>
      <c r="G51" t="s">
        <v>198</v>
      </c>
      <c r="H51" s="52">
        <v>13132792</v>
      </c>
      <c r="I51" s="52">
        <v>480108.60993599996</v>
      </c>
      <c r="J51">
        <v>0.52600000000000002</v>
      </c>
      <c r="K51">
        <v>0</v>
      </c>
      <c r="L51">
        <v>0.47</v>
      </c>
      <c r="M51">
        <v>0.1174</v>
      </c>
      <c r="N51">
        <v>0.30094942842571543</v>
      </c>
      <c r="O51">
        <v>0.38300000000000001</v>
      </c>
      <c r="P51">
        <f>VLOOKUP($F51,[2]!hbe_risk[#All],5,FALSE)</f>
        <v>4.8000000000000001E-2</v>
      </c>
      <c r="Q51">
        <v>2.725107804878049</v>
      </c>
      <c r="R51">
        <v>25.050487804878053</v>
      </c>
      <c r="S51">
        <v>55.338009253397878</v>
      </c>
      <c r="T51">
        <v>55.893616856252876</v>
      </c>
      <c r="U51">
        <v>55.63849358907045</v>
      </c>
      <c r="V51">
        <v>1.0813839725560106</v>
      </c>
      <c r="W51">
        <v>5.9113839725560107</v>
      </c>
      <c r="X51">
        <v>0.66933278114673744</v>
      </c>
      <c r="Y51">
        <v>5.4993327811467374</v>
      </c>
      <c r="Z51">
        <v>5.4947655346844453</v>
      </c>
      <c r="AA51">
        <v>1.2870491065086007</v>
      </c>
      <c r="AB51">
        <v>6.1170491065086008</v>
      </c>
      <c r="AC51">
        <v>5.1660929999999931E-2</v>
      </c>
      <c r="AD51">
        <v>7.6682989555624109E-3</v>
      </c>
      <c r="AE51">
        <v>2.753116865383637E-3</v>
      </c>
      <c r="AF51">
        <v>1.6220182461334277E-3</v>
      </c>
      <c r="AG51">
        <v>2.4728041518614608E-3</v>
      </c>
      <c r="AH51">
        <v>3.4650976904044128E-3</v>
      </c>
      <c r="AI51">
        <v>3.7158855391260254E-3</v>
      </c>
      <c r="AJ51">
        <v>4.1006094147431607E-3</v>
      </c>
      <c r="AK51">
        <v>4.7097218029210465E-3</v>
      </c>
      <c r="AL51">
        <v>5.7317350908536787E-3</v>
      </c>
      <c r="AM51">
        <v>7.1089462516818339E-3</v>
      </c>
      <c r="AN51">
        <v>9.9864252053493852E-3</v>
      </c>
      <c r="AO51">
        <v>1.424243653612626E-2</v>
      </c>
      <c r="AP51">
        <v>2.2379907387419087E-2</v>
      </c>
      <c r="AQ51">
        <v>3.4679884381574468E-2</v>
      </c>
      <c r="AR51">
        <v>5.5650893957264136E-2</v>
      </c>
      <c r="AS51">
        <v>8.5416908324498969E-2</v>
      </c>
      <c r="AT51">
        <v>0.12175749905273563</v>
      </c>
      <c r="AU51">
        <v>0.1547302136680318</v>
      </c>
      <c r="AV51">
        <v>0.17719636261075544</v>
      </c>
      <c r="AW51">
        <v>0.18801715411602082</v>
      </c>
      <c r="AX51">
        <v>61.043999999999997</v>
      </c>
    </row>
    <row r="52" spans="1:50" x14ac:dyDescent="0.25">
      <c r="A52" t="s">
        <v>324</v>
      </c>
      <c r="B52" t="s">
        <v>325</v>
      </c>
      <c r="C52">
        <v>624</v>
      </c>
      <c r="D52" t="s">
        <v>207</v>
      </c>
      <c r="E52" t="s">
        <v>235</v>
      </c>
      <c r="F52" t="s">
        <v>211</v>
      </c>
      <c r="G52" t="s">
        <v>198</v>
      </c>
      <c r="H52" s="52">
        <v>1967998</v>
      </c>
      <c r="I52" s="52">
        <v>69645.481222000002</v>
      </c>
      <c r="J52">
        <v>0.44</v>
      </c>
      <c r="K52">
        <v>0</v>
      </c>
      <c r="L52">
        <v>0.74</v>
      </c>
      <c r="M52">
        <v>8.72E-2</v>
      </c>
      <c r="N52">
        <v>0.29135266850719183</v>
      </c>
      <c r="O52">
        <v>0.38300000000000001</v>
      </c>
      <c r="P52">
        <f>VLOOKUP($F52,[2]!hbe_risk[#All],5,FALSE)</f>
        <v>4.8000000000000001E-2</v>
      </c>
      <c r="Q52">
        <v>0</v>
      </c>
      <c r="R52">
        <v>0</v>
      </c>
      <c r="S52">
        <v>0</v>
      </c>
      <c r="T52">
        <v>0</v>
      </c>
      <c r="U52">
        <v>0</v>
      </c>
      <c r="V52">
        <v>3.5975987629177868</v>
      </c>
      <c r="W52">
        <v>8.4275987629177873</v>
      </c>
      <c r="X52">
        <v>3.1902017276336094</v>
      </c>
      <c r="Y52">
        <v>8.0202017276336086</v>
      </c>
      <c r="Z52">
        <v>8.0177110782760419</v>
      </c>
      <c r="AA52">
        <v>3.8016045890344734</v>
      </c>
      <c r="AB52">
        <v>8.6316045890344739</v>
      </c>
      <c r="AC52">
        <v>5.7137039999999979E-2</v>
      </c>
      <c r="AD52">
        <v>6.7141676665291852E-3</v>
      </c>
      <c r="AE52">
        <v>2.6421517168500916E-3</v>
      </c>
      <c r="AF52">
        <v>1.8582747603848101E-3</v>
      </c>
      <c r="AG52">
        <v>2.7584406272059439E-3</v>
      </c>
      <c r="AH52">
        <v>4.0673561336193754E-3</v>
      </c>
      <c r="AI52">
        <v>5.1395770170898194E-3</v>
      </c>
      <c r="AJ52">
        <v>6.2796946479398499E-3</v>
      </c>
      <c r="AK52">
        <v>7.8450079872936628E-3</v>
      </c>
      <c r="AL52">
        <v>9.5087937050133096E-3</v>
      </c>
      <c r="AM52">
        <v>1.1401948775644169E-2</v>
      </c>
      <c r="AN52">
        <v>1.4843682585434316E-2</v>
      </c>
      <c r="AO52">
        <v>1.8876475434659281E-2</v>
      </c>
      <c r="AP52">
        <v>2.6573087528500995E-2</v>
      </c>
      <c r="AQ52">
        <v>3.8832694277057697E-2</v>
      </c>
      <c r="AR52">
        <v>5.7800470461217432E-2</v>
      </c>
      <c r="AS52">
        <v>8.4481990196540638E-2</v>
      </c>
      <c r="AT52">
        <v>0.12076751482202236</v>
      </c>
      <c r="AU52">
        <v>0.15842233373352008</v>
      </c>
      <c r="AV52">
        <v>0.184292046722796</v>
      </c>
      <c r="AW52">
        <v>0.18984142358814635</v>
      </c>
      <c r="AX52">
        <v>57.819000000000003</v>
      </c>
    </row>
    <row r="53" spans="1:50" x14ac:dyDescent="0.25">
      <c r="A53" t="s">
        <v>326</v>
      </c>
      <c r="B53" t="s">
        <v>327</v>
      </c>
      <c r="C53">
        <v>328</v>
      </c>
      <c r="D53" t="s">
        <v>215</v>
      </c>
      <c r="E53" t="s">
        <v>232</v>
      </c>
      <c r="F53" t="s">
        <v>217</v>
      </c>
      <c r="G53" t="s">
        <v>204</v>
      </c>
      <c r="H53" s="52">
        <v>786559</v>
      </c>
      <c r="I53" s="52">
        <v>15783.879453</v>
      </c>
      <c r="J53">
        <v>0.92700000000000005</v>
      </c>
      <c r="K53">
        <v>0.7</v>
      </c>
      <c r="L53">
        <v>0.99</v>
      </c>
      <c r="M53">
        <v>2.0899999999999998E-2</v>
      </c>
      <c r="N53">
        <v>0.31994720950218708</v>
      </c>
      <c r="O53">
        <v>0.8</v>
      </c>
      <c r="P53">
        <f>VLOOKUP($F53,[2]!hbe_risk[#All],5,FALSE)</f>
        <v>0.17499999999999999</v>
      </c>
      <c r="Q53">
        <v>7.5291758620689597</v>
      </c>
      <c r="R53">
        <v>29.854555862068963</v>
      </c>
      <c r="S53">
        <v>70.88232543128575</v>
      </c>
      <c r="T53">
        <v>77.027856796967569</v>
      </c>
      <c r="U53">
        <v>74.205958693830908</v>
      </c>
      <c r="V53">
        <v>8.0798418928525368</v>
      </c>
      <c r="W53">
        <v>8.0998418928525364</v>
      </c>
      <c r="X53">
        <v>7.6564700658464968</v>
      </c>
      <c r="Y53">
        <v>7.6764700658464964</v>
      </c>
      <c r="Z53">
        <v>7.6673516604113754</v>
      </c>
      <c r="AA53">
        <v>8.2895430794961484</v>
      </c>
      <c r="AB53">
        <v>8.309543079496148</v>
      </c>
      <c r="AC53">
        <v>2.6771110000000046E-2</v>
      </c>
      <c r="AD53">
        <v>1.4198715371057048E-3</v>
      </c>
      <c r="AE53">
        <v>9.4566769534137896E-4</v>
      </c>
      <c r="AF53">
        <v>7.7207149558016159E-4</v>
      </c>
      <c r="AG53">
        <v>1.7255706754610489E-3</v>
      </c>
      <c r="AH53">
        <v>2.81382930343111E-3</v>
      </c>
      <c r="AI53">
        <v>3.515961527428555E-3</v>
      </c>
      <c r="AJ53">
        <v>3.7766081952088477E-3</v>
      </c>
      <c r="AK53">
        <v>4.3904317727484999E-3</v>
      </c>
      <c r="AL53">
        <v>5.0105637274453878E-3</v>
      </c>
      <c r="AM53">
        <v>5.9847837354568721E-3</v>
      </c>
      <c r="AN53">
        <v>1.0955838327829502E-2</v>
      </c>
      <c r="AO53">
        <v>1.253980659148783E-2</v>
      </c>
      <c r="AP53">
        <v>1.7388029464346286E-2</v>
      </c>
      <c r="AQ53">
        <v>2.2959833950200511E-2</v>
      </c>
      <c r="AR53">
        <v>3.0883582504884172E-2</v>
      </c>
      <c r="AS53">
        <v>4.6713681331453642E-2</v>
      </c>
      <c r="AT53">
        <v>5.9747572996195611E-2</v>
      </c>
      <c r="AU53">
        <v>7.8704938447834924E-2</v>
      </c>
      <c r="AV53">
        <v>9.9134878394333367E-2</v>
      </c>
      <c r="AW53">
        <v>0.11975067867203804</v>
      </c>
      <c r="AX53">
        <v>69.712999999999994</v>
      </c>
    </row>
    <row r="54" spans="1:50" x14ac:dyDescent="0.25">
      <c r="A54" t="s">
        <v>328</v>
      </c>
      <c r="B54" t="s">
        <v>329</v>
      </c>
      <c r="C54">
        <v>332</v>
      </c>
      <c r="D54" t="s">
        <v>215</v>
      </c>
      <c r="E54" t="s">
        <v>232</v>
      </c>
      <c r="F54" t="s">
        <v>217</v>
      </c>
      <c r="G54" t="s">
        <v>198</v>
      </c>
      <c r="H54" s="52">
        <v>11402533</v>
      </c>
      <c r="I54" s="52">
        <v>279738.34208899998</v>
      </c>
      <c r="J54">
        <v>0.39399999999999996</v>
      </c>
      <c r="K54">
        <v>0</v>
      </c>
      <c r="L54">
        <v>0.51</v>
      </c>
      <c r="M54">
        <v>3.2899999999999999E-2</v>
      </c>
      <c r="N54">
        <v>0.29443792053442375</v>
      </c>
      <c r="O54">
        <v>0.8</v>
      </c>
      <c r="P54">
        <f>VLOOKUP($F54,[2]!hbe_risk[#All],5,FALSE)</f>
        <v>0.17499999999999999</v>
      </c>
      <c r="Q54">
        <v>3.4230050225225201</v>
      </c>
      <c r="R54">
        <v>25.748385022522523</v>
      </c>
      <c r="S54">
        <v>57.068662470787928</v>
      </c>
      <c r="T54">
        <v>58.161783475503256</v>
      </c>
      <c r="U54">
        <v>57.659845415772466</v>
      </c>
      <c r="V54">
        <v>1.4869261536821499</v>
      </c>
      <c r="W54">
        <v>1.5069261536821499</v>
      </c>
      <c r="X54">
        <v>1.0784354360964237</v>
      </c>
      <c r="Y54">
        <v>1.0984354360964237</v>
      </c>
      <c r="Z54">
        <v>1.0954054802738959</v>
      </c>
      <c r="AA54">
        <v>1.6913219013150407</v>
      </c>
      <c r="AB54">
        <v>1.7113219013150407</v>
      </c>
      <c r="AC54">
        <v>5.4323950000000037E-2</v>
      </c>
      <c r="AD54">
        <v>7.0672060479907532E-3</v>
      </c>
      <c r="AE54">
        <v>2.5147090205495702E-3</v>
      </c>
      <c r="AF54">
        <v>2.0463406122182312E-3</v>
      </c>
      <c r="AG54">
        <v>2.5321978157550663E-3</v>
      </c>
      <c r="AH54">
        <v>3.1994076777362313E-3</v>
      </c>
      <c r="AI54">
        <v>3.8000275973229503E-3</v>
      </c>
      <c r="AJ54">
        <v>4.3188296372958738E-3</v>
      </c>
      <c r="AK54">
        <v>4.8464719263578938E-3</v>
      </c>
      <c r="AL54">
        <v>5.5476557359873113E-3</v>
      </c>
      <c r="AM54">
        <v>6.6683811519541334E-3</v>
      </c>
      <c r="AN54">
        <v>8.5753634458676023E-3</v>
      </c>
      <c r="AO54">
        <v>1.1809821325573164E-2</v>
      </c>
      <c r="AP54">
        <v>1.7189555412017703E-2</v>
      </c>
      <c r="AQ54">
        <v>2.5854649298542358E-2</v>
      </c>
      <c r="AR54">
        <v>3.9417013017763521E-2</v>
      </c>
      <c r="AS54">
        <v>5.940574491064482E-2</v>
      </c>
      <c r="AT54">
        <v>8.1802999388428346E-2</v>
      </c>
      <c r="AU54">
        <v>0.10584042768294169</v>
      </c>
      <c r="AV54">
        <v>0.12856894104263286</v>
      </c>
      <c r="AW54">
        <v>0.14823456044166194</v>
      </c>
      <c r="AX54">
        <v>63.518999999999998</v>
      </c>
    </row>
    <row r="55" spans="1:50" x14ac:dyDescent="0.25">
      <c r="A55" t="s">
        <v>330</v>
      </c>
      <c r="B55" t="s">
        <v>331</v>
      </c>
      <c r="C55">
        <v>340</v>
      </c>
      <c r="D55" t="s">
        <v>215</v>
      </c>
      <c r="E55" t="s">
        <v>274</v>
      </c>
      <c r="F55" t="s">
        <v>217</v>
      </c>
      <c r="G55" t="s">
        <v>212</v>
      </c>
      <c r="H55" s="52">
        <v>9904608</v>
      </c>
      <c r="I55" s="52">
        <v>215960.07283199998</v>
      </c>
      <c r="J55">
        <v>0.82700000000000007</v>
      </c>
      <c r="K55">
        <v>0.71</v>
      </c>
      <c r="L55">
        <v>0.8</v>
      </c>
      <c r="M55">
        <v>5.3E-3</v>
      </c>
      <c r="N55">
        <v>0.31422832861627031</v>
      </c>
      <c r="O55">
        <v>0.8</v>
      </c>
      <c r="P55">
        <f>VLOOKUP($F55,[2]!hbe_risk[#All],5,FALSE)</f>
        <v>0.17499999999999999</v>
      </c>
      <c r="Q55">
        <v>5.4970919979242305</v>
      </c>
      <c r="R55">
        <v>27.822471997924232</v>
      </c>
      <c r="S55">
        <v>65.319708397434894</v>
      </c>
      <c r="T55">
        <v>69.627720644470145</v>
      </c>
      <c r="U55">
        <v>67.649572480409887</v>
      </c>
      <c r="V55">
        <v>3.6019508380092509</v>
      </c>
      <c r="W55">
        <v>3.6219508380092509</v>
      </c>
      <c r="X55">
        <v>3.1867617597257589</v>
      </c>
      <c r="Y55">
        <v>3.2067617597257589</v>
      </c>
      <c r="Z55">
        <v>3.2009726275829111</v>
      </c>
      <c r="AA55">
        <v>3.808734696847432</v>
      </c>
      <c r="AB55">
        <v>3.8287346968474321</v>
      </c>
      <c r="AC55">
        <v>1.5040069999999978E-2</v>
      </c>
      <c r="AD55">
        <v>1.592156139793422E-3</v>
      </c>
      <c r="AE55">
        <v>8.5894052204161684E-4</v>
      </c>
      <c r="AF55">
        <v>6.946384502681366E-4</v>
      </c>
      <c r="AG55">
        <v>9.9773107664010677E-4</v>
      </c>
      <c r="AH55">
        <v>1.4592485313942006E-3</v>
      </c>
      <c r="AI55">
        <v>1.9275132097957353E-3</v>
      </c>
      <c r="AJ55">
        <v>2.3727893342589956E-3</v>
      </c>
      <c r="AK55">
        <v>2.8322039723949009E-3</v>
      </c>
      <c r="AL55">
        <v>3.4012113823321507E-3</v>
      </c>
      <c r="AM55">
        <v>4.2241871053381088E-3</v>
      </c>
      <c r="AN55">
        <v>5.5211588533185313E-3</v>
      </c>
      <c r="AO55">
        <v>7.6225523309263613E-3</v>
      </c>
      <c r="AP55">
        <v>1.1032521485562581E-2</v>
      </c>
      <c r="AQ55">
        <v>1.6510135285567287E-2</v>
      </c>
      <c r="AR55">
        <v>2.5137394862241397E-2</v>
      </c>
      <c r="AS55">
        <v>3.8304070266972842E-2</v>
      </c>
      <c r="AT55">
        <v>5.7440275631066996E-2</v>
      </c>
      <c r="AU55">
        <v>8.3308930896146577E-2</v>
      </c>
      <c r="AV55">
        <v>0.11473305560186088</v>
      </c>
      <c r="AW55">
        <v>0.14934101990927171</v>
      </c>
      <c r="AX55">
        <v>74.992000000000004</v>
      </c>
    </row>
    <row r="56" spans="1:50" x14ac:dyDescent="0.25">
      <c r="A56" t="s">
        <v>332</v>
      </c>
      <c r="B56" t="s">
        <v>333</v>
      </c>
      <c r="C56">
        <v>356</v>
      </c>
      <c r="D56" t="s">
        <v>225</v>
      </c>
      <c r="E56" t="s">
        <v>226</v>
      </c>
      <c r="F56" t="s">
        <v>226</v>
      </c>
      <c r="G56" t="s">
        <v>212</v>
      </c>
      <c r="H56" s="52">
        <v>1380004385</v>
      </c>
      <c r="I56" s="52">
        <v>24867679.017699998</v>
      </c>
      <c r="J56">
        <v>0.78900000000000003</v>
      </c>
      <c r="K56">
        <v>0.54</v>
      </c>
      <c r="L56">
        <v>0.85</v>
      </c>
      <c r="M56">
        <v>1.8000000000000002E-2</v>
      </c>
      <c r="N56">
        <v>0.26726619107184962</v>
      </c>
      <c r="O56">
        <v>0.8</v>
      </c>
      <c r="P56">
        <f>VLOOKUP($F56,[2]!hbe_risk[#All],5,FALSE)</f>
        <v>0.17499999999999999</v>
      </c>
      <c r="Q56">
        <v>3.9836437837837799</v>
      </c>
      <c r="R56">
        <v>26.309023783783783</v>
      </c>
      <c r="S56">
        <v>60.123090534426169</v>
      </c>
      <c r="T56">
        <v>62.514141710231044</v>
      </c>
      <c r="U56">
        <v>61.416221550684696</v>
      </c>
      <c r="V56">
        <v>1.5048305028114479</v>
      </c>
      <c r="W56">
        <v>3.3146779638197121</v>
      </c>
      <c r="X56">
        <v>1.0923006011739376</v>
      </c>
      <c r="Y56">
        <v>2.902148062182202</v>
      </c>
      <c r="Z56">
        <v>2.8974036015473419</v>
      </c>
      <c r="AA56">
        <v>1.7106663073671489</v>
      </c>
      <c r="AB56">
        <v>3.5205137683754133</v>
      </c>
      <c r="AC56">
        <v>3.2000000000000001E-2</v>
      </c>
      <c r="AD56">
        <v>1.9125568181818215E-3</v>
      </c>
      <c r="AE56">
        <v>7.1535069456670386E-4</v>
      </c>
      <c r="AF56">
        <v>6.0160552047179691E-4</v>
      </c>
      <c r="AG56">
        <v>9.4642282045615737E-4</v>
      </c>
      <c r="AH56">
        <v>1.3732150365588049E-3</v>
      </c>
      <c r="AI56">
        <v>1.5526608369193016E-3</v>
      </c>
      <c r="AJ56">
        <v>1.9815753059753876E-3</v>
      </c>
      <c r="AK56">
        <v>2.7437178237789267E-3</v>
      </c>
      <c r="AL56">
        <v>3.6892655629956312E-3</v>
      </c>
      <c r="AM56">
        <v>5.2984072107780398E-3</v>
      </c>
      <c r="AN56">
        <v>8.4786050471113063E-3</v>
      </c>
      <c r="AO56">
        <v>1.2597229022773913E-2</v>
      </c>
      <c r="AP56">
        <v>1.8597386074553211E-2</v>
      </c>
      <c r="AQ56">
        <v>2.7897493448943371E-2</v>
      </c>
      <c r="AR56">
        <v>4.2849663503968405E-2</v>
      </c>
      <c r="AS56">
        <v>6.0679978133540674E-2</v>
      </c>
      <c r="AT56">
        <v>8.6620117768741622E-2</v>
      </c>
      <c r="AU56">
        <v>0.11600615643086354</v>
      </c>
      <c r="AV56">
        <v>0.14310718338796444</v>
      </c>
      <c r="AW56">
        <v>0.13800656426699495</v>
      </c>
      <c r="AX56">
        <v>69.272000000000006</v>
      </c>
    </row>
    <row r="57" spans="1:50" x14ac:dyDescent="0.25">
      <c r="A57" t="s">
        <v>334</v>
      </c>
      <c r="B57" t="s">
        <v>335</v>
      </c>
      <c r="C57">
        <v>360</v>
      </c>
      <c r="D57" t="s">
        <v>225</v>
      </c>
      <c r="E57" t="s">
        <v>261</v>
      </c>
      <c r="F57" t="s">
        <v>262</v>
      </c>
      <c r="G57" t="s">
        <v>212</v>
      </c>
      <c r="H57" s="52">
        <v>273523621</v>
      </c>
      <c r="I57" s="52">
        <v>4979497.5203049993</v>
      </c>
      <c r="J57">
        <v>0.79</v>
      </c>
      <c r="K57">
        <v>0.73</v>
      </c>
      <c r="L57">
        <v>0.77</v>
      </c>
      <c r="M57">
        <v>6.0700000000000004E-2</v>
      </c>
      <c r="N57">
        <v>0.33277106999049344</v>
      </c>
      <c r="O57">
        <v>0.8</v>
      </c>
      <c r="P57">
        <f>VLOOKUP($F57,[2]!hbe_risk[#All],5,FALSE)</f>
        <v>0.17499999999999999</v>
      </c>
      <c r="Q57">
        <v>4.9129646043165502</v>
      </c>
      <c r="R57">
        <v>27.238344604316552</v>
      </c>
      <c r="S57">
        <v>63.715184198922614</v>
      </c>
      <c r="T57">
        <v>67.492115573044231</v>
      </c>
      <c r="U57">
        <v>65.757828520206346</v>
      </c>
      <c r="V57">
        <v>1.7827711369808801</v>
      </c>
      <c r="W57">
        <v>2.4127711369808802</v>
      </c>
      <c r="X57">
        <v>1.3594549968403589</v>
      </c>
      <c r="Y57">
        <v>1.989454996840359</v>
      </c>
      <c r="Z57">
        <v>1.9806721748316831</v>
      </c>
      <c r="AA57">
        <v>1.99245247004635</v>
      </c>
      <c r="AB57">
        <v>2.6224524700463498</v>
      </c>
      <c r="AC57">
        <v>1.8922880000000003E-2</v>
      </c>
      <c r="AD57">
        <v>1.5222172340539479E-3</v>
      </c>
      <c r="AE57">
        <v>5.0644471606688178E-4</v>
      </c>
      <c r="AF57">
        <v>4.4754539756151283E-4</v>
      </c>
      <c r="AG57">
        <v>9.3833652529765749E-4</v>
      </c>
      <c r="AH57">
        <v>1.2329000732080504E-3</v>
      </c>
      <c r="AI57">
        <v>1.3065425046960614E-3</v>
      </c>
      <c r="AJ57">
        <v>1.5542100671743552E-3</v>
      </c>
      <c r="AK57">
        <v>2.0910096495578398E-3</v>
      </c>
      <c r="AL57">
        <v>2.9997705513160125E-3</v>
      </c>
      <c r="AM57">
        <v>4.5961967641964313E-3</v>
      </c>
      <c r="AN57">
        <v>7.1074352798496023E-3</v>
      </c>
      <c r="AO57">
        <v>1.103758984314274E-2</v>
      </c>
      <c r="AP57">
        <v>1.7008872501062953E-2</v>
      </c>
      <c r="AQ57">
        <v>2.5792433130569472E-2</v>
      </c>
      <c r="AR57">
        <v>3.948314467635939E-2</v>
      </c>
      <c r="AS57">
        <v>6.1004167044676857E-2</v>
      </c>
      <c r="AT57">
        <v>8.9419563865003923E-2</v>
      </c>
      <c r="AU57">
        <v>0.12285940751319926</v>
      </c>
      <c r="AV57">
        <v>0.1523510213088739</v>
      </c>
      <c r="AW57">
        <v>0.17417010285041848</v>
      </c>
      <c r="AX57">
        <v>71.409000000000006</v>
      </c>
    </row>
    <row r="58" spans="1:50" x14ac:dyDescent="0.25">
      <c r="A58" t="s">
        <v>336</v>
      </c>
      <c r="B58" t="s">
        <v>337</v>
      </c>
      <c r="C58">
        <v>364</v>
      </c>
      <c r="D58" t="s">
        <v>196</v>
      </c>
      <c r="E58" t="s">
        <v>197</v>
      </c>
      <c r="F58" t="s">
        <v>197</v>
      </c>
      <c r="G58" t="s">
        <v>204</v>
      </c>
      <c r="H58" s="52">
        <v>83992953</v>
      </c>
      <c r="I58" s="52">
        <v>1604013.423441</v>
      </c>
      <c r="J58">
        <v>0.95299999999999996</v>
      </c>
      <c r="K58">
        <v>0.95</v>
      </c>
      <c r="L58">
        <v>0.99</v>
      </c>
      <c r="M58">
        <v>1.24E-2</v>
      </c>
      <c r="N58">
        <v>0.25455968916822264</v>
      </c>
      <c r="O58">
        <v>0.8</v>
      </c>
      <c r="P58">
        <f>VLOOKUP($F58,[2]!hbe_risk[#All],5,FALSE)</f>
        <v>0.17499999999999999</v>
      </c>
      <c r="Q58">
        <v>10.63442611942555</v>
      </c>
      <c r="R58">
        <v>32.959806119425551</v>
      </c>
      <c r="S58">
        <v>95.952240233722804</v>
      </c>
      <c r="T58">
        <v>113.52961180488938</v>
      </c>
      <c r="U58">
        <v>105.45845431771249</v>
      </c>
      <c r="V58">
        <v>3.6565068398642433</v>
      </c>
      <c r="W58">
        <v>4.1365068398642428</v>
      </c>
      <c r="X58">
        <v>3.2397091781601466</v>
      </c>
      <c r="Y58">
        <v>3.7197091781601466</v>
      </c>
      <c r="Z58">
        <v>3.7125968344414408</v>
      </c>
      <c r="AA58">
        <v>3.8638641936610747</v>
      </c>
      <c r="AB58">
        <v>4.3438641936610747</v>
      </c>
      <c r="AC58">
        <v>1.2817449999999954E-2</v>
      </c>
      <c r="AD58">
        <v>5.3182159672496157E-4</v>
      </c>
      <c r="AE58">
        <v>1.7592028558257154E-4</v>
      </c>
      <c r="AF58">
        <v>1.9594478265212644E-4</v>
      </c>
      <c r="AG58">
        <v>4.2671877566580852E-4</v>
      </c>
      <c r="AH58">
        <v>7.5940989198300228E-4</v>
      </c>
      <c r="AI58">
        <v>5.9178552242656799E-4</v>
      </c>
      <c r="AJ58">
        <v>6.4505960424462386E-4</v>
      </c>
      <c r="AK58">
        <v>7.0583163378969431E-4</v>
      </c>
      <c r="AL58">
        <v>1.0396719641485451E-3</v>
      </c>
      <c r="AM58">
        <v>1.7397054894052362E-3</v>
      </c>
      <c r="AN58">
        <v>3.2391255839095967E-3</v>
      </c>
      <c r="AO58">
        <v>4.7982650573979374E-3</v>
      </c>
      <c r="AP58">
        <v>8.8699861339129743E-3</v>
      </c>
      <c r="AQ58">
        <v>1.6162894890085929E-2</v>
      </c>
      <c r="AR58">
        <v>3.2220010103701673E-2</v>
      </c>
      <c r="AS58">
        <v>6.4028553202138627E-2</v>
      </c>
      <c r="AT58">
        <v>9.215112094519777E-2</v>
      </c>
      <c r="AU58">
        <v>0.12562970555941547</v>
      </c>
      <c r="AV58">
        <v>0.1577032486213901</v>
      </c>
      <c r="AW58">
        <v>0.17881396894351279</v>
      </c>
      <c r="AX58">
        <v>76.346000000000004</v>
      </c>
    </row>
    <row r="59" spans="1:50" x14ac:dyDescent="0.25">
      <c r="A59" t="s">
        <v>338</v>
      </c>
      <c r="B59" t="s">
        <v>339</v>
      </c>
      <c r="C59">
        <v>368</v>
      </c>
      <c r="D59" t="s">
        <v>196</v>
      </c>
      <c r="E59" t="s">
        <v>197</v>
      </c>
      <c r="F59" t="s">
        <v>197</v>
      </c>
      <c r="G59" t="s">
        <v>204</v>
      </c>
      <c r="H59" s="52">
        <v>40222503</v>
      </c>
      <c r="I59" s="52">
        <v>1171721.734893</v>
      </c>
      <c r="J59">
        <v>0.86599999999999999</v>
      </c>
      <c r="K59">
        <v>0.47</v>
      </c>
      <c r="L59">
        <v>0.74</v>
      </c>
      <c r="M59">
        <v>1.4999999999999999E-2</v>
      </c>
      <c r="N59">
        <v>0.26929919897622001</v>
      </c>
      <c r="O59">
        <v>0.8</v>
      </c>
      <c r="P59">
        <f>VLOOKUP($F59,[2]!hbe_risk[#All],5,FALSE)</f>
        <v>0.17499999999999999</v>
      </c>
      <c r="Q59">
        <v>4.5416499417372904</v>
      </c>
      <c r="R59">
        <v>26.867029941737293</v>
      </c>
      <c r="S59">
        <v>62.108128516577182</v>
      </c>
      <c r="T59">
        <v>65.241899880477121</v>
      </c>
      <c r="U59">
        <v>63.802938309662309</v>
      </c>
      <c r="V59">
        <v>2.9295178592243376</v>
      </c>
      <c r="W59">
        <v>3.4095178592243376</v>
      </c>
      <c r="X59">
        <v>2.5156805955491586</v>
      </c>
      <c r="Y59">
        <v>2.9956805955491586</v>
      </c>
      <c r="Z59">
        <v>2.9906791613906472</v>
      </c>
      <c r="AA59">
        <v>3.1358197667673808</v>
      </c>
      <c r="AB59">
        <v>3.6158197667673808</v>
      </c>
      <c r="AC59">
        <v>2.4110800000000019E-2</v>
      </c>
      <c r="AD59">
        <v>1.0799817233349974E-3</v>
      </c>
      <c r="AE59">
        <v>6.7821551938492984E-4</v>
      </c>
      <c r="AF59">
        <v>5.6557849116027745E-4</v>
      </c>
      <c r="AG59">
        <v>1.0004142952082203E-3</v>
      </c>
      <c r="AH59">
        <v>1.4151251214418346E-3</v>
      </c>
      <c r="AI59">
        <v>1.5242081853088043E-3</v>
      </c>
      <c r="AJ59">
        <v>1.7479123246873808E-3</v>
      </c>
      <c r="AK59">
        <v>2.2037392374316925E-3</v>
      </c>
      <c r="AL59">
        <v>3.0908236420942241E-3</v>
      </c>
      <c r="AM59">
        <v>4.6923737995915194E-3</v>
      </c>
      <c r="AN59">
        <v>7.1647330039273649E-3</v>
      </c>
      <c r="AO59">
        <v>1.1076525869839116E-2</v>
      </c>
      <c r="AP59">
        <v>1.7215447490337803E-2</v>
      </c>
      <c r="AQ59">
        <v>2.7241255375288469E-2</v>
      </c>
      <c r="AR59">
        <v>4.3058974571024498E-2</v>
      </c>
      <c r="AS59">
        <v>6.5942761472422159E-2</v>
      </c>
      <c r="AT59">
        <v>9.7172606369998721E-2</v>
      </c>
      <c r="AU59">
        <v>0.13079294681675191</v>
      </c>
      <c r="AV59">
        <v>0.15974497508907906</v>
      </c>
      <c r="AW59">
        <v>0.17784872588826692</v>
      </c>
      <c r="AX59">
        <v>70.367999999999995</v>
      </c>
    </row>
    <row r="60" spans="1:50" x14ac:dyDescent="0.25">
      <c r="A60" t="s">
        <v>340</v>
      </c>
      <c r="B60" t="s">
        <v>341</v>
      </c>
      <c r="C60">
        <v>388</v>
      </c>
      <c r="D60" t="s">
        <v>215</v>
      </c>
      <c r="E60" t="s">
        <v>232</v>
      </c>
      <c r="F60" t="s">
        <v>217</v>
      </c>
      <c r="G60" t="s">
        <v>204</v>
      </c>
      <c r="H60" s="52">
        <v>2961161</v>
      </c>
      <c r="I60" s="52">
        <v>48056.681869</v>
      </c>
      <c r="J60">
        <v>0.98599999999999999</v>
      </c>
      <c r="K60">
        <v>0</v>
      </c>
      <c r="L60">
        <v>0.95</v>
      </c>
      <c r="M60">
        <v>2.98E-2</v>
      </c>
      <c r="N60">
        <v>0.307859973382413</v>
      </c>
      <c r="O60">
        <v>0.8</v>
      </c>
      <c r="P60">
        <f>VLOOKUP($F60,[2]!hbe_risk[#All],5,FALSE)</f>
        <v>0.17499999999999999</v>
      </c>
      <c r="Q60">
        <v>9.5809424045128697</v>
      </c>
      <c r="R60">
        <v>31.906322404512871</v>
      </c>
      <c r="S60">
        <v>83.98272565230252</v>
      </c>
      <c r="T60">
        <v>95.878684685256474</v>
      </c>
      <c r="U60">
        <v>90.416311745864633</v>
      </c>
      <c r="V60">
        <v>6.6860334839026612</v>
      </c>
      <c r="W60">
        <v>6.7060334839026607</v>
      </c>
      <c r="X60">
        <v>6.2694683149670478</v>
      </c>
      <c r="Y60">
        <v>6.2894683149670474</v>
      </c>
      <c r="Z60">
        <v>6.2828539689495591</v>
      </c>
      <c r="AA60">
        <v>6.8933079489733373</v>
      </c>
      <c r="AB60">
        <v>6.9133079489733369</v>
      </c>
      <c r="AC60">
        <v>1.1772590000000055E-2</v>
      </c>
      <c r="AD60">
        <v>8.0799974977416777E-4</v>
      </c>
      <c r="AE60">
        <v>3.4310915692144765E-4</v>
      </c>
      <c r="AF60">
        <v>3.2715319779528731E-4</v>
      </c>
      <c r="AG60">
        <v>7.8892363496803233E-4</v>
      </c>
      <c r="AH60">
        <v>1.0780534073041913E-3</v>
      </c>
      <c r="AI60">
        <v>1.1480297032394698E-3</v>
      </c>
      <c r="AJ60">
        <v>1.3736876876624586E-3</v>
      </c>
      <c r="AK60">
        <v>1.8588291620629529E-3</v>
      </c>
      <c r="AL60">
        <v>2.71750082356649E-3</v>
      </c>
      <c r="AM60">
        <v>4.2168369679111565E-3</v>
      </c>
      <c r="AN60">
        <v>6.5686598199869517E-3</v>
      </c>
      <c r="AO60">
        <v>1.0107070536801569E-2</v>
      </c>
      <c r="AP60">
        <v>1.4161193888885175E-2</v>
      </c>
      <c r="AQ60">
        <v>2.0022560666233091E-2</v>
      </c>
      <c r="AR60">
        <v>3.0245210004194729E-2</v>
      </c>
      <c r="AS60">
        <v>4.8588944964654886E-2</v>
      </c>
      <c r="AT60">
        <v>7.4875270638348451E-2</v>
      </c>
      <c r="AU60">
        <v>0.10766867269478904</v>
      </c>
      <c r="AV60">
        <v>0.13925038964471201</v>
      </c>
      <c r="AW60">
        <v>0.16398700606550246</v>
      </c>
      <c r="AX60">
        <v>74.331999999999994</v>
      </c>
    </row>
    <row r="61" spans="1:50" x14ac:dyDescent="0.25">
      <c r="A61" t="s">
        <v>342</v>
      </c>
      <c r="B61" t="s">
        <v>343</v>
      </c>
      <c r="C61">
        <v>400</v>
      </c>
      <c r="D61" t="s">
        <v>196</v>
      </c>
      <c r="E61" t="s">
        <v>197</v>
      </c>
      <c r="F61" t="s">
        <v>197</v>
      </c>
      <c r="G61" t="s">
        <v>204</v>
      </c>
      <c r="H61" s="52">
        <v>10203140</v>
      </c>
      <c r="I61" s="52">
        <v>224969.03386</v>
      </c>
      <c r="J61">
        <v>0.98099999999999998</v>
      </c>
      <c r="K61">
        <v>0</v>
      </c>
      <c r="L61">
        <v>0.77</v>
      </c>
      <c r="M61">
        <v>2.4700000000000003E-2</v>
      </c>
      <c r="N61">
        <v>0.25738483729519801</v>
      </c>
      <c r="O61">
        <v>0.8</v>
      </c>
      <c r="P61">
        <f>VLOOKUP($F61,[2]!hbe_risk[#All],5,FALSE)</f>
        <v>0.17499999999999999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4.8379690622377165</v>
      </c>
      <c r="W61">
        <v>5.3179690622377169</v>
      </c>
      <c r="X61">
        <v>4.4231530388712965</v>
      </c>
      <c r="Y61">
        <v>4.9031530388712969</v>
      </c>
      <c r="Z61">
        <v>4.8974978960412354</v>
      </c>
      <c r="AA61">
        <v>5.0446199188880723</v>
      </c>
      <c r="AB61">
        <v>5.5246199188880727</v>
      </c>
      <c r="AC61">
        <v>1.4632749999999941E-2</v>
      </c>
      <c r="AD61">
        <v>6.0964833162461E-4</v>
      </c>
      <c r="AE61">
        <v>3.2828657853446503E-4</v>
      </c>
      <c r="AF61">
        <v>2.7577292513125776E-4</v>
      </c>
      <c r="AG61">
        <v>5.1201955857610687E-4</v>
      </c>
      <c r="AH61">
        <v>7.1612071515947645E-4</v>
      </c>
      <c r="AI61">
        <v>7.7178297825039046E-4</v>
      </c>
      <c r="AJ61">
        <v>9.1062710482887714E-4</v>
      </c>
      <c r="AK61">
        <v>1.2224606282356869E-3</v>
      </c>
      <c r="AL61">
        <v>1.8512747911948806E-3</v>
      </c>
      <c r="AM61">
        <v>3.1122471683366691E-3</v>
      </c>
      <c r="AN61">
        <v>5.0729302808490678E-3</v>
      </c>
      <c r="AO61">
        <v>8.369964446812107E-3</v>
      </c>
      <c r="AP61">
        <v>1.3391899499446925E-2</v>
      </c>
      <c r="AQ61">
        <v>2.212427567931665E-2</v>
      </c>
      <c r="AR61">
        <v>3.618751162717259E-2</v>
      </c>
      <c r="AS61">
        <v>5.7640347386947753E-2</v>
      </c>
      <c r="AT61">
        <v>8.8864944342642305E-2</v>
      </c>
      <c r="AU61">
        <v>0.1233822091096403</v>
      </c>
      <c r="AV61">
        <v>0.15471847178241849</v>
      </c>
      <c r="AW61">
        <v>0.17654961686173334</v>
      </c>
      <c r="AX61">
        <v>74.326999999999998</v>
      </c>
    </row>
    <row r="62" spans="1:50" x14ac:dyDescent="0.25">
      <c r="A62" t="s">
        <v>344</v>
      </c>
      <c r="B62" t="s">
        <v>345</v>
      </c>
      <c r="C62">
        <v>398</v>
      </c>
      <c r="D62" t="s">
        <v>201</v>
      </c>
      <c r="E62" t="s">
        <v>220</v>
      </c>
      <c r="F62" t="s">
        <v>203</v>
      </c>
      <c r="G62" t="s">
        <v>204</v>
      </c>
      <c r="H62" s="52">
        <v>18776707</v>
      </c>
      <c r="I62" s="52">
        <v>401389.66553899995</v>
      </c>
      <c r="J62">
        <v>0.99299999999999999</v>
      </c>
      <c r="K62">
        <v>0.93</v>
      </c>
      <c r="L62">
        <v>0.88</v>
      </c>
      <c r="M62">
        <v>3.32E-2</v>
      </c>
      <c r="N62">
        <v>0.29237590740285052</v>
      </c>
      <c r="O62">
        <v>0.8</v>
      </c>
      <c r="P62">
        <f>VLOOKUP($F62,[2]!hbe_risk[#All],5,FALSE)</f>
        <v>0.17499999999999999</v>
      </c>
      <c r="Q62">
        <v>11.358880427502219</v>
      </c>
      <c r="R62">
        <v>33.684260427502224</v>
      </c>
      <c r="S62">
        <v>97.015116081439842</v>
      </c>
      <c r="T62">
        <v>114.7686242357681</v>
      </c>
      <c r="U62">
        <v>106.61658855265645</v>
      </c>
      <c r="V62">
        <v>5.6597989965890978</v>
      </c>
      <c r="W62">
        <v>9.7297989965890981</v>
      </c>
      <c r="X62">
        <v>5.2299561051930521</v>
      </c>
      <c r="Y62">
        <v>9.2999561051930524</v>
      </c>
      <c r="Z62">
        <v>9.2884385904769342</v>
      </c>
      <c r="AA62">
        <v>5.8718072583630594</v>
      </c>
      <c r="AB62">
        <v>9.9418072583630597</v>
      </c>
      <c r="AC62">
        <v>7.6736500000000527E-3</v>
      </c>
      <c r="AD62">
        <v>5.5877282710469801E-4</v>
      </c>
      <c r="AE62">
        <v>2.7353974298632871E-4</v>
      </c>
      <c r="AF62">
        <v>2.9288976803779922E-4</v>
      </c>
      <c r="AG62">
        <v>5.9057460042845128E-4</v>
      </c>
      <c r="AH62">
        <v>8.6802308517955622E-4</v>
      </c>
      <c r="AI62">
        <v>1.1322508451784348E-3</v>
      </c>
      <c r="AJ62">
        <v>1.7362060675387271E-3</v>
      </c>
      <c r="AK62">
        <v>2.7651398905049469E-3</v>
      </c>
      <c r="AL62">
        <v>3.8116304279226295E-3</v>
      </c>
      <c r="AM62">
        <v>5.1108571994989476E-3</v>
      </c>
      <c r="AN62">
        <v>7.1501039862457566E-3</v>
      </c>
      <c r="AO62">
        <v>1.0725561526911859E-2</v>
      </c>
      <c r="AP62">
        <v>1.6538686927187084E-2</v>
      </c>
      <c r="AQ62">
        <v>2.4728424144013106E-2</v>
      </c>
      <c r="AR62">
        <v>3.4583943415142905E-2</v>
      </c>
      <c r="AS62">
        <v>5.4274969562793166E-2</v>
      </c>
      <c r="AT62">
        <v>7.9683684738573041E-2</v>
      </c>
      <c r="AU62">
        <v>0.11119078253863507</v>
      </c>
      <c r="AV62">
        <v>0.14423617153627075</v>
      </c>
      <c r="AW62">
        <v>0.16970912047030279</v>
      </c>
      <c r="AX62">
        <v>73.224999999999994</v>
      </c>
    </row>
    <row r="63" spans="1:50" x14ac:dyDescent="0.25">
      <c r="A63" t="s">
        <v>346</v>
      </c>
      <c r="B63" t="s">
        <v>347</v>
      </c>
      <c r="C63">
        <v>404</v>
      </c>
      <c r="D63" t="s">
        <v>207</v>
      </c>
      <c r="E63" t="s">
        <v>255</v>
      </c>
      <c r="F63" t="s">
        <v>211</v>
      </c>
      <c r="G63" t="s">
        <v>212</v>
      </c>
      <c r="H63" s="52">
        <v>53771300</v>
      </c>
      <c r="I63" s="52">
        <v>1554259.4265000001</v>
      </c>
      <c r="J63">
        <v>0.61199999999999999</v>
      </c>
      <c r="K63">
        <v>0</v>
      </c>
      <c r="L63">
        <v>0.91</v>
      </c>
      <c r="M63">
        <v>1.66E-2</v>
      </c>
      <c r="N63">
        <v>0.29029165014939401</v>
      </c>
      <c r="O63">
        <v>0.38300000000000001</v>
      </c>
      <c r="P63">
        <f>VLOOKUP($F63,[2]!hbe_risk[#All],5,FALSE)</f>
        <v>4.8000000000000001E-2</v>
      </c>
      <c r="Q63">
        <v>3.2702733856022803</v>
      </c>
      <c r="R63">
        <v>25.595653385602283</v>
      </c>
      <c r="S63">
        <v>57.033388623673964</v>
      </c>
      <c r="T63">
        <v>58.187642302698919</v>
      </c>
      <c r="U63">
        <v>57.657633411105273</v>
      </c>
      <c r="V63">
        <v>2.5958115127751458</v>
      </c>
      <c r="W63">
        <v>7.4258115127751463</v>
      </c>
      <c r="X63">
        <v>2.1840550650090131</v>
      </c>
      <c r="Y63">
        <v>7.0140550650090132</v>
      </c>
      <c r="Z63">
        <v>7.0098538567922599</v>
      </c>
      <c r="AA63">
        <v>2.8013715642114856</v>
      </c>
      <c r="AB63">
        <v>7.6313715642114861</v>
      </c>
      <c r="AC63">
        <v>3.6371680000000052E-2</v>
      </c>
      <c r="AD63">
        <v>2.8778575125313626E-3</v>
      </c>
      <c r="AE63">
        <v>8.8878149832473396E-4</v>
      </c>
      <c r="AF63">
        <v>7.2191935359029714E-4</v>
      </c>
      <c r="AG63">
        <v>1.2535671078773741E-3</v>
      </c>
      <c r="AH63">
        <v>2.0151098251266352E-3</v>
      </c>
      <c r="AI63">
        <v>2.7743378338870063E-3</v>
      </c>
      <c r="AJ63">
        <v>3.6171295347846425E-3</v>
      </c>
      <c r="AK63">
        <v>4.8349930451986167E-3</v>
      </c>
      <c r="AL63">
        <v>6.0774118722196563E-3</v>
      </c>
      <c r="AM63">
        <v>7.6402037982026281E-3</v>
      </c>
      <c r="AN63">
        <v>1.0285721443846717E-2</v>
      </c>
      <c r="AO63">
        <v>1.3317102527833061E-2</v>
      </c>
      <c r="AP63">
        <v>1.9017377283509957E-2</v>
      </c>
      <c r="AQ63">
        <v>2.8329205279911861E-2</v>
      </c>
      <c r="AR63">
        <v>4.2834133912262096E-2</v>
      </c>
      <c r="AS63">
        <v>6.4664908087092451E-2</v>
      </c>
      <c r="AT63">
        <v>9.7217163228875234E-2</v>
      </c>
      <c r="AU63">
        <v>0.1368826401817643</v>
      </c>
      <c r="AV63">
        <v>0.17226761766858911</v>
      </c>
      <c r="AW63">
        <v>0.18675635071800664</v>
      </c>
      <c r="AX63">
        <v>66.177999999999997</v>
      </c>
    </row>
    <row r="64" spans="1:50" x14ac:dyDescent="0.25">
      <c r="A64" t="s">
        <v>348</v>
      </c>
      <c r="B64" t="s">
        <v>349</v>
      </c>
      <c r="C64">
        <v>296</v>
      </c>
      <c r="D64" t="s">
        <v>260</v>
      </c>
      <c r="E64" t="s">
        <v>309</v>
      </c>
      <c r="F64" t="s">
        <v>262</v>
      </c>
      <c r="G64" t="s">
        <v>212</v>
      </c>
      <c r="H64" s="52">
        <v>119446</v>
      </c>
      <c r="I64" s="52">
        <v>3353.2075580000001</v>
      </c>
      <c r="J64">
        <v>0.86099999999999999</v>
      </c>
      <c r="K64">
        <v>0.91</v>
      </c>
      <c r="L64">
        <v>0.92</v>
      </c>
      <c r="M64">
        <v>0.15859999999999999</v>
      </c>
      <c r="N64">
        <v>0.31472755890902343</v>
      </c>
      <c r="O64">
        <v>0.8</v>
      </c>
      <c r="P64">
        <f>VLOOKUP($F64,[2]!hbe_risk[#All],5,FALSE)</f>
        <v>0.17499999999999999</v>
      </c>
      <c r="Q64">
        <v>6.1810782438113003</v>
      </c>
      <c r="R64">
        <v>28.506458243811302</v>
      </c>
      <c r="S64">
        <v>65.861624844443156</v>
      </c>
      <c r="T64">
        <v>70.095694726664505</v>
      </c>
      <c r="U64">
        <v>68.151499333584297</v>
      </c>
      <c r="V64">
        <v>9.8897788223457628</v>
      </c>
      <c r="W64">
        <v>10.519778822345764</v>
      </c>
      <c r="X64">
        <v>9.4794473949157432</v>
      </c>
      <c r="Y64">
        <v>10.109447394915744</v>
      </c>
      <c r="Z64">
        <v>10.105868409725574</v>
      </c>
      <c r="AA64">
        <v>10.094830823053575</v>
      </c>
      <c r="AB64">
        <v>10.724830823053576</v>
      </c>
      <c r="AC64">
        <v>4.2810580000000042E-2</v>
      </c>
      <c r="AD64">
        <v>2.9734736307469594E-3</v>
      </c>
      <c r="AE64">
        <v>1.0102677539002773E-3</v>
      </c>
      <c r="AF64">
        <v>7.7028172397112474E-4</v>
      </c>
      <c r="AG64">
        <v>1.3611415838985282E-3</v>
      </c>
      <c r="AH64">
        <v>1.8087283671869372E-3</v>
      </c>
      <c r="AI64">
        <v>1.9320481092567449E-3</v>
      </c>
      <c r="AJ64">
        <v>2.2648100574510369E-3</v>
      </c>
      <c r="AK64">
        <v>2.9664223068404175E-3</v>
      </c>
      <c r="AL64">
        <v>4.090306331880492E-3</v>
      </c>
      <c r="AM64">
        <v>5.9454738142292783E-3</v>
      </c>
      <c r="AN64">
        <v>8.8883732613264464E-3</v>
      </c>
      <c r="AO64">
        <v>1.3344731434740999E-2</v>
      </c>
      <c r="AP64">
        <v>1.8650319566401743E-2</v>
      </c>
      <c r="AQ64">
        <v>2.5792278768542693E-2</v>
      </c>
      <c r="AR64">
        <v>3.7261687144411811E-2</v>
      </c>
      <c r="AS64">
        <v>5.6245524282747067E-2</v>
      </c>
      <c r="AT64">
        <v>8.1681558971999441E-2</v>
      </c>
      <c r="AU64">
        <v>0.10897725065418802</v>
      </c>
      <c r="AV64">
        <v>0.13173376074294296</v>
      </c>
      <c r="AW64">
        <v>0.15341759745752365</v>
      </c>
      <c r="AX64">
        <v>67.989999999999995</v>
      </c>
    </row>
    <row r="65" spans="1:50" x14ac:dyDescent="0.25">
      <c r="A65" t="s">
        <v>350</v>
      </c>
      <c r="B65" t="s">
        <v>351</v>
      </c>
      <c r="C65">
        <v>408</v>
      </c>
      <c r="D65" t="s">
        <v>225</v>
      </c>
      <c r="E65" t="s">
        <v>271</v>
      </c>
      <c r="F65" t="s">
        <v>262</v>
      </c>
      <c r="G65" t="s">
        <v>198</v>
      </c>
      <c r="H65" s="52">
        <v>25778815</v>
      </c>
      <c r="I65" s="52">
        <v>359330.90228499996</v>
      </c>
      <c r="J65">
        <v>0.92200000000000004</v>
      </c>
      <c r="K65">
        <v>0.99</v>
      </c>
      <c r="L65">
        <v>0.97</v>
      </c>
      <c r="M65">
        <v>6.4100000000000004E-2</v>
      </c>
      <c r="N65">
        <v>0.328432494471814</v>
      </c>
      <c r="O65">
        <v>0.8</v>
      </c>
      <c r="P65">
        <f>VLOOKUP($F65,[2]!hbe_risk[#All],5,FALSE)</f>
        <v>0.17499999999999999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1.3898110000000016E-2</v>
      </c>
      <c r="AD65">
        <v>1.1525710593658816E-3</v>
      </c>
      <c r="AE65">
        <v>6.4473978694718382E-4</v>
      </c>
      <c r="AF65">
        <v>5.9891366179574187E-4</v>
      </c>
      <c r="AG65">
        <v>8.6491156320066926E-4</v>
      </c>
      <c r="AH65">
        <v>1.2403650027324735E-3</v>
      </c>
      <c r="AI65">
        <v>1.5396702549552246E-3</v>
      </c>
      <c r="AJ65">
        <v>1.7486773131445052E-3</v>
      </c>
      <c r="AK65">
        <v>2.0164190836135585E-3</v>
      </c>
      <c r="AL65">
        <v>2.4495057763126563E-3</v>
      </c>
      <c r="AM65">
        <v>3.3431663826267301E-3</v>
      </c>
      <c r="AN65">
        <v>4.7975882404791299E-3</v>
      </c>
      <c r="AO65">
        <v>9.6814078851944693E-3</v>
      </c>
      <c r="AP65">
        <v>1.9800397704221529E-2</v>
      </c>
      <c r="AQ65">
        <v>2.8866401546664689E-2</v>
      </c>
      <c r="AR65">
        <v>4.0468624095642045E-2</v>
      </c>
      <c r="AS65">
        <v>6.3035874753407231E-2</v>
      </c>
      <c r="AT65">
        <v>8.8046589269959522E-2</v>
      </c>
      <c r="AU65">
        <v>0.11891714167014793</v>
      </c>
      <c r="AV65">
        <v>0.14850683038408077</v>
      </c>
      <c r="AW65">
        <v>0.1703078733072366</v>
      </c>
      <c r="AX65">
        <v>71.963999999999999</v>
      </c>
    </row>
    <row r="66" spans="1:50" x14ac:dyDescent="0.25">
      <c r="A66" t="s">
        <v>352</v>
      </c>
      <c r="B66" t="s">
        <v>353</v>
      </c>
      <c r="C66">
        <v>417</v>
      </c>
      <c r="D66" t="s">
        <v>201</v>
      </c>
      <c r="E66" t="s">
        <v>220</v>
      </c>
      <c r="F66" t="s">
        <v>203</v>
      </c>
      <c r="G66" t="s">
        <v>212</v>
      </c>
      <c r="H66" s="52">
        <v>6524191</v>
      </c>
      <c r="I66" s="52">
        <v>161878.22709200002</v>
      </c>
      <c r="J66">
        <v>0.996</v>
      </c>
      <c r="K66">
        <v>0.95</v>
      </c>
      <c r="L66">
        <v>0.86</v>
      </c>
      <c r="M66">
        <v>3.7000000000000005E-2</v>
      </c>
      <c r="N66">
        <v>0.29813171303082237</v>
      </c>
      <c r="O66">
        <v>0.8</v>
      </c>
      <c r="P66">
        <f>VLOOKUP($F66,[2]!hbe_risk[#All],5,FALSE)</f>
        <v>0.17499999999999999</v>
      </c>
      <c r="Q66">
        <v>3.4167109677419401</v>
      </c>
      <c r="R66">
        <v>25.742090967741941</v>
      </c>
      <c r="S66">
        <v>57.789004099124718</v>
      </c>
      <c r="T66">
        <v>59.26031358015171</v>
      </c>
      <c r="U66">
        <v>58.584719365984611</v>
      </c>
      <c r="V66">
        <v>3.7531909642858565</v>
      </c>
      <c r="W66">
        <v>7.8231909642858568</v>
      </c>
      <c r="X66">
        <v>3.3452611717258951</v>
      </c>
      <c r="Y66">
        <v>7.4152611717258949</v>
      </c>
      <c r="Z66">
        <v>7.4124474984858946</v>
      </c>
      <c r="AA66">
        <v>3.9573867299530399</v>
      </c>
      <c r="AB66">
        <v>8.0273867299530401</v>
      </c>
      <c r="AC66">
        <v>1.5506239999999961E-2</v>
      </c>
      <c r="AD66">
        <v>7.1685827648111742E-4</v>
      </c>
      <c r="AE66">
        <v>3.0037972302301221E-4</v>
      </c>
      <c r="AF66">
        <v>3.6101335689432674E-4</v>
      </c>
      <c r="AG66">
        <v>5.6671978934353512E-4</v>
      </c>
      <c r="AH66">
        <v>7.7358931817911216E-4</v>
      </c>
      <c r="AI66">
        <v>9.9358270100702176E-4</v>
      </c>
      <c r="AJ66">
        <v>1.5947136196713724E-3</v>
      </c>
      <c r="AK66">
        <v>2.3740632079430881E-3</v>
      </c>
      <c r="AL66">
        <v>3.6025352620456053E-3</v>
      </c>
      <c r="AM66">
        <v>5.013988446982612E-3</v>
      </c>
      <c r="AN66">
        <v>7.2274466341115369E-3</v>
      </c>
      <c r="AO66">
        <v>1.0588233088434732E-2</v>
      </c>
      <c r="AP66">
        <v>1.6698751635160103E-2</v>
      </c>
      <c r="AQ66">
        <v>2.4245073689476284E-2</v>
      </c>
      <c r="AR66">
        <v>4.8767202109432098E-2</v>
      </c>
      <c r="AS66">
        <v>8.2569526074183053E-2</v>
      </c>
      <c r="AT66">
        <v>0.10646327196220833</v>
      </c>
      <c r="AU66">
        <v>0.12628511928546515</v>
      </c>
      <c r="AV66">
        <v>0.14146019066301066</v>
      </c>
      <c r="AW66">
        <v>0.15891810353796404</v>
      </c>
      <c r="AX66">
        <v>71.182000000000002</v>
      </c>
    </row>
    <row r="67" spans="1:50" x14ac:dyDescent="0.25">
      <c r="A67" t="s">
        <v>354</v>
      </c>
      <c r="B67" t="s">
        <v>355</v>
      </c>
      <c r="C67">
        <v>418</v>
      </c>
      <c r="D67" t="s">
        <v>260</v>
      </c>
      <c r="E67" t="s">
        <v>261</v>
      </c>
      <c r="F67" t="s">
        <v>262</v>
      </c>
      <c r="G67" t="s">
        <v>212</v>
      </c>
      <c r="H67" s="52">
        <v>7275556</v>
      </c>
      <c r="I67" s="52">
        <v>173361.94836799998</v>
      </c>
      <c r="J67">
        <v>0.64500000000000002</v>
      </c>
      <c r="K67">
        <v>0.57999999999999996</v>
      </c>
      <c r="L67">
        <v>0.79</v>
      </c>
      <c r="M67">
        <v>4.4299999999999999E-2</v>
      </c>
      <c r="N67">
        <v>0.34832736416125437</v>
      </c>
      <c r="O67">
        <v>0.8</v>
      </c>
      <c r="P67">
        <f>VLOOKUP($F67,[2]!hbe_risk[#All],5,FALSE)</f>
        <v>0.17499999999999999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2.2029424435210267</v>
      </c>
      <c r="W67">
        <v>2.8329424435210266</v>
      </c>
      <c r="X67">
        <v>1.786367195897685</v>
      </c>
      <c r="Y67">
        <v>2.4163671958976849</v>
      </c>
      <c r="Z67">
        <v>2.4100341595666004</v>
      </c>
      <c r="AA67">
        <v>2.4102205018629808</v>
      </c>
      <c r="AB67">
        <v>3.0402205018629807</v>
      </c>
      <c r="AC67">
        <v>3.8777789999999951E-2</v>
      </c>
      <c r="AD67">
        <v>2.4870862066326935E-3</v>
      </c>
      <c r="AE67">
        <v>8.9982170516343662E-4</v>
      </c>
      <c r="AF67">
        <v>7.2067114244427197E-4</v>
      </c>
      <c r="AG67">
        <v>1.2190482461900062E-3</v>
      </c>
      <c r="AH67">
        <v>1.7133573391022912E-3</v>
      </c>
      <c r="AI67">
        <v>1.8585034609793296E-3</v>
      </c>
      <c r="AJ67">
        <v>2.1439161974078557E-3</v>
      </c>
      <c r="AK67">
        <v>2.7328262475156515E-3</v>
      </c>
      <c r="AL67">
        <v>3.7683474278791974E-3</v>
      </c>
      <c r="AM67">
        <v>5.5663928498959694E-3</v>
      </c>
      <c r="AN67">
        <v>8.3716908971744435E-3</v>
      </c>
      <c r="AO67">
        <v>1.2747389066357426E-2</v>
      </c>
      <c r="AP67">
        <v>1.9536607225944226E-2</v>
      </c>
      <c r="AQ67">
        <v>3.0001178093193585E-2</v>
      </c>
      <c r="AR67">
        <v>4.6408078320223686E-2</v>
      </c>
      <c r="AS67">
        <v>7.0293631090044384E-2</v>
      </c>
      <c r="AT67">
        <v>0.10184859739279212</v>
      </c>
      <c r="AU67">
        <v>0.13523986958288475</v>
      </c>
      <c r="AV67">
        <v>0.1623042397327624</v>
      </c>
      <c r="AW67">
        <v>0.17970482443827956</v>
      </c>
      <c r="AX67">
        <v>67.441000000000003</v>
      </c>
    </row>
    <row r="68" spans="1:50" x14ac:dyDescent="0.25">
      <c r="A68" t="s">
        <v>356</v>
      </c>
      <c r="B68" t="s">
        <v>357</v>
      </c>
      <c r="C68">
        <v>422</v>
      </c>
      <c r="D68" t="s">
        <v>196</v>
      </c>
      <c r="E68" t="s">
        <v>197</v>
      </c>
      <c r="F68" t="s">
        <v>197</v>
      </c>
      <c r="G68" t="s">
        <v>204</v>
      </c>
      <c r="H68" s="52">
        <v>6825442</v>
      </c>
      <c r="I68" s="52">
        <v>119909.36505600001</v>
      </c>
      <c r="J68">
        <v>0.999</v>
      </c>
      <c r="K68">
        <v>0.77</v>
      </c>
      <c r="L68">
        <v>0.71</v>
      </c>
      <c r="M68">
        <v>1.06E-2</v>
      </c>
      <c r="N68">
        <v>0.25404672198349698</v>
      </c>
      <c r="O68">
        <v>0.8</v>
      </c>
      <c r="P68">
        <f>VLOOKUP($F68,[2]!hbe_risk[#All],5,FALSE)</f>
        <v>0.17499999999999999</v>
      </c>
      <c r="Q68">
        <v>13.8252464543597</v>
      </c>
      <c r="R68">
        <v>36.150626454359703</v>
      </c>
      <c r="S68">
        <v>109.87316500104285</v>
      </c>
      <c r="T68">
        <v>133.03518089980392</v>
      </c>
      <c r="U68">
        <v>122.39967278173845</v>
      </c>
      <c r="V68">
        <v>4.3358152935547292</v>
      </c>
      <c r="W68">
        <v>4.8158152935547296</v>
      </c>
      <c r="X68">
        <v>3.9194894399812688</v>
      </c>
      <c r="Y68">
        <v>4.3994894399812683</v>
      </c>
      <c r="Z68">
        <v>4.3930631251146997</v>
      </c>
      <c r="AA68">
        <v>4.5430044374962923</v>
      </c>
      <c r="AB68">
        <v>5.0230044374962919</v>
      </c>
      <c r="AC68">
        <v>9.4147199999999424E-3</v>
      </c>
      <c r="AD68">
        <v>3.7654506636725825E-4</v>
      </c>
      <c r="AE68">
        <v>1.8321426670696398E-4</v>
      </c>
      <c r="AF68">
        <v>1.5346484957506218E-4</v>
      </c>
      <c r="AG68">
        <v>2.8772095741896333E-4</v>
      </c>
      <c r="AH68">
        <v>4.0111422172237402E-4</v>
      </c>
      <c r="AI68">
        <v>4.2937675606144276E-4</v>
      </c>
      <c r="AJ68">
        <v>5.0556751508178588E-4</v>
      </c>
      <c r="AK68">
        <v>6.8056297450641372E-4</v>
      </c>
      <c r="AL68">
        <v>1.0466309847889622E-3</v>
      </c>
      <c r="AM68">
        <v>1.825483717098368E-3</v>
      </c>
      <c r="AN68">
        <v>3.1195015372933455E-3</v>
      </c>
      <c r="AO68">
        <v>5.4403402361517779E-3</v>
      </c>
      <c r="AP68">
        <v>8.641925489763367E-3</v>
      </c>
      <c r="AQ68">
        <v>1.4734147857251618E-2</v>
      </c>
      <c r="AR68">
        <v>2.550437110398128E-2</v>
      </c>
      <c r="AS68">
        <v>4.216949255502267E-2</v>
      </c>
      <c r="AT68">
        <v>6.8128564206291431E-2</v>
      </c>
      <c r="AU68">
        <v>0.10198240505659194</v>
      </c>
      <c r="AV68">
        <v>0.13605351302737792</v>
      </c>
      <c r="AW68">
        <v>0.1630731895776322</v>
      </c>
      <c r="AX68">
        <v>78.822999999999993</v>
      </c>
    </row>
    <row r="69" spans="1:50" x14ac:dyDescent="0.25">
      <c r="A69" t="s">
        <v>358</v>
      </c>
      <c r="B69" t="s">
        <v>359</v>
      </c>
      <c r="C69">
        <v>426</v>
      </c>
      <c r="D69" t="s">
        <v>207</v>
      </c>
      <c r="E69" t="s">
        <v>245</v>
      </c>
      <c r="F69" t="s">
        <v>211</v>
      </c>
      <c r="G69" t="s">
        <v>212</v>
      </c>
      <c r="H69" s="52">
        <v>2142252</v>
      </c>
      <c r="I69" s="52">
        <v>57913.640567999995</v>
      </c>
      <c r="J69">
        <v>0.89400000000000002</v>
      </c>
      <c r="K69">
        <v>0</v>
      </c>
      <c r="L69">
        <v>0.87</v>
      </c>
      <c r="M69">
        <v>5.7599999999999998E-2</v>
      </c>
      <c r="N69">
        <v>0.26721730975121849</v>
      </c>
      <c r="O69">
        <v>0.38300000000000001</v>
      </c>
      <c r="P69">
        <f>VLOOKUP($F69,[2]!hbe_risk[#All],5,FALSE)</f>
        <v>4.8000000000000001E-2</v>
      </c>
      <c r="Q69">
        <v>3.76898846846847</v>
      </c>
      <c r="R69">
        <v>26.094368468468474</v>
      </c>
      <c r="S69">
        <v>58.471390195997529</v>
      </c>
      <c r="T69">
        <v>60.114509663644434</v>
      </c>
      <c r="U69">
        <v>59.360023935221946</v>
      </c>
      <c r="V69">
        <v>4.5532459250876105</v>
      </c>
      <c r="W69">
        <v>9.3832459250876106</v>
      </c>
      <c r="X69">
        <v>4.1473430948133112</v>
      </c>
      <c r="Y69">
        <v>8.9773430948133104</v>
      </c>
      <c r="Z69">
        <v>8.9754759578113052</v>
      </c>
      <c r="AA69">
        <v>4.7567190346355579</v>
      </c>
      <c r="AB69">
        <v>9.5867190346355571</v>
      </c>
      <c r="AC69">
        <v>6.2258699999999952E-2</v>
      </c>
      <c r="AD69">
        <v>6.6132311758051116E-3</v>
      </c>
      <c r="AE69">
        <v>1.7266721968139435E-3</v>
      </c>
      <c r="AF69">
        <v>1.4284612535655375E-3</v>
      </c>
      <c r="AG69">
        <v>2.1940209111963459E-3</v>
      </c>
      <c r="AH69">
        <v>4.0249037558360802E-3</v>
      </c>
      <c r="AI69">
        <v>7.4365963756345427E-3</v>
      </c>
      <c r="AJ69">
        <v>1.1221237110864302E-2</v>
      </c>
      <c r="AK69">
        <v>1.6457366803924959E-2</v>
      </c>
      <c r="AL69">
        <v>1.8570149582324235E-2</v>
      </c>
      <c r="AM69">
        <v>2.0615706205023586E-2</v>
      </c>
      <c r="AN69">
        <v>2.2196201470808335E-2</v>
      </c>
      <c r="AO69">
        <v>2.4970791637420244E-2</v>
      </c>
      <c r="AP69">
        <v>3.0223653779950108E-2</v>
      </c>
      <c r="AQ69">
        <v>3.964174022607498E-2</v>
      </c>
      <c r="AR69">
        <v>5.4468780684668913E-2</v>
      </c>
      <c r="AS69">
        <v>7.4592118098832871E-2</v>
      </c>
      <c r="AT69">
        <v>0.10574099679242542</v>
      </c>
      <c r="AU69">
        <v>0.14301837354200442</v>
      </c>
      <c r="AV69">
        <v>0.17102403238973332</v>
      </c>
      <c r="AW69">
        <v>0.18239025525443139</v>
      </c>
      <c r="AX69">
        <v>53.511000000000003</v>
      </c>
    </row>
    <row r="70" spans="1:50" x14ac:dyDescent="0.25">
      <c r="A70" t="s">
        <v>360</v>
      </c>
      <c r="B70" t="s">
        <v>361</v>
      </c>
      <c r="C70">
        <v>430</v>
      </c>
      <c r="D70" t="s">
        <v>207</v>
      </c>
      <c r="E70" t="s">
        <v>235</v>
      </c>
      <c r="F70" t="s">
        <v>211</v>
      </c>
      <c r="G70" t="s">
        <v>198</v>
      </c>
      <c r="H70" s="52">
        <v>5057677</v>
      </c>
      <c r="I70" s="52">
        <v>168021.08761699998</v>
      </c>
      <c r="J70">
        <v>0.79799999999999993</v>
      </c>
      <c r="K70">
        <v>0</v>
      </c>
      <c r="L70">
        <v>0.65</v>
      </c>
      <c r="M70">
        <v>0.13519999999999999</v>
      </c>
      <c r="N70">
        <v>0.30108171495787017</v>
      </c>
      <c r="O70">
        <v>0.38300000000000001</v>
      </c>
      <c r="P70">
        <f>VLOOKUP($F70,[2]!hbe_risk[#All],5,FALSE)</f>
        <v>4.8000000000000001E-2</v>
      </c>
      <c r="Q70">
        <v>2.5768460367454074</v>
      </c>
      <c r="R70">
        <v>24.902226036745411</v>
      </c>
      <c r="S70">
        <v>54.786724100783033</v>
      </c>
      <c r="T70">
        <v>55.132572118144786</v>
      </c>
      <c r="U70">
        <v>54.973766018868062</v>
      </c>
      <c r="V70">
        <v>2.5961501308367056</v>
      </c>
      <c r="W70">
        <v>7.4261501308367057</v>
      </c>
      <c r="X70">
        <v>2.1896922143013309</v>
      </c>
      <c r="Y70">
        <v>7.0196922143013314</v>
      </c>
      <c r="Z70">
        <v>7.0176186313524012</v>
      </c>
      <c r="AA70">
        <v>2.7998211407038189</v>
      </c>
      <c r="AB70">
        <v>7.629821140703819</v>
      </c>
      <c r="AC70">
        <v>5.4073959999999935E-2</v>
      </c>
      <c r="AD70">
        <v>5.2957549408408616E-3</v>
      </c>
      <c r="AE70">
        <v>1.52445790798108E-3</v>
      </c>
      <c r="AF70">
        <v>1.0831044156668853E-3</v>
      </c>
      <c r="AG70">
        <v>1.7024033119997914E-3</v>
      </c>
      <c r="AH70">
        <v>2.505124347243223E-3</v>
      </c>
      <c r="AI70">
        <v>3.0446352469821686E-3</v>
      </c>
      <c r="AJ70">
        <v>3.6660693798895804E-3</v>
      </c>
      <c r="AK70">
        <v>4.5674204120736001E-3</v>
      </c>
      <c r="AL70">
        <v>5.7264048718262961E-3</v>
      </c>
      <c r="AM70">
        <v>7.1244541232867295E-3</v>
      </c>
      <c r="AN70">
        <v>9.8491366116745579E-3</v>
      </c>
      <c r="AO70">
        <v>1.3062631100648247E-2</v>
      </c>
      <c r="AP70">
        <v>1.9392439955066558E-2</v>
      </c>
      <c r="AQ70">
        <v>2.9772070140555093E-2</v>
      </c>
      <c r="AR70">
        <v>4.6267125748531791E-2</v>
      </c>
      <c r="AS70">
        <v>7.0807722608555682E-2</v>
      </c>
      <c r="AT70">
        <v>0.10575373670824074</v>
      </c>
      <c r="AU70">
        <v>0.14561767613240678</v>
      </c>
      <c r="AV70">
        <v>0.17837986369653361</v>
      </c>
      <c r="AW70">
        <v>0.18904660956397684</v>
      </c>
      <c r="AX70">
        <v>63.595999999999997</v>
      </c>
    </row>
    <row r="71" spans="1:50" x14ac:dyDescent="0.25">
      <c r="A71" t="s">
        <v>362</v>
      </c>
      <c r="B71" t="s">
        <v>363</v>
      </c>
      <c r="C71">
        <v>434</v>
      </c>
      <c r="D71" t="s">
        <v>196</v>
      </c>
      <c r="E71" t="s">
        <v>197</v>
      </c>
      <c r="F71" t="s">
        <v>197</v>
      </c>
      <c r="G71" t="s">
        <v>204</v>
      </c>
      <c r="H71" s="52">
        <v>6871287</v>
      </c>
      <c r="I71" s="52">
        <v>130588.809435</v>
      </c>
      <c r="J71">
        <v>0.999</v>
      </c>
      <c r="K71">
        <v>0</v>
      </c>
      <c r="L71">
        <v>0.73</v>
      </c>
      <c r="M71">
        <v>1.8200000000000001E-2</v>
      </c>
      <c r="N71">
        <v>0.23149406092069991</v>
      </c>
      <c r="O71">
        <v>0.8</v>
      </c>
      <c r="P71">
        <f>VLOOKUP($F71,[2]!hbe_risk[#All],5,FALSE)</f>
        <v>0.17499999999999999</v>
      </c>
      <c r="Q71">
        <v>13.0846531390536</v>
      </c>
      <c r="R71">
        <v>35.410033139053603</v>
      </c>
      <c r="S71">
        <v>110.14627625901082</v>
      </c>
      <c r="T71">
        <v>133.83588995802302</v>
      </c>
      <c r="U71">
        <v>122.95812008207901</v>
      </c>
      <c r="V71">
        <v>6.2041542949164246</v>
      </c>
      <c r="W71">
        <v>6.684154294916425</v>
      </c>
      <c r="X71">
        <v>5.7917372002493046</v>
      </c>
      <c r="Y71">
        <v>6.271737200249305</v>
      </c>
      <c r="Z71">
        <v>6.2673062827592005</v>
      </c>
      <c r="AA71">
        <v>6.4099498813348559</v>
      </c>
      <c r="AB71">
        <v>6.8899498813348554</v>
      </c>
      <c r="AC71">
        <v>1.0531420000000071E-2</v>
      </c>
      <c r="AD71">
        <v>5.4867836227803454E-4</v>
      </c>
      <c r="AE71">
        <v>3.8625662564065156E-4</v>
      </c>
      <c r="AF71">
        <v>3.9330408218071127E-4</v>
      </c>
      <c r="AG71">
        <v>9.9041495082366417E-4</v>
      </c>
      <c r="AH71">
        <v>1.3402306444718099E-3</v>
      </c>
      <c r="AI71">
        <v>1.4241984061556954E-3</v>
      </c>
      <c r="AJ71">
        <v>1.5695632040894076E-3</v>
      </c>
      <c r="AK71">
        <v>1.9703487816216912E-3</v>
      </c>
      <c r="AL71">
        <v>2.7760638742324495E-3</v>
      </c>
      <c r="AM71">
        <v>3.9573649847061505E-3</v>
      </c>
      <c r="AN71">
        <v>6.2185748766793924E-3</v>
      </c>
      <c r="AO71">
        <v>9.9276112384405254E-3</v>
      </c>
      <c r="AP71">
        <v>1.565021934762157E-2</v>
      </c>
      <c r="AQ71">
        <v>2.5204190475132573E-2</v>
      </c>
      <c r="AR71">
        <v>3.8848447158774044E-2</v>
      </c>
      <c r="AS71">
        <v>6.0941664647692489E-2</v>
      </c>
      <c r="AT71">
        <v>9.2200239498518771E-2</v>
      </c>
      <c r="AU71">
        <v>0.12696757676055212</v>
      </c>
      <c r="AV71">
        <v>0.15770097164571453</v>
      </c>
      <c r="AW71">
        <v>0.17638925653713555</v>
      </c>
      <c r="AX71">
        <v>72.700999999999993</v>
      </c>
    </row>
    <row r="72" spans="1:50" x14ac:dyDescent="0.25">
      <c r="A72" t="s">
        <v>364</v>
      </c>
      <c r="B72" t="s">
        <v>365</v>
      </c>
      <c r="C72">
        <v>450</v>
      </c>
      <c r="D72" t="s">
        <v>207</v>
      </c>
      <c r="E72" t="s">
        <v>255</v>
      </c>
      <c r="F72" t="s">
        <v>211</v>
      </c>
      <c r="G72" t="s">
        <v>198</v>
      </c>
      <c r="H72" s="52">
        <v>27691019</v>
      </c>
      <c r="I72" s="52">
        <v>908708.47950400005</v>
      </c>
      <c r="J72">
        <v>0.38700000000000001</v>
      </c>
      <c r="K72">
        <v>0</v>
      </c>
      <c r="L72">
        <v>0.7</v>
      </c>
      <c r="M72">
        <v>6.4100000000000004E-2</v>
      </c>
      <c r="N72">
        <v>0.29788552997961965</v>
      </c>
      <c r="O72">
        <v>0.38300000000000001</v>
      </c>
      <c r="P72">
        <f>VLOOKUP($F72,[2]!hbe_risk[#All],5,FALSE)</f>
        <v>4.8000000000000001E-2</v>
      </c>
      <c r="Q72">
        <v>2.5732930458970791</v>
      </c>
      <c r="R72">
        <v>24.89867304589708</v>
      </c>
      <c r="S72">
        <v>54.959269283211029</v>
      </c>
      <c r="T72">
        <v>55.39677024492989</v>
      </c>
      <c r="U72">
        <v>55.195879050900821</v>
      </c>
      <c r="V72">
        <v>1.4606699475113902</v>
      </c>
      <c r="W72">
        <v>6.2906699475113905</v>
      </c>
      <c r="X72">
        <v>1.0551796168731404</v>
      </c>
      <c r="Y72">
        <v>5.8851796168731401</v>
      </c>
      <c r="Z72">
        <v>5.8832580402586361</v>
      </c>
      <c r="AA72">
        <v>1.6639959919717027</v>
      </c>
      <c r="AB72">
        <v>6.493995991971703</v>
      </c>
      <c r="AC72">
        <v>2.9042229999999981E-2</v>
      </c>
      <c r="AD72">
        <v>3.6439664106091983E-3</v>
      </c>
      <c r="AE72">
        <v>1.6834523540747452E-3</v>
      </c>
      <c r="AF72">
        <v>1.3235498937898972E-3</v>
      </c>
      <c r="AG72">
        <v>1.8405557617388985E-3</v>
      </c>
      <c r="AH72">
        <v>2.1297075559801354E-3</v>
      </c>
      <c r="AI72">
        <v>2.3597552765719457E-3</v>
      </c>
      <c r="AJ72">
        <v>3.0462817687957611E-3</v>
      </c>
      <c r="AK72">
        <v>3.9158378288193249E-3</v>
      </c>
      <c r="AL72">
        <v>5.0560933686190791E-3</v>
      </c>
      <c r="AM72">
        <v>6.6609453681324626E-3</v>
      </c>
      <c r="AN72">
        <v>8.909147653546251E-3</v>
      </c>
      <c r="AO72">
        <v>1.2539945384315312E-2</v>
      </c>
      <c r="AP72">
        <v>1.9163802476953571E-2</v>
      </c>
      <c r="AQ72">
        <v>3.0868734941865806E-2</v>
      </c>
      <c r="AR72">
        <v>4.7153798553579193E-2</v>
      </c>
      <c r="AS72">
        <v>6.8597014102592987E-2</v>
      </c>
      <c r="AT72">
        <v>9.4966000440041484E-2</v>
      </c>
      <c r="AU72">
        <v>0.1235420902524004</v>
      </c>
      <c r="AV72">
        <v>0.14990314803508961</v>
      </c>
      <c r="AW72">
        <v>0.16978520436301245</v>
      </c>
      <c r="AX72">
        <v>66.486999999999995</v>
      </c>
    </row>
    <row r="73" spans="1:50" x14ac:dyDescent="0.25">
      <c r="A73" t="s">
        <v>366</v>
      </c>
      <c r="B73" t="s">
        <v>367</v>
      </c>
      <c r="C73">
        <v>454</v>
      </c>
      <c r="D73" t="s">
        <v>207</v>
      </c>
      <c r="E73" t="s">
        <v>255</v>
      </c>
      <c r="F73" t="s">
        <v>211</v>
      </c>
      <c r="G73" t="s">
        <v>198</v>
      </c>
      <c r="H73" s="52">
        <v>19129955</v>
      </c>
      <c r="I73" s="52">
        <v>655296.60852500016</v>
      </c>
      <c r="J73">
        <v>0.91400000000000003</v>
      </c>
      <c r="K73">
        <v>0</v>
      </c>
      <c r="L73">
        <v>0.9</v>
      </c>
      <c r="M73">
        <v>5.1399999999999994E-2</v>
      </c>
      <c r="N73">
        <v>0.30116230649348613</v>
      </c>
      <c r="O73">
        <v>0.38300000000000001</v>
      </c>
      <c r="P73">
        <f>VLOOKUP($F73,[2]!hbe_risk[#All],5,FALSE)</f>
        <v>4.8000000000000001E-2</v>
      </c>
      <c r="Q73">
        <v>2.9153803369065852</v>
      </c>
      <c r="R73">
        <v>25.240760336906586</v>
      </c>
      <c r="S73">
        <v>55.702620018959102</v>
      </c>
      <c r="T73">
        <v>56.348964579046552</v>
      </c>
      <c r="U73">
        <v>56.052176819037925</v>
      </c>
      <c r="V73">
        <v>2.3385836458086837</v>
      </c>
      <c r="W73">
        <v>7.1685836458086838</v>
      </c>
      <c r="X73">
        <v>1.932081333795139</v>
      </c>
      <c r="Y73">
        <v>6.7620813337951393</v>
      </c>
      <c r="Z73">
        <v>6.7599854866505815</v>
      </c>
      <c r="AA73">
        <v>2.5422704836288839</v>
      </c>
      <c r="AB73">
        <v>7.3722704836288839</v>
      </c>
      <c r="AC73">
        <v>4.1335470000000062E-2</v>
      </c>
      <c r="AD73">
        <v>3.6814390118303196E-3</v>
      </c>
      <c r="AE73">
        <v>1.2469653854453703E-3</v>
      </c>
      <c r="AF73">
        <v>9.7263713769861254E-4</v>
      </c>
      <c r="AG73">
        <v>1.5993880527014931E-3</v>
      </c>
      <c r="AH73">
        <v>2.5275224475715141E-3</v>
      </c>
      <c r="AI73">
        <v>3.4714392776732262E-3</v>
      </c>
      <c r="AJ73">
        <v>4.5261698853361057E-3</v>
      </c>
      <c r="AK73">
        <v>6.0382154238977888E-3</v>
      </c>
      <c r="AL73">
        <v>7.4980385986603525E-3</v>
      </c>
      <c r="AM73">
        <v>9.2345457449363785E-3</v>
      </c>
      <c r="AN73">
        <v>1.2100708896732088E-2</v>
      </c>
      <c r="AO73">
        <v>1.5460726609726467E-2</v>
      </c>
      <c r="AP73">
        <v>2.1799763345410259E-2</v>
      </c>
      <c r="AQ73">
        <v>3.2008626279088702E-2</v>
      </c>
      <c r="AR73">
        <v>4.7779408597282184E-2</v>
      </c>
      <c r="AS73">
        <v>7.1035709828626961E-2</v>
      </c>
      <c r="AT73">
        <v>0.10510650114198765</v>
      </c>
      <c r="AU73">
        <v>0.1447171061326458</v>
      </c>
      <c r="AV73">
        <v>0.17720147949830714</v>
      </c>
      <c r="AW73">
        <v>0.18855382590770395</v>
      </c>
      <c r="AX73">
        <v>63.432000000000002</v>
      </c>
    </row>
    <row r="74" spans="1:50" x14ac:dyDescent="0.25">
      <c r="A74" t="s">
        <v>368</v>
      </c>
      <c r="B74" t="s">
        <v>369</v>
      </c>
      <c r="C74">
        <v>458</v>
      </c>
      <c r="D74" t="s">
        <v>260</v>
      </c>
      <c r="E74" t="s">
        <v>261</v>
      </c>
      <c r="F74" t="s">
        <v>262</v>
      </c>
      <c r="G74" t="s">
        <v>204</v>
      </c>
      <c r="H74" s="52">
        <v>32365998</v>
      </c>
      <c r="I74" s="52">
        <v>544913.94232799998</v>
      </c>
      <c r="J74">
        <v>0.9890000000000001</v>
      </c>
      <c r="K74">
        <v>0.99</v>
      </c>
      <c r="L74">
        <v>0.99</v>
      </c>
      <c r="M74">
        <v>1.21E-2</v>
      </c>
      <c r="N74">
        <v>0.30970485984598067</v>
      </c>
      <c r="O74">
        <v>0.8</v>
      </c>
      <c r="P74">
        <f>VLOOKUP($F74,[2]!hbe_risk[#All],5,FALSE)</f>
        <v>0.17499999999999999</v>
      </c>
      <c r="Q74">
        <v>12.391468428203099</v>
      </c>
      <c r="R74">
        <v>34.7168484282031</v>
      </c>
      <c r="S74">
        <v>104.73713095595252</v>
      </c>
      <c r="T74">
        <v>125.97225199495466</v>
      </c>
      <c r="U74">
        <v>116.22153326712187</v>
      </c>
      <c r="V74">
        <v>5.5328972146113644</v>
      </c>
      <c r="W74">
        <v>6.1628972146113643</v>
      </c>
      <c r="X74">
        <v>5.0992926973020962</v>
      </c>
      <c r="Y74">
        <v>5.7292926973020961</v>
      </c>
      <c r="Z74">
        <v>5.7164276185117853</v>
      </c>
      <c r="AA74">
        <v>5.7462465777978657</v>
      </c>
      <c r="AB74">
        <v>6.3762465777978656</v>
      </c>
      <c r="AC74">
        <v>5.8979700000000596E-3</v>
      </c>
      <c r="AD74">
        <v>2.6909712678084167E-4</v>
      </c>
      <c r="AE74">
        <v>1.7400849291871552E-4</v>
      </c>
      <c r="AF74">
        <v>2.4153772101562508E-4</v>
      </c>
      <c r="AG74">
        <v>5.646226668990904E-4</v>
      </c>
      <c r="AH74">
        <v>5.9202841739643076E-4</v>
      </c>
      <c r="AI74">
        <v>6.2242664157026385E-4</v>
      </c>
      <c r="AJ74">
        <v>1.0762478651970475E-3</v>
      </c>
      <c r="AK74">
        <v>1.6023413600468642E-3</v>
      </c>
      <c r="AL74">
        <v>2.3803138200106798E-3</v>
      </c>
      <c r="AM74">
        <v>4.156809154903132E-3</v>
      </c>
      <c r="AN74">
        <v>6.3012350789853847E-3</v>
      </c>
      <c r="AO74">
        <v>9.1705967903937639E-3</v>
      </c>
      <c r="AP74">
        <v>1.2626792371675308E-2</v>
      </c>
      <c r="AQ74">
        <v>2.027641545913441E-2</v>
      </c>
      <c r="AR74">
        <v>3.4072207188760729E-2</v>
      </c>
      <c r="AS74">
        <v>4.8375820325353806E-2</v>
      </c>
      <c r="AT74">
        <v>7.0341666492662908E-2</v>
      </c>
      <c r="AU74">
        <v>9.6056109352087651E-2</v>
      </c>
      <c r="AV74">
        <v>0.1214232580964457</v>
      </c>
      <c r="AW74">
        <v>0.14118617022765484</v>
      </c>
      <c r="AX74">
        <v>75.927000000000007</v>
      </c>
    </row>
    <row r="75" spans="1:50" x14ac:dyDescent="0.25">
      <c r="A75" t="s">
        <v>370</v>
      </c>
      <c r="B75" t="s">
        <v>371</v>
      </c>
      <c r="C75">
        <v>462</v>
      </c>
      <c r="D75" t="s">
        <v>225</v>
      </c>
      <c r="E75" t="s">
        <v>261</v>
      </c>
      <c r="F75" t="s">
        <v>262</v>
      </c>
      <c r="G75" t="s">
        <v>204</v>
      </c>
      <c r="H75" s="52">
        <v>540542</v>
      </c>
      <c r="I75" s="52">
        <v>7784.3453420000005</v>
      </c>
      <c r="J75">
        <v>0.94499999999999995</v>
      </c>
      <c r="K75">
        <v>0.99</v>
      </c>
      <c r="L75">
        <v>0.99</v>
      </c>
      <c r="M75">
        <v>2.2499999999999999E-2</v>
      </c>
      <c r="N75">
        <v>0.31966093082954322</v>
      </c>
      <c r="O75">
        <v>0.8</v>
      </c>
      <c r="P75">
        <f>VLOOKUP($F75,[2]!hbe_risk[#All],5,FALSE)</f>
        <v>0.17499999999999999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12.459523749809936</v>
      </c>
      <c r="W75">
        <v>13.089523749809937</v>
      </c>
      <c r="X75">
        <v>12.03634762288047</v>
      </c>
      <c r="Y75">
        <v>12.666347622880471</v>
      </c>
      <c r="Z75">
        <v>12.657353124190927</v>
      </c>
      <c r="AA75">
        <v>12.669155165121898</v>
      </c>
      <c r="AB75">
        <v>13.299155165121899</v>
      </c>
      <c r="AC75">
        <v>6.7649199999999833E-3</v>
      </c>
      <c r="AD75">
        <v>2.9123014865724918E-4</v>
      </c>
      <c r="AE75">
        <v>2.5260512771759484E-4</v>
      </c>
      <c r="AF75">
        <v>3.3917391387631318E-4</v>
      </c>
      <c r="AG75">
        <v>3.4635377062271487E-4</v>
      </c>
      <c r="AH75">
        <v>5.0681376719770885E-4</v>
      </c>
      <c r="AI75">
        <v>4.7059813985474115E-4</v>
      </c>
      <c r="AJ75">
        <v>5.2614053691732215E-4</v>
      </c>
      <c r="AK75">
        <v>5.8598587836906652E-4</v>
      </c>
      <c r="AL75">
        <v>9.3398019856857613E-4</v>
      </c>
      <c r="AM75">
        <v>1.6451496022383042E-3</v>
      </c>
      <c r="AN75">
        <v>2.391987245178574E-3</v>
      </c>
      <c r="AO75">
        <v>4.6062935003459019E-3</v>
      </c>
      <c r="AP75">
        <v>8.6002253429168663E-3</v>
      </c>
      <c r="AQ75">
        <v>1.6108011387115002E-2</v>
      </c>
      <c r="AR75">
        <v>2.9711186944390157E-2</v>
      </c>
      <c r="AS75">
        <v>5.3190452689782043E-2</v>
      </c>
      <c r="AT75">
        <v>7.2476092400483749E-2</v>
      </c>
      <c r="AU75">
        <v>9.8242350837951881E-2</v>
      </c>
      <c r="AV75">
        <v>0.12436013823733552</v>
      </c>
      <c r="AW75">
        <v>0.14743768263290524</v>
      </c>
      <c r="AX75">
        <v>78.465999999999994</v>
      </c>
    </row>
    <row r="76" spans="1:50" x14ac:dyDescent="0.25">
      <c r="A76" t="s">
        <v>372</v>
      </c>
      <c r="B76" t="s">
        <v>373</v>
      </c>
      <c r="C76">
        <v>466</v>
      </c>
      <c r="D76" t="s">
        <v>207</v>
      </c>
      <c r="E76" t="s">
        <v>235</v>
      </c>
      <c r="F76" t="s">
        <v>211</v>
      </c>
      <c r="G76" t="s">
        <v>198</v>
      </c>
      <c r="H76" s="52">
        <v>20250834</v>
      </c>
      <c r="I76" s="52">
        <v>846241.85119199986</v>
      </c>
      <c r="J76">
        <v>0.66799999999999993</v>
      </c>
      <c r="K76">
        <v>0</v>
      </c>
      <c r="L76">
        <v>0.7</v>
      </c>
      <c r="M76">
        <v>0.10800000000000001</v>
      </c>
      <c r="N76">
        <v>0.3018127770078266</v>
      </c>
      <c r="O76">
        <v>0.38300000000000001</v>
      </c>
      <c r="P76">
        <f>VLOOKUP($F76,[2]!hbe_risk[#All],5,FALSE)</f>
        <v>4.8000000000000001E-2</v>
      </c>
      <c r="Q76">
        <v>3.03270814589666</v>
      </c>
      <c r="R76">
        <v>25.358088145896662</v>
      </c>
      <c r="S76">
        <v>56.195289366291988</v>
      </c>
      <c r="T76">
        <v>57.036986078469411</v>
      </c>
      <c r="U76">
        <v>56.650496739439518</v>
      </c>
      <c r="V76">
        <v>1.5801853281510161</v>
      </c>
      <c r="W76">
        <v>6.4101853281510159</v>
      </c>
      <c r="X76">
        <v>1.1714260663561082</v>
      </c>
      <c r="Y76">
        <v>6.0014260663561085</v>
      </c>
      <c r="Z76">
        <v>5.9983206201987374</v>
      </c>
      <c r="AA76">
        <v>1.7846768176323979</v>
      </c>
      <c r="AB76">
        <v>6.6146768176323985</v>
      </c>
      <c r="AC76">
        <v>6.5820209999999935E-2</v>
      </c>
      <c r="AD76">
        <v>1.0607112363242202E-2</v>
      </c>
      <c r="AE76">
        <v>3.4703022262773438E-3</v>
      </c>
      <c r="AF76">
        <v>1.9653858610867866E-3</v>
      </c>
      <c r="AG76">
        <v>2.9691163629910031E-3</v>
      </c>
      <c r="AH76">
        <v>3.8241260248184535E-3</v>
      </c>
      <c r="AI76">
        <v>4.2938973206458871E-3</v>
      </c>
      <c r="AJ76">
        <v>4.5580472847770673E-3</v>
      </c>
      <c r="AK76">
        <v>5.1152115887606936E-3</v>
      </c>
      <c r="AL76">
        <v>6.0793858913226109E-3</v>
      </c>
      <c r="AM76">
        <v>7.1063830627251783E-3</v>
      </c>
      <c r="AN76">
        <v>1.0012216060043849E-2</v>
      </c>
      <c r="AO76">
        <v>1.4303370555237076E-2</v>
      </c>
      <c r="AP76">
        <v>2.2385161086559677E-2</v>
      </c>
      <c r="AQ76">
        <v>3.4614265354564314E-2</v>
      </c>
      <c r="AR76">
        <v>5.5505357625352705E-2</v>
      </c>
      <c r="AS76">
        <v>8.530363770997372E-2</v>
      </c>
      <c r="AT76">
        <v>0.12167185659091227</v>
      </c>
      <c r="AU76">
        <v>0.15478682778459321</v>
      </c>
      <c r="AV76">
        <v>0.17749594498829036</v>
      </c>
      <c r="AW76">
        <v>0.1879903301036718</v>
      </c>
      <c r="AX76">
        <v>58.71</v>
      </c>
    </row>
    <row r="77" spans="1:50" x14ac:dyDescent="0.25">
      <c r="A77" t="s">
        <v>374</v>
      </c>
      <c r="B77" t="s">
        <v>375</v>
      </c>
      <c r="C77">
        <v>584</v>
      </c>
      <c r="D77" t="s">
        <v>260</v>
      </c>
      <c r="E77" t="s">
        <v>309</v>
      </c>
      <c r="F77" t="s">
        <v>262</v>
      </c>
      <c r="G77" t="s">
        <v>204</v>
      </c>
      <c r="H77" s="52">
        <v>59194</v>
      </c>
      <c r="I77" s="52">
        <v>1718.40182</v>
      </c>
      <c r="J77">
        <v>0.85099999999999998</v>
      </c>
      <c r="K77">
        <v>0.98</v>
      </c>
      <c r="L77">
        <v>0.82</v>
      </c>
      <c r="M77">
        <v>6.3099999999999989E-2</v>
      </c>
      <c r="N77">
        <v>0</v>
      </c>
      <c r="O77">
        <v>0.8</v>
      </c>
      <c r="P77">
        <f>VLOOKUP($F77,[2]!hbe_risk[#All],5,FALSE)</f>
        <v>0.17499999999999999</v>
      </c>
      <c r="Q77">
        <v>6.4583185870996003</v>
      </c>
      <c r="R77">
        <v>28.783698587099604</v>
      </c>
      <c r="S77">
        <v>66.83517475459945</v>
      </c>
      <c r="T77">
        <v>71.431649429557211</v>
      </c>
      <c r="U77">
        <v>69.321045415913886</v>
      </c>
      <c r="V77">
        <v>9.0504401880854122</v>
      </c>
      <c r="W77">
        <v>9.680440188085413</v>
      </c>
      <c r="X77">
        <v>8.6370503458939449</v>
      </c>
      <c r="Y77">
        <v>9.2670503458939457</v>
      </c>
      <c r="Z77">
        <v>9.2624187481272084</v>
      </c>
      <c r="AA77">
        <v>9.2565825801429593</v>
      </c>
      <c r="AB77">
        <v>9.8865825801429601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t="s">
        <v>376</v>
      </c>
      <c r="B78" t="s">
        <v>377</v>
      </c>
      <c r="C78">
        <v>478</v>
      </c>
      <c r="D78" t="s">
        <v>207</v>
      </c>
      <c r="E78" t="s">
        <v>235</v>
      </c>
      <c r="F78" t="s">
        <v>211</v>
      </c>
      <c r="G78" t="s">
        <v>212</v>
      </c>
      <c r="H78" s="52">
        <v>4649660</v>
      </c>
      <c r="I78" s="52">
        <v>157493.28352</v>
      </c>
      <c r="J78">
        <v>0.69299999999999995</v>
      </c>
      <c r="K78">
        <v>0</v>
      </c>
      <c r="L78">
        <v>0.71</v>
      </c>
      <c r="M78">
        <v>0.11019999999999999</v>
      </c>
      <c r="N78">
        <v>0.27954724098923228</v>
      </c>
      <c r="O78">
        <v>0.38300000000000001</v>
      </c>
      <c r="P78">
        <f>VLOOKUP($F78,[2]!hbe_risk[#All],5,FALSE)</f>
        <v>4.8000000000000001E-2</v>
      </c>
      <c r="Q78">
        <v>3.6143933792425003</v>
      </c>
      <c r="R78">
        <v>25.939773379242503</v>
      </c>
      <c r="S78">
        <v>58.322108917083256</v>
      </c>
      <c r="T78">
        <v>59.967994037273641</v>
      </c>
      <c r="U78">
        <v>59.212238379661628</v>
      </c>
      <c r="V78">
        <v>2.7899110734352721</v>
      </c>
      <c r="W78">
        <v>7.6199110734352722</v>
      </c>
      <c r="X78">
        <v>2.3790659994322465</v>
      </c>
      <c r="Y78">
        <v>7.2090659994322461</v>
      </c>
      <c r="Z78">
        <v>7.2051707899404338</v>
      </c>
      <c r="AA78">
        <v>2.9951462003125915</v>
      </c>
      <c r="AB78">
        <v>7.8251462003125916</v>
      </c>
      <c r="AC78">
        <v>5.3461619999999967E-2</v>
      </c>
      <c r="AD78">
        <v>6.7054280461400981E-3</v>
      </c>
      <c r="AE78">
        <v>1.0852579371928835E-3</v>
      </c>
      <c r="AF78">
        <v>8.5631189412564181E-4</v>
      </c>
      <c r="AG78">
        <v>1.4103050217806428E-3</v>
      </c>
      <c r="AH78">
        <v>1.9744181091348187E-3</v>
      </c>
      <c r="AI78">
        <v>2.1424246234527287E-3</v>
      </c>
      <c r="AJ78">
        <v>2.4583011866348469E-3</v>
      </c>
      <c r="AK78">
        <v>3.0904941387841366E-3</v>
      </c>
      <c r="AL78">
        <v>4.1692771101024245E-3</v>
      </c>
      <c r="AM78">
        <v>6.0061991860126812E-3</v>
      </c>
      <c r="AN78">
        <v>8.8874458499904312E-3</v>
      </c>
      <c r="AO78">
        <v>1.3311420499959795E-2</v>
      </c>
      <c r="AP78">
        <v>2.026088885971385E-2</v>
      </c>
      <c r="AQ78">
        <v>3.0943043035614036E-2</v>
      </c>
      <c r="AR78">
        <v>4.758385707572544E-2</v>
      </c>
      <c r="AS78">
        <v>7.1525134862436793E-2</v>
      </c>
      <c r="AT78">
        <v>0.10295590327127407</v>
      </c>
      <c r="AU78">
        <v>0.13599244093972368</v>
      </c>
      <c r="AV78">
        <v>0.16264165996755808</v>
      </c>
      <c r="AW78">
        <v>0.17975411502979896</v>
      </c>
      <c r="AX78">
        <v>64.606999999999999</v>
      </c>
    </row>
    <row r="79" spans="1:50" x14ac:dyDescent="0.25">
      <c r="A79" t="s">
        <v>378</v>
      </c>
      <c r="B79" t="s">
        <v>379</v>
      </c>
      <c r="C79">
        <v>480</v>
      </c>
      <c r="D79" t="s">
        <v>207</v>
      </c>
      <c r="E79" t="s">
        <v>261</v>
      </c>
      <c r="F79" t="s">
        <v>262</v>
      </c>
      <c r="G79" t="s">
        <v>204</v>
      </c>
      <c r="H79" s="52">
        <v>1271767</v>
      </c>
      <c r="I79" s="52">
        <v>13027.981148000001</v>
      </c>
      <c r="J79">
        <v>0.9840000000000001</v>
      </c>
      <c r="K79">
        <v>0</v>
      </c>
      <c r="L79">
        <v>0.93</v>
      </c>
      <c r="M79">
        <v>2.0400000000000001E-2</v>
      </c>
      <c r="N79">
        <v>0.33273537315274737</v>
      </c>
      <c r="O79">
        <v>0.8</v>
      </c>
      <c r="P79">
        <f>VLOOKUP($F79,[2]!hbe_risk[#All],5,FALSE)</f>
        <v>0.17499999999999999</v>
      </c>
      <c r="Q79">
        <v>0</v>
      </c>
      <c r="R79">
        <v>0</v>
      </c>
      <c r="S79">
        <v>0</v>
      </c>
      <c r="T79">
        <v>0</v>
      </c>
      <c r="U79">
        <v>0</v>
      </c>
      <c r="V79">
        <v>9.7902737954371677</v>
      </c>
      <c r="W79">
        <v>10.420273795437168</v>
      </c>
      <c r="X79">
        <v>9.3616169816950769</v>
      </c>
      <c r="Y79">
        <v>9.9916169816950777</v>
      </c>
      <c r="Z79">
        <v>9.9803907979000552</v>
      </c>
      <c r="AA79">
        <v>10.001859194743197</v>
      </c>
      <c r="AB79">
        <v>10.631859194743198</v>
      </c>
      <c r="AC79">
        <v>1.1219750000000058E-2</v>
      </c>
      <c r="AD79">
        <v>4.9551202099758717E-4</v>
      </c>
      <c r="AE79">
        <v>1.4383974454358547E-4</v>
      </c>
      <c r="AF79">
        <v>1.9375106276098254E-4</v>
      </c>
      <c r="AG79">
        <v>5.5103995672075288E-4</v>
      </c>
      <c r="AH79">
        <v>8.8368451027373129E-4</v>
      </c>
      <c r="AI79">
        <v>1.2165092111005393E-3</v>
      </c>
      <c r="AJ79">
        <v>1.5102263852154534E-3</v>
      </c>
      <c r="AK79">
        <v>2.2255136010703083E-3</v>
      </c>
      <c r="AL79">
        <v>3.1821406410451622E-3</v>
      </c>
      <c r="AM79">
        <v>4.6283429701317168E-3</v>
      </c>
      <c r="AN79">
        <v>6.8349836152977669E-3</v>
      </c>
      <c r="AO79">
        <v>9.5098542381649477E-3</v>
      </c>
      <c r="AP79">
        <v>1.4750863515586436E-2</v>
      </c>
      <c r="AQ79">
        <v>2.1124357164764424E-2</v>
      </c>
      <c r="AR79">
        <v>3.1919984282365248E-2</v>
      </c>
      <c r="AS79">
        <v>4.5199317054123091E-2</v>
      </c>
      <c r="AT79">
        <v>6.7566756051371968E-2</v>
      </c>
      <c r="AU79">
        <v>9.4718066154717978E-2</v>
      </c>
      <c r="AV79">
        <v>0.12235017582128284</v>
      </c>
      <c r="AW79">
        <v>0.14773933517431959</v>
      </c>
      <c r="AX79">
        <v>74.763000000000005</v>
      </c>
    </row>
    <row r="80" spans="1:50" x14ac:dyDescent="0.25">
      <c r="A80" t="s">
        <v>380</v>
      </c>
      <c r="B80" t="s">
        <v>381</v>
      </c>
      <c r="C80">
        <v>484</v>
      </c>
      <c r="D80" t="s">
        <v>215</v>
      </c>
      <c r="E80" t="s">
        <v>274</v>
      </c>
      <c r="F80" t="s">
        <v>217</v>
      </c>
      <c r="G80" t="s">
        <v>204</v>
      </c>
      <c r="H80" s="52">
        <v>128932753</v>
      </c>
      <c r="I80" s="52">
        <v>2286751.3072080002</v>
      </c>
      <c r="J80">
        <v>0.96900000000000008</v>
      </c>
      <c r="K80">
        <v>0.52</v>
      </c>
      <c r="L80">
        <v>0.79</v>
      </c>
      <c r="M80">
        <v>7.3000000000000001E-3</v>
      </c>
      <c r="N80">
        <v>0.31318377193893543</v>
      </c>
      <c r="O80">
        <v>0.8</v>
      </c>
      <c r="P80">
        <f>VLOOKUP($F80,[2]!hbe_risk[#All],5,FALSE)</f>
        <v>0.17499999999999999</v>
      </c>
      <c r="Q80">
        <v>16.768056863955902</v>
      </c>
      <c r="R80">
        <v>39.093436863955901</v>
      </c>
      <c r="S80">
        <v>126.93414496684579</v>
      </c>
      <c r="T80">
        <v>157.4441746733863</v>
      </c>
      <c r="U80">
        <v>143.43461393201372</v>
      </c>
      <c r="V80">
        <v>3.0491809411066262</v>
      </c>
      <c r="W80">
        <v>3.0691809411066262</v>
      </c>
      <c r="X80">
        <v>2.6210391577867793</v>
      </c>
      <c r="Y80">
        <v>2.6410391577867793</v>
      </c>
      <c r="Z80">
        <v>2.6298115679890244</v>
      </c>
      <c r="AA80">
        <v>3.2605827208708122</v>
      </c>
      <c r="AB80">
        <v>3.2805827208708123</v>
      </c>
      <c r="AC80">
        <v>1.3512949999999982E-2</v>
      </c>
      <c r="AD80">
        <v>5.2048326432669505E-4</v>
      </c>
      <c r="AE80">
        <v>2.5512141122823124E-4</v>
      </c>
      <c r="AF80">
        <v>3.6238420834488225E-4</v>
      </c>
      <c r="AG80">
        <v>7.665508663240487E-4</v>
      </c>
      <c r="AH80">
        <v>1.2482475431183713E-3</v>
      </c>
      <c r="AI80">
        <v>1.5675062635033927E-3</v>
      </c>
      <c r="AJ80">
        <v>1.805884966171544E-3</v>
      </c>
      <c r="AK80">
        <v>2.1867916613655036E-3</v>
      </c>
      <c r="AL80">
        <v>2.9009136323384387E-3</v>
      </c>
      <c r="AM80">
        <v>4.1225920614060153E-3</v>
      </c>
      <c r="AN80">
        <v>6.0784860347484725E-3</v>
      </c>
      <c r="AO80">
        <v>9.0887769205922671E-3</v>
      </c>
      <c r="AP80">
        <v>1.3602529193538508E-2</v>
      </c>
      <c r="AQ80">
        <v>2.0289766374395436E-2</v>
      </c>
      <c r="AR80">
        <v>2.999065893376187E-2</v>
      </c>
      <c r="AS80">
        <v>4.3632283426271401E-2</v>
      </c>
      <c r="AT80">
        <v>6.2085984793593195E-2</v>
      </c>
      <c r="AU80">
        <v>8.625858645970115E-2</v>
      </c>
      <c r="AV80">
        <v>0.11671433425367923</v>
      </c>
      <c r="AW80">
        <v>0.15014208419615915</v>
      </c>
      <c r="AX80">
        <v>74.977000000000004</v>
      </c>
    </row>
    <row r="81" spans="1:50" x14ac:dyDescent="0.25">
      <c r="A81" t="s">
        <v>382</v>
      </c>
      <c r="B81" t="s">
        <v>383</v>
      </c>
      <c r="C81">
        <v>583</v>
      </c>
      <c r="D81" t="s">
        <v>260</v>
      </c>
      <c r="E81" t="s">
        <v>309</v>
      </c>
      <c r="F81" t="s">
        <v>262</v>
      </c>
      <c r="G81" t="s">
        <v>212</v>
      </c>
      <c r="H81" s="52">
        <v>115021</v>
      </c>
      <c r="I81" s="52">
        <v>2629.0349969999997</v>
      </c>
      <c r="J81">
        <v>0.87</v>
      </c>
      <c r="K81">
        <v>0.64</v>
      </c>
      <c r="L81">
        <v>0.88</v>
      </c>
      <c r="M81">
        <v>3.9900000000000005E-2</v>
      </c>
      <c r="N81">
        <v>0.3179561234857366</v>
      </c>
      <c r="O81">
        <v>0.8</v>
      </c>
      <c r="P81">
        <f>VLOOKUP($F81,[2]!hbe_risk[#All],5,FALSE)</f>
        <v>0.17499999999999999</v>
      </c>
      <c r="Q81">
        <v>7.7608125348506398</v>
      </c>
      <c r="R81">
        <v>30.086192534850642</v>
      </c>
      <c r="S81">
        <v>72.430705345926398</v>
      </c>
      <c r="T81">
        <v>79.261555547308603</v>
      </c>
      <c r="U81">
        <v>76.124973520613096</v>
      </c>
      <c r="V81">
        <v>6.2723737180988435</v>
      </c>
      <c r="W81">
        <v>6.9023737180988434</v>
      </c>
      <c r="X81">
        <v>5.8510847420789736</v>
      </c>
      <c r="Y81">
        <v>6.4810847420789734</v>
      </c>
      <c r="Z81">
        <v>6.4732316403838652</v>
      </c>
      <c r="AA81">
        <v>6.4813323230865159</v>
      </c>
      <c r="AB81">
        <v>7.1113323230865157</v>
      </c>
      <c r="AC81">
        <v>2.3440869999999996E-2</v>
      </c>
      <c r="AD81">
        <v>2.1648868307646732E-3</v>
      </c>
      <c r="AE81">
        <v>6.4018629761514146E-4</v>
      </c>
      <c r="AF81">
        <v>5.4743414776815629E-4</v>
      </c>
      <c r="AG81">
        <v>1.0747219997257551E-3</v>
      </c>
      <c r="AH81">
        <v>1.3907297498618539E-3</v>
      </c>
      <c r="AI81">
        <v>1.4766862405901995E-3</v>
      </c>
      <c r="AJ81">
        <v>1.7383537476311204E-3</v>
      </c>
      <c r="AK81">
        <v>2.3014617765703032E-3</v>
      </c>
      <c r="AL81">
        <v>3.2324636179329146E-3</v>
      </c>
      <c r="AM81">
        <v>4.8579253902303852E-3</v>
      </c>
      <c r="AN81">
        <v>7.4483614104042797E-3</v>
      </c>
      <c r="AO81">
        <v>1.1546852725601551E-2</v>
      </c>
      <c r="AP81">
        <v>2.1899808913202371E-2</v>
      </c>
      <c r="AQ81">
        <v>4.0487706625867939E-2</v>
      </c>
      <c r="AR81">
        <v>6.4035401977734774E-2</v>
      </c>
      <c r="AS81">
        <v>9.1371027832408427E-2</v>
      </c>
      <c r="AT81">
        <v>0.12448796858623369</v>
      </c>
      <c r="AU81">
        <v>0.15754479641058214</v>
      </c>
      <c r="AV81">
        <v>0.17929461044094072</v>
      </c>
      <c r="AW81">
        <v>0.18928679973190748</v>
      </c>
      <c r="AX81">
        <v>67.695999999999998</v>
      </c>
    </row>
    <row r="82" spans="1:50" x14ac:dyDescent="0.25">
      <c r="A82" t="s">
        <v>384</v>
      </c>
      <c r="B82" t="s">
        <v>385</v>
      </c>
      <c r="C82">
        <v>498</v>
      </c>
      <c r="D82" t="s">
        <v>201</v>
      </c>
      <c r="E82" t="s">
        <v>229</v>
      </c>
      <c r="F82" t="s">
        <v>203</v>
      </c>
      <c r="G82" t="s">
        <v>212</v>
      </c>
      <c r="H82" s="52">
        <v>4033963</v>
      </c>
      <c r="I82" s="52">
        <v>40944.724450000002</v>
      </c>
      <c r="J82">
        <v>0.99400000000000011</v>
      </c>
      <c r="K82">
        <v>0.95</v>
      </c>
      <c r="L82">
        <v>0.87</v>
      </c>
      <c r="M82">
        <v>4.7800000000000002E-2</v>
      </c>
      <c r="N82">
        <v>0.29822610488439383</v>
      </c>
      <c r="O82">
        <v>0.8</v>
      </c>
      <c r="P82">
        <f>VLOOKUP($F82,[2]!hbe_risk[#All],5,FALSE)</f>
        <v>0.17499999999999999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5.0968982832679943</v>
      </c>
      <c r="W82">
        <v>9.1668982832679937</v>
      </c>
      <c r="X82">
        <v>4.6814022425588222</v>
      </c>
      <c r="Y82">
        <v>8.7514022425588216</v>
      </c>
      <c r="Z82">
        <v>8.7455508626604939</v>
      </c>
      <c r="AA82">
        <v>5.3037915808840266</v>
      </c>
      <c r="AB82">
        <v>9.3737915808840278</v>
      </c>
      <c r="AC82">
        <v>1.2356070000000037E-2</v>
      </c>
      <c r="AD82">
        <v>5.1653230937185452E-4</v>
      </c>
      <c r="AE82">
        <v>2.2573381524593341E-4</v>
      </c>
      <c r="AF82">
        <v>1.7649731270754883E-4</v>
      </c>
      <c r="AG82">
        <v>4.1222334865976097E-4</v>
      </c>
      <c r="AH82">
        <v>5.5838521956235755E-4</v>
      </c>
      <c r="AI82">
        <v>8.3978185065986986E-4</v>
      </c>
      <c r="AJ82">
        <v>1.2911409393618447E-3</v>
      </c>
      <c r="AK82">
        <v>2.3089872457516974E-3</v>
      </c>
      <c r="AL82">
        <v>3.2472068089578732E-3</v>
      </c>
      <c r="AM82">
        <v>5.7588767309607655E-3</v>
      </c>
      <c r="AN82">
        <v>8.5519787927547056E-3</v>
      </c>
      <c r="AO82">
        <v>1.2821928563051331E-2</v>
      </c>
      <c r="AP82">
        <v>2.1091767696511721E-2</v>
      </c>
      <c r="AQ82">
        <v>2.7372341396522927E-2</v>
      </c>
      <c r="AR82">
        <v>4.2432166669116665E-2</v>
      </c>
      <c r="AS82">
        <v>6.3749925590814951E-2</v>
      </c>
      <c r="AT82">
        <v>9.2125842449112899E-2</v>
      </c>
      <c r="AU82">
        <v>0.12388987526553405</v>
      </c>
      <c r="AV82">
        <v>0.15013067830054949</v>
      </c>
      <c r="AW82">
        <v>0.17315483450424698</v>
      </c>
      <c r="AX82">
        <v>71.683999999999997</v>
      </c>
    </row>
    <row r="83" spans="1:50" x14ac:dyDescent="0.25">
      <c r="A83" t="s">
        <v>386</v>
      </c>
      <c r="B83" t="s">
        <v>387</v>
      </c>
      <c r="C83">
        <v>496</v>
      </c>
      <c r="D83" t="s">
        <v>260</v>
      </c>
      <c r="E83" t="s">
        <v>220</v>
      </c>
      <c r="F83" t="s">
        <v>203</v>
      </c>
      <c r="G83" t="s">
        <v>212</v>
      </c>
      <c r="H83" s="52">
        <v>3278292</v>
      </c>
      <c r="I83" s="52">
        <v>80124.734771999996</v>
      </c>
      <c r="J83">
        <v>0.9840000000000001</v>
      </c>
      <c r="K83">
        <v>0.98</v>
      </c>
      <c r="L83">
        <v>0.96</v>
      </c>
      <c r="M83">
        <v>9.4E-2</v>
      </c>
      <c r="N83">
        <v>0.28953580197018131</v>
      </c>
      <c r="O83">
        <v>0.8</v>
      </c>
      <c r="P83">
        <f>VLOOKUP($F83,[2]!hbe_risk[#All],5,FALSE)</f>
        <v>0.17499999999999999</v>
      </c>
      <c r="Q83">
        <v>4.6751915706430802</v>
      </c>
      <c r="R83">
        <v>27.000571570643082</v>
      </c>
      <c r="S83">
        <v>62.764016443809524</v>
      </c>
      <c r="T83">
        <v>66.169650799385948</v>
      </c>
      <c r="U83">
        <v>64.60585548924486</v>
      </c>
      <c r="V83">
        <v>6.6620857266877191</v>
      </c>
      <c r="W83">
        <v>10.732085726687719</v>
      </c>
      <c r="X83">
        <v>6.236336730693794</v>
      </c>
      <c r="Y83">
        <v>10.306336730693793</v>
      </c>
      <c r="Z83">
        <v>10.295948823679453</v>
      </c>
      <c r="AA83">
        <v>6.8726344257530982</v>
      </c>
      <c r="AB83">
        <v>10.942634425753099</v>
      </c>
      <c r="AC83">
        <v>1.8091659999999975E-2</v>
      </c>
      <c r="AD83">
        <v>1.089134246481696E-3</v>
      </c>
      <c r="AE83">
        <v>3.6072929057807485E-4</v>
      </c>
      <c r="AF83">
        <v>3.3589812188814335E-4</v>
      </c>
      <c r="AG83">
        <v>5.2098873409926738E-4</v>
      </c>
      <c r="AH83">
        <v>9.0125812173430834E-4</v>
      </c>
      <c r="AI83">
        <v>1.2885255419651149E-3</v>
      </c>
      <c r="AJ83">
        <v>1.9471744177746583E-3</v>
      </c>
      <c r="AK83">
        <v>2.8349576770170136E-3</v>
      </c>
      <c r="AL83">
        <v>4.345514061239268E-3</v>
      </c>
      <c r="AM83">
        <v>7.4750551799561129E-3</v>
      </c>
      <c r="AN83">
        <v>1.117685746018055E-2</v>
      </c>
      <c r="AO83">
        <v>1.5155314954888392E-2</v>
      </c>
      <c r="AP83">
        <v>2.128058637037436E-2</v>
      </c>
      <c r="AQ83">
        <v>2.9015889101694226E-2</v>
      </c>
      <c r="AR83">
        <v>4.6152979981666467E-2</v>
      </c>
      <c r="AS83">
        <v>6.588315657394142E-2</v>
      </c>
      <c r="AT83">
        <v>9.0022095675955552E-2</v>
      </c>
      <c r="AU83">
        <v>0.11735601180715931</v>
      </c>
      <c r="AV83">
        <v>0.1436109653144062</v>
      </c>
      <c r="AW83">
        <v>0.16511405527935535</v>
      </c>
      <c r="AX83">
        <v>69.549000000000007</v>
      </c>
    </row>
    <row r="84" spans="1:50" x14ac:dyDescent="0.25">
      <c r="A84" t="s">
        <v>388</v>
      </c>
      <c r="B84" t="s">
        <v>389</v>
      </c>
      <c r="C84">
        <v>499</v>
      </c>
      <c r="D84" t="s">
        <v>201</v>
      </c>
      <c r="E84" t="s">
        <v>202</v>
      </c>
      <c r="F84" t="s">
        <v>203</v>
      </c>
      <c r="G84" t="s">
        <v>204</v>
      </c>
      <c r="H84" s="52">
        <v>628062</v>
      </c>
      <c r="I84" s="52">
        <v>7424.3209020000004</v>
      </c>
      <c r="J84">
        <v>0.98599999999999999</v>
      </c>
      <c r="K84">
        <v>0</v>
      </c>
      <c r="L84">
        <v>0.52</v>
      </c>
      <c r="M84">
        <v>3.1400000000000004E-2</v>
      </c>
      <c r="N84">
        <v>0.28213738136324418</v>
      </c>
      <c r="O84">
        <v>0.8</v>
      </c>
      <c r="P84">
        <f>VLOOKUP($F84,[2]!hbe_risk[#All],5,FALSE)</f>
        <v>0.17499999999999999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8.0111984012150277</v>
      </c>
      <c r="W84">
        <v>12.081198401215028</v>
      </c>
      <c r="X84">
        <v>7.5859668124446431</v>
      </c>
      <c r="Y84">
        <v>11.655966812444642</v>
      </c>
      <c r="Z84">
        <v>11.646309287652764</v>
      </c>
      <c r="AA84">
        <v>8.221562633357232</v>
      </c>
      <c r="AB84">
        <v>12.291562633357232</v>
      </c>
      <c r="AC84">
        <v>2.7589900000000488E-3</v>
      </c>
      <c r="AD84">
        <v>1.0978288989539571E-4</v>
      </c>
      <c r="AE84">
        <v>1.2963041677568015E-4</v>
      </c>
      <c r="AF84">
        <v>1.4090750613701859E-4</v>
      </c>
      <c r="AG84">
        <v>2.598449485189175E-4</v>
      </c>
      <c r="AH84">
        <v>3.8511837498975804E-4</v>
      </c>
      <c r="AI84">
        <v>5.8594049785019419E-4</v>
      </c>
      <c r="AJ84">
        <v>5.8344926577957336E-4</v>
      </c>
      <c r="AK84">
        <v>9.7097040585871115E-4</v>
      </c>
      <c r="AL84">
        <v>1.506992281523925E-3</v>
      </c>
      <c r="AM84">
        <v>2.5610333053270123E-3</v>
      </c>
      <c r="AN84">
        <v>4.7821152331354623E-3</v>
      </c>
      <c r="AO84">
        <v>8.5308074137273905E-3</v>
      </c>
      <c r="AP84">
        <v>1.2795081982261316E-2</v>
      </c>
      <c r="AQ84">
        <v>2.1186155006874843E-2</v>
      </c>
      <c r="AR84">
        <v>3.0975367630566662E-2</v>
      </c>
      <c r="AS84">
        <v>5.1451402750234264E-2</v>
      </c>
      <c r="AT84">
        <v>8.1119943211650655E-2</v>
      </c>
      <c r="AU84">
        <v>0.11760632921694675</v>
      </c>
      <c r="AV84">
        <v>0.15578243420900695</v>
      </c>
      <c r="AW84">
        <v>0.17912229417993825</v>
      </c>
      <c r="AX84">
        <v>76.652000000000001</v>
      </c>
    </row>
    <row r="85" spans="1:50" x14ac:dyDescent="0.25">
      <c r="A85" t="s">
        <v>390</v>
      </c>
      <c r="B85" t="s">
        <v>391</v>
      </c>
      <c r="C85">
        <v>504</v>
      </c>
      <c r="D85" t="s">
        <v>196</v>
      </c>
      <c r="E85" t="s">
        <v>197</v>
      </c>
      <c r="F85" t="s">
        <v>197</v>
      </c>
      <c r="G85" t="s">
        <v>212</v>
      </c>
      <c r="H85" s="52">
        <v>36910558</v>
      </c>
      <c r="I85" s="52">
        <v>703256.86157399998</v>
      </c>
      <c r="J85">
        <v>0.86099999999999999</v>
      </c>
      <c r="K85">
        <v>0.41</v>
      </c>
      <c r="L85">
        <v>0.99</v>
      </c>
      <c r="M85">
        <v>1.37E-2</v>
      </c>
      <c r="N85">
        <v>0.25084579049460559</v>
      </c>
      <c r="O85">
        <v>0.8</v>
      </c>
      <c r="P85">
        <f>VLOOKUP($F85,[2]!hbe_risk[#All],5,FALSE)</f>
        <v>0.17499999999999999</v>
      </c>
      <c r="Q85">
        <v>7.1730536370777696</v>
      </c>
      <c r="R85">
        <v>29.498433637077774</v>
      </c>
      <c r="S85">
        <v>72.025505954351118</v>
      </c>
      <c r="T85">
        <v>78.951371998044934</v>
      </c>
      <c r="U85">
        <v>75.771160704938978</v>
      </c>
      <c r="V85">
        <v>3.8874817430943573</v>
      </c>
      <c r="W85">
        <v>4.3674817430943573</v>
      </c>
      <c r="X85">
        <v>3.4684286089489831</v>
      </c>
      <c r="Y85">
        <v>3.9484286089489831</v>
      </c>
      <c r="Z85">
        <v>3.9409804799603032</v>
      </c>
      <c r="AA85">
        <v>4.0956432218485146</v>
      </c>
      <c r="AB85">
        <v>4.5756432218485141</v>
      </c>
      <c r="AC85">
        <v>1.9868730000000067E-2</v>
      </c>
      <c r="AD85">
        <v>9.0158331546751264E-4</v>
      </c>
      <c r="AE85">
        <v>4.2089231542369684E-4</v>
      </c>
      <c r="AF85">
        <v>2.557510692876066E-4</v>
      </c>
      <c r="AG85">
        <v>4.1495325190041841E-4</v>
      </c>
      <c r="AH85">
        <v>6.0455741603860887E-4</v>
      </c>
      <c r="AI85">
        <v>6.6897173890994818E-4</v>
      </c>
      <c r="AJ85">
        <v>7.4289019935636503E-4</v>
      </c>
      <c r="AK85">
        <v>1.0014434703993515E-3</v>
      </c>
      <c r="AL85">
        <v>1.330799544217336E-3</v>
      </c>
      <c r="AM85">
        <v>1.9004295608519065E-3</v>
      </c>
      <c r="AN85">
        <v>2.9029344608908036E-3</v>
      </c>
      <c r="AO85">
        <v>4.509322393201615E-3</v>
      </c>
      <c r="AP85">
        <v>7.8232346542924831E-3</v>
      </c>
      <c r="AQ85">
        <v>1.3908841127627395E-2</v>
      </c>
      <c r="AR85">
        <v>2.7730057229789273E-2</v>
      </c>
      <c r="AS85">
        <v>4.7021934675716137E-2</v>
      </c>
      <c r="AT85">
        <v>9.1999086836662095E-2</v>
      </c>
      <c r="AU85">
        <v>0.13935901987725235</v>
      </c>
      <c r="AV85">
        <v>0.17321863769084356</v>
      </c>
      <c r="AW85">
        <v>0.18438535373189555</v>
      </c>
      <c r="AX85">
        <v>76.33</v>
      </c>
    </row>
    <row r="86" spans="1:50" x14ac:dyDescent="0.25">
      <c r="A86" t="s">
        <v>392</v>
      </c>
      <c r="B86" t="s">
        <v>393</v>
      </c>
      <c r="C86">
        <v>508</v>
      </c>
      <c r="D86" t="s">
        <v>207</v>
      </c>
      <c r="E86" t="s">
        <v>255</v>
      </c>
      <c r="F86" t="s">
        <v>211</v>
      </c>
      <c r="G86" t="s">
        <v>198</v>
      </c>
      <c r="H86" s="52">
        <v>31255435</v>
      </c>
      <c r="I86" s="52">
        <v>1178454.9212400001</v>
      </c>
      <c r="J86">
        <v>0.54799999999999993</v>
      </c>
      <c r="K86">
        <v>0</v>
      </c>
      <c r="L86">
        <v>0.79</v>
      </c>
      <c r="M86">
        <v>1.9599999999999999E-2</v>
      </c>
      <c r="N86">
        <v>0.29825928137599328</v>
      </c>
      <c r="O86">
        <v>0.38300000000000001</v>
      </c>
      <c r="P86">
        <f>VLOOKUP($F86,[2]!hbe_risk[#All],5,FALSE)</f>
        <v>4.8000000000000001E-2</v>
      </c>
      <c r="Q86">
        <v>2.844521900584795</v>
      </c>
      <c r="R86">
        <v>25.169901900584797</v>
      </c>
      <c r="S86">
        <v>55.559753347090833</v>
      </c>
      <c r="T86">
        <v>56.168620137346807</v>
      </c>
      <c r="U86">
        <v>55.889041377065659</v>
      </c>
      <c r="V86">
        <v>1.6141491409078512</v>
      </c>
      <c r="W86">
        <v>6.4441491409078511</v>
      </c>
      <c r="X86">
        <v>1.2092493006828846</v>
      </c>
      <c r="Y86">
        <v>6.0392493006828847</v>
      </c>
      <c r="Z86">
        <v>6.0377484606749112</v>
      </c>
      <c r="AA86">
        <v>1.81726466269908</v>
      </c>
      <c r="AB86">
        <v>6.6472646626990803</v>
      </c>
      <c r="AC86">
        <v>5.3915810000000057E-2</v>
      </c>
      <c r="AD86">
        <v>5.1119604905352041E-3</v>
      </c>
      <c r="AE86">
        <v>1.4012858703953376E-3</v>
      </c>
      <c r="AF86">
        <v>1.0949032653975483E-3</v>
      </c>
      <c r="AG86">
        <v>1.7263139961507059E-3</v>
      </c>
      <c r="AH86">
        <v>2.8654566183196031E-3</v>
      </c>
      <c r="AI86">
        <v>4.3902395060748927E-3</v>
      </c>
      <c r="AJ86">
        <v>6.0677207852414625E-3</v>
      </c>
      <c r="AK86">
        <v>8.4157379504231199E-3</v>
      </c>
      <c r="AL86">
        <v>1.00823270263227E-2</v>
      </c>
      <c r="AM86">
        <v>1.1863253219921731E-2</v>
      </c>
      <c r="AN86">
        <v>1.451859108063718E-2</v>
      </c>
      <c r="AO86">
        <v>1.7957334558640816E-2</v>
      </c>
      <c r="AP86">
        <v>2.4208696828590972E-2</v>
      </c>
      <c r="AQ86">
        <v>3.4343923387346431E-2</v>
      </c>
      <c r="AR86">
        <v>5.0274413363338988E-2</v>
      </c>
      <c r="AS86">
        <v>7.3556760455677939E-2</v>
      </c>
      <c r="AT86">
        <v>0.10832193217593584</v>
      </c>
      <c r="AU86">
        <v>0.14802703390099389</v>
      </c>
      <c r="AV86">
        <v>0.17815638978603338</v>
      </c>
      <c r="AW86">
        <v>0.18810932311897274</v>
      </c>
      <c r="AX86">
        <v>60.054000000000002</v>
      </c>
    </row>
    <row r="87" spans="1:50" x14ac:dyDescent="0.25">
      <c r="A87" t="s">
        <v>394</v>
      </c>
      <c r="B87" t="s">
        <v>395</v>
      </c>
      <c r="C87">
        <v>104</v>
      </c>
      <c r="D87" t="s">
        <v>225</v>
      </c>
      <c r="E87" t="s">
        <v>261</v>
      </c>
      <c r="F87" t="s">
        <v>262</v>
      </c>
      <c r="G87" t="s">
        <v>212</v>
      </c>
      <c r="H87" s="52">
        <v>54409794</v>
      </c>
      <c r="I87" s="52">
        <v>962998.94400600006</v>
      </c>
      <c r="J87">
        <v>0.371</v>
      </c>
      <c r="K87">
        <v>0.21</v>
      </c>
      <c r="L87">
        <v>0.84</v>
      </c>
      <c r="M87">
        <v>5.2499999999999998E-2</v>
      </c>
      <c r="N87">
        <v>0.32130963051350597</v>
      </c>
      <c r="O87">
        <v>0.8</v>
      </c>
      <c r="P87">
        <f>VLOOKUP($F87,[2]!hbe_risk[#All],5,FALSE)</f>
        <v>0.17499999999999999</v>
      </c>
      <c r="Q87">
        <v>3.1937353958333299</v>
      </c>
      <c r="R87">
        <v>25.519115395833332</v>
      </c>
      <c r="S87">
        <v>56.568985555499651</v>
      </c>
      <c r="T87">
        <v>57.521369017544174</v>
      </c>
      <c r="U87">
        <v>57.08405466259515</v>
      </c>
      <c r="V87">
        <v>2.3243671389129541</v>
      </c>
      <c r="W87">
        <v>2.954367138912954</v>
      </c>
      <c r="X87">
        <v>1.9144650655419777</v>
      </c>
      <c r="Y87">
        <v>2.5444650655419778</v>
      </c>
      <c r="Z87">
        <v>2.5407410342728705</v>
      </c>
      <c r="AA87">
        <v>2.5292660655649351</v>
      </c>
      <c r="AB87">
        <v>3.1592660655649349</v>
      </c>
      <c r="AC87">
        <v>3.8420489999999988E-2</v>
      </c>
      <c r="AD87">
        <v>2.5121089570637632E-3</v>
      </c>
      <c r="AE87">
        <v>1.072942126034219E-3</v>
      </c>
      <c r="AF87">
        <v>8.7112479692080282E-4</v>
      </c>
      <c r="AG87">
        <v>1.4119117000549067E-3</v>
      </c>
      <c r="AH87">
        <v>1.9952469974620956E-3</v>
      </c>
      <c r="AI87">
        <v>2.1617354546634828E-3</v>
      </c>
      <c r="AJ87">
        <v>2.4882808240389428E-3</v>
      </c>
      <c r="AK87">
        <v>3.1455396410933912E-3</v>
      </c>
      <c r="AL87">
        <v>4.2459501679441188E-3</v>
      </c>
      <c r="AM87">
        <v>6.0693848277694161E-3</v>
      </c>
      <c r="AN87">
        <v>8.8967903272355962E-3</v>
      </c>
      <c r="AO87">
        <v>1.3179930547476956E-2</v>
      </c>
      <c r="AP87">
        <v>1.9910283306697023E-2</v>
      </c>
      <c r="AQ87">
        <v>3.0515748414164622E-2</v>
      </c>
      <c r="AR87">
        <v>4.7180281289428097E-2</v>
      </c>
      <c r="AS87">
        <v>7.0924878976329722E-2</v>
      </c>
      <c r="AT87">
        <v>0.1021432707507926</v>
      </c>
      <c r="AU87">
        <v>0.13520896153602316</v>
      </c>
      <c r="AV87">
        <v>0.16209297935634789</v>
      </c>
      <c r="AW87">
        <v>0.17949869669630888</v>
      </c>
      <c r="AX87">
        <v>66.759</v>
      </c>
    </row>
    <row r="88" spans="1:50" x14ac:dyDescent="0.25">
      <c r="A88" t="s">
        <v>396</v>
      </c>
      <c r="B88" t="s">
        <v>397</v>
      </c>
      <c r="C88">
        <v>516</v>
      </c>
      <c r="D88" t="s">
        <v>207</v>
      </c>
      <c r="E88" t="s">
        <v>245</v>
      </c>
      <c r="F88" t="s">
        <v>211</v>
      </c>
      <c r="G88" t="s">
        <v>204</v>
      </c>
      <c r="H88" s="52">
        <v>2540916</v>
      </c>
      <c r="I88" s="52">
        <v>73267.312860000005</v>
      </c>
      <c r="J88">
        <v>0.87400000000000011</v>
      </c>
      <c r="K88">
        <v>0.81</v>
      </c>
      <c r="L88">
        <v>0.87</v>
      </c>
      <c r="M88">
        <v>5.5599999999999997E-2</v>
      </c>
      <c r="N88">
        <v>0.25809873416998286</v>
      </c>
      <c r="O88">
        <v>0.38300000000000001</v>
      </c>
      <c r="P88">
        <f>VLOOKUP($F88,[2]!hbe_risk[#All],5,FALSE)</f>
        <v>4.8000000000000001E-2</v>
      </c>
      <c r="Q88">
        <v>9.24416818827242</v>
      </c>
      <c r="R88">
        <v>31.569548188272421</v>
      </c>
      <c r="S88">
        <v>81.876711874709386</v>
      </c>
      <c r="T88">
        <v>92.85184355293211</v>
      </c>
      <c r="U88">
        <v>87.812295071022163</v>
      </c>
      <c r="V88">
        <v>5.7016031338984172</v>
      </c>
      <c r="W88">
        <v>10.531603133898418</v>
      </c>
      <c r="X88">
        <v>5.2878874576461081</v>
      </c>
      <c r="Y88">
        <v>10.117887457646109</v>
      </c>
      <c r="Z88">
        <v>10.113044109149415</v>
      </c>
      <c r="AA88">
        <v>5.907861692882002</v>
      </c>
      <c r="AB88">
        <v>10.737861692882003</v>
      </c>
      <c r="AC88">
        <v>3.3393899999999997E-2</v>
      </c>
      <c r="AD88">
        <v>2.8889689398815268E-3</v>
      </c>
      <c r="AE88">
        <v>1.2247495939341124E-3</v>
      </c>
      <c r="AF88">
        <v>9.8845046322171433E-4</v>
      </c>
      <c r="AG88">
        <v>1.6652249148680479E-3</v>
      </c>
      <c r="AH88">
        <v>2.7220194759180897E-3</v>
      </c>
      <c r="AI88">
        <v>3.9220450597063951E-3</v>
      </c>
      <c r="AJ88">
        <v>5.2208256651949912E-3</v>
      </c>
      <c r="AK88">
        <v>7.0471598547450515E-3</v>
      </c>
      <c r="AL88">
        <v>8.6251844776423607E-3</v>
      </c>
      <c r="AM88">
        <v>1.0517787157439704E-2</v>
      </c>
      <c r="AN88">
        <v>1.3459122969743957E-2</v>
      </c>
      <c r="AO88">
        <v>1.6834064564422793E-2</v>
      </c>
      <c r="AP88">
        <v>2.3067933845764395E-2</v>
      </c>
      <c r="AQ88">
        <v>3.3447044006558589E-2</v>
      </c>
      <c r="AR88">
        <v>4.9744492042142194E-2</v>
      </c>
      <c r="AS88">
        <v>7.3212362235861556E-2</v>
      </c>
      <c r="AT88">
        <v>0.10734102805361607</v>
      </c>
      <c r="AU88">
        <v>0.1468365107010475</v>
      </c>
      <c r="AV88">
        <v>0.17801596342792059</v>
      </c>
      <c r="AW88">
        <v>0.18853484881129942</v>
      </c>
      <c r="AX88">
        <v>63.024000000000001</v>
      </c>
    </row>
    <row r="89" spans="1:50" x14ac:dyDescent="0.25">
      <c r="A89" t="s">
        <v>398</v>
      </c>
      <c r="B89" t="s">
        <v>399</v>
      </c>
      <c r="C89">
        <v>520</v>
      </c>
      <c r="D89" t="s">
        <v>260</v>
      </c>
      <c r="E89" t="s">
        <v>309</v>
      </c>
      <c r="F89" t="s">
        <v>262</v>
      </c>
      <c r="G89" t="s">
        <v>204</v>
      </c>
      <c r="H89" s="52">
        <v>10834</v>
      </c>
      <c r="I89" s="52">
        <v>232.82265999999998</v>
      </c>
      <c r="J89">
        <v>0.98699999999999999</v>
      </c>
      <c r="K89">
        <v>0.99</v>
      </c>
      <c r="L89">
        <v>0.95</v>
      </c>
      <c r="M89">
        <v>0.10980000000000001</v>
      </c>
      <c r="N89">
        <v>0</v>
      </c>
      <c r="O89">
        <v>0.8</v>
      </c>
      <c r="P89">
        <f>VLOOKUP($F89,[2]!hbe_risk[#All],5,FALSE)</f>
        <v>0.17499999999999999</v>
      </c>
      <c r="Q89">
        <v>6.1944244591402899</v>
      </c>
      <c r="R89">
        <v>28.519804459140293</v>
      </c>
      <c r="S89">
        <v>65.864059444836528</v>
      </c>
      <c r="T89">
        <v>70.092450212857344</v>
      </c>
      <c r="U89">
        <v>68.150862548976846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t="s">
        <v>400</v>
      </c>
      <c r="B90" t="s">
        <v>401</v>
      </c>
      <c r="C90">
        <v>524</v>
      </c>
      <c r="D90" t="s">
        <v>225</v>
      </c>
      <c r="E90" t="s">
        <v>226</v>
      </c>
      <c r="F90" t="s">
        <v>226</v>
      </c>
      <c r="G90" t="s">
        <v>198</v>
      </c>
      <c r="H90" s="52">
        <v>29136808</v>
      </c>
      <c r="I90" s="52">
        <v>583289.75935199996</v>
      </c>
      <c r="J90">
        <v>0.57399999999999995</v>
      </c>
      <c r="K90">
        <v>0</v>
      </c>
      <c r="L90">
        <v>0.84</v>
      </c>
      <c r="M90">
        <v>8.1000000000000013E-3</v>
      </c>
      <c r="N90">
        <v>0.28656959412598437</v>
      </c>
      <c r="O90">
        <v>0.8</v>
      </c>
      <c r="P90">
        <f>VLOOKUP($F90,[2]!hbe_risk[#All],5,FALSE)</f>
        <v>0.17499999999999999</v>
      </c>
      <c r="Q90">
        <v>2.830754810126582</v>
      </c>
      <c r="R90">
        <v>25.156134810126584</v>
      </c>
      <c r="S90">
        <v>55.747042533542988</v>
      </c>
      <c r="T90">
        <v>56.460552088783217</v>
      </c>
      <c r="U90">
        <v>56.132923582687567</v>
      </c>
      <c r="V90">
        <v>2.4748408238533424</v>
      </c>
      <c r="W90">
        <v>4.2846882848616064</v>
      </c>
      <c r="X90">
        <v>2.0671269302906339</v>
      </c>
      <c r="Y90">
        <v>3.8769743912988979</v>
      </c>
      <c r="Z90">
        <v>3.8742989742280667</v>
      </c>
      <c r="AA90">
        <v>2.6789596168345482</v>
      </c>
      <c r="AB90">
        <v>4.4888070778428126</v>
      </c>
      <c r="AC90">
        <v>2.7942580000000015E-2</v>
      </c>
      <c r="AD90">
        <v>1.4641933395251625E-3</v>
      </c>
      <c r="AE90">
        <v>5.9734201687707217E-4</v>
      </c>
      <c r="AF90">
        <v>4.8948909630063052E-4</v>
      </c>
      <c r="AG90">
        <v>8.5947021037404889E-4</v>
      </c>
      <c r="AH90">
        <v>1.187279211316897E-3</v>
      </c>
      <c r="AI90">
        <v>1.2900965422736341E-3</v>
      </c>
      <c r="AJ90">
        <v>1.5188384974273346E-3</v>
      </c>
      <c r="AK90">
        <v>1.9839414185007548E-3</v>
      </c>
      <c r="AL90">
        <v>2.8502541968265169E-3</v>
      </c>
      <c r="AM90">
        <v>4.4543849074185305E-3</v>
      </c>
      <c r="AN90">
        <v>6.9522169793429268E-3</v>
      </c>
      <c r="AO90">
        <v>1.0951608108868135E-2</v>
      </c>
      <c r="AP90">
        <v>1.718090029554491E-2</v>
      </c>
      <c r="AQ90">
        <v>2.7261169312703379E-2</v>
      </c>
      <c r="AR90">
        <v>4.320931980586707E-2</v>
      </c>
      <c r="AS90">
        <v>6.6773009751530027E-2</v>
      </c>
      <c r="AT90">
        <v>9.8636927081093451E-2</v>
      </c>
      <c r="AU90">
        <v>0.13300884083462092</v>
      </c>
      <c r="AV90">
        <v>0.16119652230409756</v>
      </c>
      <c r="AW90">
        <v>0.17936089322120757</v>
      </c>
      <c r="AX90">
        <v>70.305999999999997</v>
      </c>
    </row>
    <row r="91" spans="1:50" x14ac:dyDescent="0.25">
      <c r="A91" t="s">
        <v>402</v>
      </c>
      <c r="B91" t="s">
        <v>403</v>
      </c>
      <c r="C91">
        <v>558</v>
      </c>
      <c r="D91" t="s">
        <v>215</v>
      </c>
      <c r="E91" t="s">
        <v>274</v>
      </c>
      <c r="F91" t="s">
        <v>217</v>
      </c>
      <c r="G91" t="s">
        <v>212</v>
      </c>
      <c r="H91" s="52">
        <v>6624554</v>
      </c>
      <c r="I91" s="52">
        <v>138234.56831800001</v>
      </c>
      <c r="J91">
        <v>0.71</v>
      </c>
      <c r="K91">
        <v>0</v>
      </c>
      <c r="L91">
        <v>0.92</v>
      </c>
      <c r="M91">
        <v>4.7999999999999996E-3</v>
      </c>
      <c r="N91">
        <v>0.3156059062343336</v>
      </c>
      <c r="O91">
        <v>0.8</v>
      </c>
      <c r="P91">
        <f>VLOOKUP($F91,[2]!hbe_risk[#All],5,FALSE)</f>
        <v>0.17499999999999999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4.7099919629056357</v>
      </c>
      <c r="W91">
        <v>4.7299919629056353</v>
      </c>
      <c r="X91">
        <v>4.2974644746232951</v>
      </c>
      <c r="Y91">
        <v>4.3174644746232946</v>
      </c>
      <c r="Z91">
        <v>4.3126589573154988</v>
      </c>
      <c r="AA91">
        <v>4.9158269070477543</v>
      </c>
      <c r="AB91">
        <v>4.9358269070477538</v>
      </c>
      <c r="AC91">
        <v>1.6784030000000057E-2</v>
      </c>
      <c r="AD91">
        <v>8.8147724044798431E-4</v>
      </c>
      <c r="AE91">
        <v>4.6097509603578243E-4</v>
      </c>
      <c r="AF91">
        <v>4.6068964478693019E-4</v>
      </c>
      <c r="AG91">
        <v>1.1313016626973249E-3</v>
      </c>
      <c r="AH91">
        <v>1.5077006682083468E-3</v>
      </c>
      <c r="AI91">
        <v>1.7689583137579586E-3</v>
      </c>
      <c r="AJ91">
        <v>2.1274003253107052E-3</v>
      </c>
      <c r="AK91">
        <v>2.6992125859102468E-3</v>
      </c>
      <c r="AL91">
        <v>3.435031499270829E-3</v>
      </c>
      <c r="AM91">
        <v>4.5176356272025875E-3</v>
      </c>
      <c r="AN91">
        <v>6.3558040790504715E-3</v>
      </c>
      <c r="AO91">
        <v>9.0428108391956679E-3</v>
      </c>
      <c r="AP91">
        <v>1.3025627257113315E-2</v>
      </c>
      <c r="AQ91">
        <v>1.9025422928980271E-2</v>
      </c>
      <c r="AR91">
        <v>2.753133862434114E-2</v>
      </c>
      <c r="AS91">
        <v>4.0388362115475675E-2</v>
      </c>
      <c r="AT91">
        <v>6.5754084012881131E-2</v>
      </c>
      <c r="AU91">
        <v>9.2723844812142964E-2</v>
      </c>
      <c r="AV91">
        <v>0.12102861703819505</v>
      </c>
      <c r="AW91">
        <v>0.14543309127054091</v>
      </c>
      <c r="AX91">
        <v>74.153999999999996</v>
      </c>
    </row>
    <row r="92" spans="1:50" x14ac:dyDescent="0.25">
      <c r="A92" t="s">
        <v>404</v>
      </c>
      <c r="B92" t="s">
        <v>405</v>
      </c>
      <c r="C92">
        <v>562</v>
      </c>
      <c r="D92" t="s">
        <v>207</v>
      </c>
      <c r="E92" t="s">
        <v>235</v>
      </c>
      <c r="F92" t="s">
        <v>211</v>
      </c>
      <c r="G92" t="s">
        <v>198</v>
      </c>
      <c r="H92" s="52">
        <v>24206636</v>
      </c>
      <c r="I92" s="52">
        <v>1120113.667628</v>
      </c>
      <c r="J92">
        <v>0.58799999999999997</v>
      </c>
      <c r="K92">
        <v>0</v>
      </c>
      <c r="L92">
        <v>0.81</v>
      </c>
      <c r="M92">
        <v>0.10859999999999999</v>
      </c>
      <c r="N92">
        <v>0.30212641158390346</v>
      </c>
      <c r="O92">
        <v>0.38300000000000001</v>
      </c>
      <c r="P92">
        <f>VLOOKUP($F92,[2]!hbe_risk[#All],5,FALSE)</f>
        <v>4.8000000000000001E-2</v>
      </c>
      <c r="Q92">
        <v>2.5810937977528092</v>
      </c>
      <c r="R92">
        <v>24.906473797752813</v>
      </c>
      <c r="S92">
        <v>54.840474239780427</v>
      </c>
      <c r="T92">
        <v>55.212086514721065</v>
      </c>
      <c r="U92">
        <v>55.041450012951138</v>
      </c>
      <c r="V92">
        <v>1.6058537166778961</v>
      </c>
      <c r="W92">
        <v>6.4358537166778964</v>
      </c>
      <c r="X92">
        <v>1.199885080396434</v>
      </c>
      <c r="Y92">
        <v>6.0298850803964346</v>
      </c>
      <c r="Z92">
        <v>6.027959407001604</v>
      </c>
      <c r="AA92">
        <v>1.8093502874979621</v>
      </c>
      <c r="AB92">
        <v>6.6393502874979617</v>
      </c>
      <c r="AC92">
        <v>4.6318139999999987E-2</v>
      </c>
      <c r="AD92">
        <v>1.004996834059527E-2</v>
      </c>
      <c r="AE92">
        <v>2.2241474972517555E-3</v>
      </c>
      <c r="AF92">
        <v>1.3309644531309406E-3</v>
      </c>
      <c r="AG92">
        <v>2.2191158992467762E-3</v>
      </c>
      <c r="AH92">
        <v>2.9005837356501554E-3</v>
      </c>
      <c r="AI92">
        <v>3.6375382860461599E-3</v>
      </c>
      <c r="AJ92">
        <v>3.890945873340402E-3</v>
      </c>
      <c r="AK92">
        <v>4.473169894869837E-3</v>
      </c>
      <c r="AL92">
        <v>5.4126018946936633E-3</v>
      </c>
      <c r="AM92">
        <v>6.9628515647821715E-3</v>
      </c>
      <c r="AN92">
        <v>1.005699782334199E-2</v>
      </c>
      <c r="AO92">
        <v>1.4480361016608233E-2</v>
      </c>
      <c r="AP92">
        <v>2.0521814795574696E-2</v>
      </c>
      <c r="AQ92">
        <v>3.1036167623641205E-2</v>
      </c>
      <c r="AR92">
        <v>5.0489738733381799E-2</v>
      </c>
      <c r="AS92">
        <v>7.9389329796988248E-2</v>
      </c>
      <c r="AT92">
        <v>0.11621435000409117</v>
      </c>
      <c r="AU92">
        <v>0.15114298296929471</v>
      </c>
      <c r="AV92">
        <v>0.17523559165317509</v>
      </c>
      <c r="AW92">
        <v>0.18628638500862074</v>
      </c>
      <c r="AX92">
        <v>61.798999999999999</v>
      </c>
    </row>
    <row r="93" spans="1:50" x14ac:dyDescent="0.25">
      <c r="A93" t="s">
        <v>406</v>
      </c>
      <c r="B93" t="s">
        <v>407</v>
      </c>
      <c r="C93">
        <v>566</v>
      </c>
      <c r="D93" t="s">
        <v>207</v>
      </c>
      <c r="E93" t="s">
        <v>235</v>
      </c>
      <c r="F93" t="s">
        <v>211</v>
      </c>
      <c r="G93" t="s">
        <v>212</v>
      </c>
      <c r="H93" s="52">
        <v>206139587</v>
      </c>
      <c r="I93" s="52">
        <v>7853505.9855260001</v>
      </c>
      <c r="J93">
        <v>0.39399999999999996</v>
      </c>
      <c r="K93">
        <v>0</v>
      </c>
      <c r="L93">
        <v>0.56999999999999995</v>
      </c>
      <c r="M93">
        <v>5.67E-2</v>
      </c>
      <c r="N93">
        <v>0.28911156143757499</v>
      </c>
      <c r="O93">
        <v>0.38300000000000001</v>
      </c>
      <c r="P93">
        <f>VLOOKUP($F93,[2]!hbe_risk[#All],5,FALSE)</f>
        <v>4.8000000000000001E-2</v>
      </c>
      <c r="Q93">
        <v>4.1091533609958502</v>
      </c>
      <c r="R93">
        <v>26.434533360995854</v>
      </c>
      <c r="S93">
        <v>59.840013459129636</v>
      </c>
      <c r="T93">
        <v>62.018409562876137</v>
      </c>
      <c r="U93">
        <v>61.018136117463413</v>
      </c>
      <c r="V93">
        <v>1.0631672301987669</v>
      </c>
      <c r="W93">
        <v>5.8931672301987668</v>
      </c>
      <c r="X93">
        <v>0.64984275082839837</v>
      </c>
      <c r="Y93">
        <v>5.4798427508283982</v>
      </c>
      <c r="Z93">
        <v>5.4748749269607284</v>
      </c>
      <c r="AA93">
        <v>1.2692863189896608</v>
      </c>
      <c r="AB93">
        <v>6.0992863189896607</v>
      </c>
      <c r="AC93">
        <v>6.215649000000005E-2</v>
      </c>
      <c r="AD93">
        <v>1.0555281765504772E-2</v>
      </c>
      <c r="AE93">
        <v>5.9101558625263987E-3</v>
      </c>
      <c r="AF93">
        <v>3.2158941876073606E-3</v>
      </c>
      <c r="AG93">
        <v>5.0626435919828025E-3</v>
      </c>
      <c r="AH93">
        <v>6.1061216041154503E-3</v>
      </c>
      <c r="AI93">
        <v>6.7146600112912083E-3</v>
      </c>
      <c r="AJ93">
        <v>7.034360265270395E-3</v>
      </c>
      <c r="AK93">
        <v>7.7019431423796317E-3</v>
      </c>
      <c r="AL93">
        <v>8.7502968131791831E-3</v>
      </c>
      <c r="AM93">
        <v>1.013224062784799E-2</v>
      </c>
      <c r="AN93">
        <v>1.3380716895601642E-2</v>
      </c>
      <c r="AO93">
        <v>1.8313369924512542E-2</v>
      </c>
      <c r="AP93">
        <v>2.8183308143927499E-2</v>
      </c>
      <c r="AQ93">
        <v>4.241118343083778E-2</v>
      </c>
      <c r="AR93">
        <v>6.5708830847072533E-2</v>
      </c>
      <c r="AS93">
        <v>9.6904467648308887E-2</v>
      </c>
      <c r="AT93">
        <v>0.13262526670478461</v>
      </c>
      <c r="AU93">
        <v>0.16254099182753556</v>
      </c>
      <c r="AV93">
        <v>0.18085950585047419</v>
      </c>
      <c r="AW93">
        <v>0.18640937296393495</v>
      </c>
      <c r="AX93">
        <v>54.176000000000002</v>
      </c>
    </row>
    <row r="94" spans="1:50" x14ac:dyDescent="0.25">
      <c r="A94" t="s">
        <v>408</v>
      </c>
      <c r="B94" t="s">
        <v>409</v>
      </c>
      <c r="C94">
        <v>807</v>
      </c>
      <c r="D94" t="s">
        <v>201</v>
      </c>
      <c r="E94" t="s">
        <v>202</v>
      </c>
      <c r="F94" t="s">
        <v>203</v>
      </c>
      <c r="G94" t="s">
        <v>204</v>
      </c>
      <c r="H94" s="52">
        <v>2083380</v>
      </c>
      <c r="I94" s="52">
        <v>22679.67468</v>
      </c>
      <c r="J94">
        <v>0.99099999999999999</v>
      </c>
      <c r="K94">
        <v>0.97</v>
      </c>
      <c r="L94">
        <v>0.84</v>
      </c>
      <c r="M94">
        <v>2.87E-2</v>
      </c>
      <c r="N94">
        <v>0.28785778546712798</v>
      </c>
      <c r="O94">
        <v>0.8</v>
      </c>
      <c r="P94">
        <f>VLOOKUP($F94,[2]!hbe_risk[#All],5,FALSE)</f>
        <v>0.17499999999999999</v>
      </c>
      <c r="Q94">
        <v>9.0279689474066007</v>
      </c>
      <c r="R94">
        <v>31.353348947406602</v>
      </c>
      <c r="S94">
        <v>85.204233093560504</v>
      </c>
      <c r="T94">
        <v>98.023747413969502</v>
      </c>
      <c r="U94">
        <v>92.137297408050131</v>
      </c>
      <c r="V94">
        <v>6.218442680426314</v>
      </c>
      <c r="W94">
        <v>10.288442680426314</v>
      </c>
      <c r="X94">
        <v>5.7984300649565563</v>
      </c>
      <c r="Y94">
        <v>9.8684300649565557</v>
      </c>
      <c r="Z94">
        <v>9.8606879991119563</v>
      </c>
      <c r="AA94">
        <v>6.4269462351309024</v>
      </c>
      <c r="AB94">
        <v>10.496946235130903</v>
      </c>
      <c r="AC94">
        <v>1.0689299999999929E-2</v>
      </c>
      <c r="AD94">
        <v>2.8470833278163265E-4</v>
      </c>
      <c r="AE94">
        <v>1.3947401943468035E-4</v>
      </c>
      <c r="AF94">
        <v>1.8519791661506717E-4</v>
      </c>
      <c r="AG94">
        <v>2.9154437980480287E-4</v>
      </c>
      <c r="AH94">
        <v>3.1370898138433545E-4</v>
      </c>
      <c r="AI94">
        <v>4.6769149685376116E-4</v>
      </c>
      <c r="AJ94">
        <v>5.5872788768333251E-4</v>
      </c>
      <c r="AK94">
        <v>8.9107250634433259E-4</v>
      </c>
      <c r="AL94">
        <v>1.6274428777812763E-3</v>
      </c>
      <c r="AM94">
        <v>2.5136345377276231E-3</v>
      </c>
      <c r="AN94">
        <v>4.6889487105831202E-3</v>
      </c>
      <c r="AO94">
        <v>7.9706071269026232E-3</v>
      </c>
      <c r="AP94">
        <v>1.3170471970922691E-2</v>
      </c>
      <c r="AQ94">
        <v>2.0383363398228289E-2</v>
      </c>
      <c r="AR94">
        <v>3.2018214713456158E-2</v>
      </c>
      <c r="AS94">
        <v>5.6817453075315598E-2</v>
      </c>
      <c r="AT94">
        <v>9.1528949975634752E-2</v>
      </c>
      <c r="AU94">
        <v>0.12972083487733699</v>
      </c>
      <c r="AV94">
        <v>0.16675336952493727</v>
      </c>
      <c r="AW94">
        <v>0.18624753508657874</v>
      </c>
      <c r="AX94">
        <v>75.602999999999994</v>
      </c>
    </row>
    <row r="95" spans="1:50" x14ac:dyDescent="0.25">
      <c r="A95" t="s">
        <v>410</v>
      </c>
      <c r="B95" t="s">
        <v>411</v>
      </c>
      <c r="C95">
        <v>586</v>
      </c>
      <c r="D95" t="s">
        <v>196</v>
      </c>
      <c r="E95" t="s">
        <v>226</v>
      </c>
      <c r="F95" t="s">
        <v>226</v>
      </c>
      <c r="G95" t="s">
        <v>212</v>
      </c>
      <c r="H95" s="52">
        <v>220892331</v>
      </c>
      <c r="I95" s="52">
        <v>6300291.0647820001</v>
      </c>
      <c r="J95">
        <v>0.66200000000000003</v>
      </c>
      <c r="K95">
        <v>0</v>
      </c>
      <c r="L95">
        <v>0.77</v>
      </c>
      <c r="M95">
        <v>3.0099999999999998E-2</v>
      </c>
      <c r="N95">
        <v>0.26507967012826261</v>
      </c>
      <c r="O95">
        <v>0.8</v>
      </c>
      <c r="P95">
        <f>VLOOKUP($F95,[2]!hbe_risk[#All],5,FALSE)</f>
        <v>0.17499999999999999</v>
      </c>
      <c r="Q95">
        <v>3.2125396178344001</v>
      </c>
      <c r="R95">
        <v>25.537919617834401</v>
      </c>
      <c r="S95">
        <v>57.344633537608793</v>
      </c>
      <c r="T95">
        <v>58.690927724231699</v>
      </c>
      <c r="U95">
        <v>58.072737890768273</v>
      </c>
      <c r="V95">
        <v>1.3426230307108009</v>
      </c>
      <c r="W95">
        <v>3.1524704917190651</v>
      </c>
      <c r="X95">
        <v>0.93414247864913547</v>
      </c>
      <c r="Y95">
        <v>2.7439899396573999</v>
      </c>
      <c r="Z95">
        <v>2.7407338810647843</v>
      </c>
      <c r="AA95">
        <v>1.5470151541133745</v>
      </c>
      <c r="AB95">
        <v>3.3568626151216385</v>
      </c>
      <c r="AC95">
        <v>6.1333549999999959E-2</v>
      </c>
      <c r="AD95">
        <v>3.6129553794108892E-3</v>
      </c>
      <c r="AE95">
        <v>1.0619705193057707E-3</v>
      </c>
      <c r="AF95">
        <v>6.8420954367996202E-4</v>
      </c>
      <c r="AG95">
        <v>9.0135788389363882E-4</v>
      </c>
      <c r="AH95">
        <v>1.2077077563812004E-3</v>
      </c>
      <c r="AI95">
        <v>1.3477014775401645E-3</v>
      </c>
      <c r="AJ95">
        <v>1.6936719012837615E-3</v>
      </c>
      <c r="AK95">
        <v>2.2590628339365332E-3</v>
      </c>
      <c r="AL95">
        <v>3.1841570458575586E-3</v>
      </c>
      <c r="AM95">
        <v>4.6948988446102128E-3</v>
      </c>
      <c r="AN95">
        <v>7.1550045387534346E-3</v>
      </c>
      <c r="AO95">
        <v>1.1082944675981268E-2</v>
      </c>
      <c r="AP95">
        <v>1.7741453448018207E-2</v>
      </c>
      <c r="AQ95">
        <v>2.7639274904056904E-2</v>
      </c>
      <c r="AR95">
        <v>4.2169339516370995E-2</v>
      </c>
      <c r="AS95">
        <v>6.3864951916216758E-2</v>
      </c>
      <c r="AT95">
        <v>9.4417697921603955E-2</v>
      </c>
      <c r="AU95">
        <v>0.13203036500012194</v>
      </c>
      <c r="AV95">
        <v>0.16360120386365906</v>
      </c>
      <c r="AW95">
        <v>0.18117845350801109</v>
      </c>
      <c r="AX95">
        <v>67.016999999999996</v>
      </c>
    </row>
    <row r="96" spans="1:50" x14ac:dyDescent="0.25">
      <c r="A96" t="s">
        <v>412</v>
      </c>
      <c r="B96" t="s">
        <v>413</v>
      </c>
      <c r="C96">
        <v>275</v>
      </c>
      <c r="D96" t="s">
        <v>196</v>
      </c>
      <c r="E96" t="s">
        <v>197</v>
      </c>
      <c r="F96" t="s">
        <v>197</v>
      </c>
      <c r="G96" t="s">
        <v>212</v>
      </c>
      <c r="H96" s="52">
        <v>5101416</v>
      </c>
      <c r="I96" s="52">
        <v>150114.26721600001</v>
      </c>
      <c r="J96">
        <v>0.99299999999999999</v>
      </c>
      <c r="K96">
        <v>0.99</v>
      </c>
      <c r="L96">
        <v>0.99</v>
      </c>
      <c r="M96">
        <v>0</v>
      </c>
      <c r="N96">
        <v>0</v>
      </c>
      <c r="O96">
        <v>0.8</v>
      </c>
      <c r="P96">
        <f>VLOOKUP($F96,[2]!hbe_risk[#All],5,FALSE)</f>
        <v>0.17499999999999999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1.7460470000000058E-2</v>
      </c>
      <c r="AD96">
        <v>7.4073864488685887E-4</v>
      </c>
      <c r="AE96">
        <v>3.4575358484691089E-4</v>
      </c>
      <c r="AF96">
        <v>2.8989254866038777E-4</v>
      </c>
      <c r="AG96">
        <v>5.3542933720537921E-4</v>
      </c>
      <c r="AH96">
        <v>7.4845441486471589E-4</v>
      </c>
      <c r="AI96">
        <v>8.0682837486210641E-4</v>
      </c>
      <c r="AJ96">
        <v>9.5173952660739143E-4</v>
      </c>
      <c r="AK96">
        <v>1.2720951211125267E-3</v>
      </c>
      <c r="AL96">
        <v>1.9246599931460912E-3</v>
      </c>
      <c r="AM96">
        <v>3.212954825090839E-3</v>
      </c>
      <c r="AN96">
        <v>5.2190032385301894E-3</v>
      </c>
      <c r="AO96">
        <v>8.5994648304891976E-3</v>
      </c>
      <c r="AP96">
        <v>1.3737244480887655E-2</v>
      </c>
      <c r="AQ96">
        <v>2.272003479426319E-2</v>
      </c>
      <c r="AR96">
        <v>3.7139162675311227E-2</v>
      </c>
      <c r="AS96">
        <v>5.8500772115384979E-2</v>
      </c>
      <c r="AT96">
        <v>8.9398134198135609E-2</v>
      </c>
      <c r="AU96">
        <v>0.12462482607452673</v>
      </c>
      <c r="AV96">
        <v>0.15492547024658945</v>
      </c>
      <c r="AW96">
        <v>0.17603319334635315</v>
      </c>
      <c r="AX96">
        <v>73.816000000000003</v>
      </c>
    </row>
    <row r="97" spans="1:50" x14ac:dyDescent="0.25">
      <c r="A97" t="s">
        <v>414</v>
      </c>
      <c r="B97" t="s">
        <v>415</v>
      </c>
      <c r="C97">
        <v>598</v>
      </c>
      <c r="D97" t="s">
        <v>260</v>
      </c>
      <c r="E97" t="s">
        <v>309</v>
      </c>
      <c r="F97" t="s">
        <v>262</v>
      </c>
      <c r="G97" t="s">
        <v>212</v>
      </c>
      <c r="H97" s="52">
        <v>8947027</v>
      </c>
      <c r="I97" s="52">
        <v>243618.59818299999</v>
      </c>
      <c r="J97">
        <v>0.54700000000000004</v>
      </c>
      <c r="K97">
        <v>0.24</v>
      </c>
      <c r="L97">
        <v>0.39</v>
      </c>
      <c r="M97">
        <v>5.8700000000000002E-2</v>
      </c>
      <c r="N97">
        <v>0.32942031694951168</v>
      </c>
      <c r="O97">
        <v>0.8</v>
      </c>
      <c r="P97">
        <f>VLOOKUP($F97,[2]!hbe_risk[#All],5,FALSE)</f>
        <v>0.17499999999999999</v>
      </c>
      <c r="Q97">
        <v>5.2108866666666698</v>
      </c>
      <c r="R97">
        <v>27.536266666666673</v>
      </c>
      <c r="S97">
        <v>63.170494856349762</v>
      </c>
      <c r="T97">
        <v>66.508876444444439</v>
      </c>
      <c r="U97">
        <v>64.975962183588564</v>
      </c>
      <c r="V97">
        <v>1.8324275104887422</v>
      </c>
      <c r="W97">
        <v>2.4624275104887423</v>
      </c>
      <c r="X97">
        <v>1.4155859021506672</v>
      </c>
      <c r="Y97">
        <v>2.045585902150667</v>
      </c>
      <c r="Z97">
        <v>2.0393770567503706</v>
      </c>
      <c r="AA97">
        <v>2.0398005322159491</v>
      </c>
      <c r="AB97">
        <v>2.669800532215949</v>
      </c>
      <c r="AC97">
        <v>4.1960449999999982E-2</v>
      </c>
      <c r="AD97">
        <v>2.8868510699793046E-3</v>
      </c>
      <c r="AE97">
        <v>1.1712305312523608E-3</v>
      </c>
      <c r="AF97">
        <v>9.248048587818115E-4</v>
      </c>
      <c r="AG97">
        <v>1.6757583340141643E-3</v>
      </c>
      <c r="AH97">
        <v>2.2605603074540904E-3</v>
      </c>
      <c r="AI97">
        <v>2.4566479965569413E-3</v>
      </c>
      <c r="AJ97">
        <v>2.8560635238641728E-3</v>
      </c>
      <c r="AK97">
        <v>3.6425364864785927E-3</v>
      </c>
      <c r="AL97">
        <v>4.8603904915195039E-3</v>
      </c>
      <c r="AM97">
        <v>6.8645362056300981E-3</v>
      </c>
      <c r="AN97">
        <v>9.99024337893069E-3</v>
      </c>
      <c r="AO97">
        <v>1.4667525481532696E-2</v>
      </c>
      <c r="AP97">
        <v>2.42748708132936E-2</v>
      </c>
      <c r="AQ97">
        <v>3.9886843246269926E-2</v>
      </c>
      <c r="AR97">
        <v>6.1973035660190877E-2</v>
      </c>
      <c r="AS97">
        <v>8.9624425079758457E-2</v>
      </c>
      <c r="AT97">
        <v>0.12175499341576297</v>
      </c>
      <c r="AU97">
        <v>0.15312804646691991</v>
      </c>
      <c r="AV97">
        <v>0.17494144093367678</v>
      </c>
      <c r="AW97">
        <v>0.18642112453012549</v>
      </c>
      <c r="AX97">
        <v>64.150999999999996</v>
      </c>
    </row>
    <row r="98" spans="1:50" x14ac:dyDescent="0.25">
      <c r="A98" t="s">
        <v>416</v>
      </c>
      <c r="B98" t="s">
        <v>417</v>
      </c>
      <c r="C98">
        <v>600</v>
      </c>
      <c r="D98" t="s">
        <v>215</v>
      </c>
      <c r="E98" t="s">
        <v>248</v>
      </c>
      <c r="F98" t="s">
        <v>217</v>
      </c>
      <c r="G98" t="s">
        <v>204</v>
      </c>
      <c r="H98" s="52">
        <v>7132530</v>
      </c>
      <c r="I98" s="52">
        <v>147757.49148</v>
      </c>
      <c r="J98">
        <v>0.93200000000000005</v>
      </c>
      <c r="K98">
        <v>0</v>
      </c>
      <c r="L98">
        <v>0.79</v>
      </c>
      <c r="M98">
        <v>2.0899999999999998E-2</v>
      </c>
      <c r="N98">
        <v>0.30916794199950548</v>
      </c>
      <c r="O98">
        <v>0.8</v>
      </c>
      <c r="P98">
        <f>VLOOKUP($F98,[2]!hbe_risk[#All],5,FALSE)</f>
        <v>0.17499999999999999</v>
      </c>
      <c r="Q98">
        <v>6.6632907355435602</v>
      </c>
      <c r="R98">
        <v>28.988670735543565</v>
      </c>
      <c r="S98">
        <v>71.19219946501471</v>
      </c>
      <c r="T98">
        <v>77.94967237947715</v>
      </c>
      <c r="U98">
        <v>74.846783651936931</v>
      </c>
      <c r="V98">
        <v>4.4919126219436567</v>
      </c>
      <c r="W98">
        <v>4.5119126219436563</v>
      </c>
      <c r="X98">
        <v>4.0747854921079769</v>
      </c>
      <c r="Y98">
        <v>4.0947854921079765</v>
      </c>
      <c r="Z98">
        <v>4.0881890924187125</v>
      </c>
      <c r="AA98">
        <v>4.6993874382917484</v>
      </c>
      <c r="AB98">
        <v>4.719387438291748</v>
      </c>
      <c r="AC98">
        <v>1.9024909999999947E-2</v>
      </c>
      <c r="AD98">
        <v>6.278472371811307E-4</v>
      </c>
      <c r="AE98">
        <v>5.5158882755264598E-4</v>
      </c>
      <c r="AF98">
        <v>4.4901030197594676E-4</v>
      </c>
      <c r="AG98">
        <v>1.0518106076171873E-3</v>
      </c>
      <c r="AH98">
        <v>1.5998030442320856E-3</v>
      </c>
      <c r="AI98">
        <v>1.9494092279500465E-3</v>
      </c>
      <c r="AJ98">
        <v>1.9855513743289219E-3</v>
      </c>
      <c r="AK98">
        <v>2.3511564587472703E-3</v>
      </c>
      <c r="AL98">
        <v>2.8780787796453219E-3</v>
      </c>
      <c r="AM98">
        <v>4.2017750305114133E-3</v>
      </c>
      <c r="AN98">
        <v>6.0993079365806143E-3</v>
      </c>
      <c r="AO98">
        <v>8.5341548530337569E-3</v>
      </c>
      <c r="AP98">
        <v>1.3219074302824709E-2</v>
      </c>
      <c r="AQ98">
        <v>1.9267994677544E-2</v>
      </c>
      <c r="AR98">
        <v>2.770434970007523E-2</v>
      </c>
      <c r="AS98">
        <v>3.8953956844954209E-2</v>
      </c>
      <c r="AT98">
        <v>6.9897340351625897E-2</v>
      </c>
      <c r="AU98">
        <v>9.9908909951128749E-2</v>
      </c>
      <c r="AV98">
        <v>0.12902920587158662</v>
      </c>
      <c r="AW98">
        <v>0.15310330880431902</v>
      </c>
      <c r="AX98">
        <v>74.081999999999994</v>
      </c>
    </row>
    <row r="99" spans="1:50" x14ac:dyDescent="0.25">
      <c r="A99" t="s">
        <v>418</v>
      </c>
      <c r="B99" t="s">
        <v>419</v>
      </c>
      <c r="C99">
        <v>604</v>
      </c>
      <c r="D99" t="s">
        <v>215</v>
      </c>
      <c r="E99" t="s">
        <v>240</v>
      </c>
      <c r="F99" t="s">
        <v>217</v>
      </c>
      <c r="G99" t="s">
        <v>204</v>
      </c>
      <c r="H99" s="52">
        <v>32971845.999999996</v>
      </c>
      <c r="I99" s="52">
        <v>596724.46890799992</v>
      </c>
      <c r="J99">
        <v>0.91</v>
      </c>
      <c r="K99">
        <v>0.75</v>
      </c>
      <c r="L99">
        <v>0.72</v>
      </c>
      <c r="M99">
        <v>1.1599999999999999E-2</v>
      </c>
      <c r="N99">
        <v>0.29833830716733062</v>
      </c>
      <c r="O99">
        <v>0.8</v>
      </c>
      <c r="P99">
        <f>VLOOKUP($F99,[2]!hbe_risk[#All],5,FALSE)</f>
        <v>0.17499999999999999</v>
      </c>
      <c r="Q99">
        <v>10.15812683390547</v>
      </c>
      <c r="R99">
        <v>32.483506833905473</v>
      </c>
      <c r="S99">
        <v>88.591907212121839</v>
      </c>
      <c r="T99">
        <v>102.58637982853659</v>
      </c>
      <c r="U99">
        <v>96.160413808545854</v>
      </c>
      <c r="V99">
        <v>3.1891122875000093</v>
      </c>
      <c r="W99">
        <v>3.2091122875000093</v>
      </c>
      <c r="X99">
        <v>2.7687628547106442</v>
      </c>
      <c r="Y99">
        <v>2.7887628547106442</v>
      </c>
      <c r="Z99">
        <v>2.7810435926625172</v>
      </c>
      <c r="AA99">
        <v>3.3977359249011538</v>
      </c>
      <c r="AB99">
        <v>3.4177359249011539</v>
      </c>
      <c r="AC99">
        <v>1.2787390000000015E-2</v>
      </c>
      <c r="AD99">
        <v>8.7522433490795247E-4</v>
      </c>
      <c r="AE99">
        <v>4.9495175879300042E-4</v>
      </c>
      <c r="AF99">
        <v>3.3588977610933221E-4</v>
      </c>
      <c r="AG99">
        <v>7.9450728213790762E-4</v>
      </c>
      <c r="AH99">
        <v>1.1802881596356459E-3</v>
      </c>
      <c r="AI99">
        <v>1.5314102741404792E-3</v>
      </c>
      <c r="AJ99">
        <v>1.6834351931294556E-3</v>
      </c>
      <c r="AK99">
        <v>2.0130924493192257E-3</v>
      </c>
      <c r="AL99">
        <v>2.5656252273752395E-3</v>
      </c>
      <c r="AM99">
        <v>3.422439258637406E-3</v>
      </c>
      <c r="AN99">
        <v>4.7595238704757313E-3</v>
      </c>
      <c r="AO99">
        <v>6.7924367911430502E-3</v>
      </c>
      <c r="AP99">
        <v>1.0242694670813113E-2</v>
      </c>
      <c r="AQ99">
        <v>1.5274182462903733E-2</v>
      </c>
      <c r="AR99">
        <v>2.5769485758631069E-2</v>
      </c>
      <c r="AS99">
        <v>3.9878393519136877E-2</v>
      </c>
      <c r="AT99">
        <v>6.2565796568882795E-2</v>
      </c>
      <c r="AU99">
        <v>9.315916672397026E-2</v>
      </c>
      <c r="AV99">
        <v>0.12365207423575721</v>
      </c>
      <c r="AW99">
        <v>0.14992852678644919</v>
      </c>
      <c r="AX99">
        <v>76.409000000000006</v>
      </c>
    </row>
    <row r="100" spans="1:50" x14ac:dyDescent="0.25">
      <c r="A100" t="s">
        <v>420</v>
      </c>
      <c r="B100" t="s">
        <v>421</v>
      </c>
      <c r="C100">
        <v>608</v>
      </c>
      <c r="D100" t="s">
        <v>260</v>
      </c>
      <c r="E100" t="s">
        <v>261</v>
      </c>
      <c r="F100" t="s">
        <v>262</v>
      </c>
      <c r="G100" t="s">
        <v>212</v>
      </c>
      <c r="H100" s="52">
        <v>109581085</v>
      </c>
      <c r="I100" s="52">
        <v>2254740.40496</v>
      </c>
      <c r="J100">
        <v>0.77700000000000002</v>
      </c>
      <c r="K100">
        <v>0.53</v>
      </c>
      <c r="L100">
        <v>0.71</v>
      </c>
      <c r="M100">
        <v>3.5000000000000003E-2</v>
      </c>
      <c r="N100">
        <v>0.3337</v>
      </c>
      <c r="O100">
        <v>0.8</v>
      </c>
      <c r="P100">
        <f>VLOOKUP($F100,[2]!hbe_risk[#All],5,FALSE)</f>
        <v>0.17499999999999999</v>
      </c>
      <c r="Q100">
        <v>4.8014001046077199</v>
      </c>
      <c r="R100">
        <v>27.126780104607722</v>
      </c>
      <c r="S100">
        <v>63.102564361891346</v>
      </c>
      <c r="T100">
        <v>66.618713945395626</v>
      </c>
      <c r="U100">
        <v>65.0041723785844</v>
      </c>
      <c r="V100">
        <v>1.4258606056861733</v>
      </c>
      <c r="W100">
        <v>2.0558606056861732</v>
      </c>
      <c r="X100">
        <v>1.0060032533679539</v>
      </c>
      <c r="Y100">
        <v>1.6360032533679538</v>
      </c>
      <c r="Z100">
        <v>1.6286615943893681</v>
      </c>
      <c r="AA100">
        <v>1.634308805701953</v>
      </c>
      <c r="AB100">
        <v>2.2643088057019529</v>
      </c>
      <c r="AC100">
        <v>1.9655559999999968E-2</v>
      </c>
      <c r="AD100">
        <v>2.0443376003642061E-3</v>
      </c>
      <c r="AE100">
        <v>6.1298667768243517E-4</v>
      </c>
      <c r="AF100">
        <v>5.320691429917348E-4</v>
      </c>
      <c r="AG100">
        <v>1.1381458381625571E-3</v>
      </c>
      <c r="AH100">
        <v>1.5920150741009446E-3</v>
      </c>
      <c r="AI100">
        <v>1.7398898876981228E-3</v>
      </c>
      <c r="AJ100">
        <v>2.0763306089954213E-3</v>
      </c>
      <c r="AK100">
        <v>2.7556563770900324E-3</v>
      </c>
      <c r="AL100">
        <v>3.8685630787111411E-3</v>
      </c>
      <c r="AM100">
        <v>5.7316624437884853E-3</v>
      </c>
      <c r="AN100">
        <v>8.5754099849576666E-3</v>
      </c>
      <c r="AO100">
        <v>1.2794705988173357E-2</v>
      </c>
      <c r="AP100">
        <v>1.7438643523268835E-2</v>
      </c>
      <c r="AQ100">
        <v>2.3532339127382024E-2</v>
      </c>
      <c r="AR100">
        <v>3.3756875691732344E-2</v>
      </c>
      <c r="AS100">
        <v>5.1734961024254754E-2</v>
      </c>
      <c r="AT100">
        <v>7.5994633645582468E-2</v>
      </c>
      <c r="AU100">
        <v>0.10475854851534883</v>
      </c>
      <c r="AV100">
        <v>0.13224402180451308</v>
      </c>
      <c r="AW100">
        <v>0.15679146956316309</v>
      </c>
      <c r="AX100">
        <v>71.034999999999997</v>
      </c>
    </row>
    <row r="101" spans="1:50" x14ac:dyDescent="0.25">
      <c r="A101" t="s">
        <v>422</v>
      </c>
      <c r="B101" t="s">
        <v>423</v>
      </c>
      <c r="C101">
        <v>642</v>
      </c>
      <c r="D101" t="s">
        <v>201</v>
      </c>
      <c r="E101" t="s">
        <v>202</v>
      </c>
      <c r="F101" t="s">
        <v>203</v>
      </c>
      <c r="G101" t="s">
        <v>204</v>
      </c>
      <c r="H101" s="52">
        <v>19237682</v>
      </c>
      <c r="I101" s="52">
        <v>188221.48068800001</v>
      </c>
      <c r="J101">
        <v>0.94900000000000007</v>
      </c>
      <c r="K101">
        <v>0.97</v>
      </c>
      <c r="L101">
        <v>0.87</v>
      </c>
      <c r="M101">
        <v>4.0999999999999995E-2</v>
      </c>
      <c r="N101">
        <v>0.29652203627996709</v>
      </c>
      <c r="O101">
        <v>0.8</v>
      </c>
      <c r="P101">
        <f>VLOOKUP($F101,[2]!hbe_risk[#All],5,FALSE)</f>
        <v>0.17499999999999999</v>
      </c>
      <c r="Q101">
        <v>13.583431703703701</v>
      </c>
      <c r="R101">
        <v>35.908811703703705</v>
      </c>
      <c r="S101">
        <v>110.06974821114966</v>
      </c>
      <c r="T101">
        <v>133.45993492597597</v>
      </c>
      <c r="U101">
        <v>122.71965559208999</v>
      </c>
      <c r="V101">
        <v>4.3723346525692088</v>
      </c>
      <c r="W101">
        <v>8.4423346525692082</v>
      </c>
      <c r="X101">
        <v>3.9311170442037673</v>
      </c>
      <c r="Y101">
        <v>8.0011170442037667</v>
      </c>
      <c r="Z101">
        <v>7.9853305548730065</v>
      </c>
      <c r="AA101">
        <v>4.5883982482192156</v>
      </c>
      <c r="AB101">
        <v>8.6583982482192159</v>
      </c>
      <c r="AC101">
        <v>6.6842399999999906E-3</v>
      </c>
      <c r="AD101">
        <v>3.0318405498771953E-4</v>
      </c>
      <c r="AE101">
        <v>1.425041970852647E-4</v>
      </c>
      <c r="AF101">
        <v>1.9484080676153404E-4</v>
      </c>
      <c r="AG101">
        <v>3.6115118315283815E-4</v>
      </c>
      <c r="AH101">
        <v>4.6925407599540003E-4</v>
      </c>
      <c r="AI101">
        <v>6.5122811246581824E-4</v>
      </c>
      <c r="AJ101">
        <v>7.452833973323812E-4</v>
      </c>
      <c r="AK101">
        <v>1.2024848958624565E-3</v>
      </c>
      <c r="AL101">
        <v>2.244420495152142E-3</v>
      </c>
      <c r="AM101">
        <v>3.5371117722346442E-3</v>
      </c>
      <c r="AN101">
        <v>6.3403521554464513E-3</v>
      </c>
      <c r="AO101">
        <v>1.0636469267600703E-2</v>
      </c>
      <c r="AP101">
        <v>1.5360327551154048E-2</v>
      </c>
      <c r="AQ101">
        <v>1.9967948167314984E-2</v>
      </c>
      <c r="AR101">
        <v>2.892221027925896E-2</v>
      </c>
      <c r="AS101">
        <v>4.6247457209238875E-2</v>
      </c>
      <c r="AT101">
        <v>7.3521818180244697E-2</v>
      </c>
      <c r="AU101">
        <v>0.10865451213048771</v>
      </c>
      <c r="AV101">
        <v>0.1428225858078819</v>
      </c>
      <c r="AW101">
        <v>0.16836792437782133</v>
      </c>
      <c r="AX101">
        <v>75.826999999999998</v>
      </c>
    </row>
    <row r="102" spans="1:50" x14ac:dyDescent="0.25">
      <c r="A102" t="s">
        <v>424</v>
      </c>
      <c r="B102" t="s">
        <v>425</v>
      </c>
      <c r="C102">
        <v>643</v>
      </c>
      <c r="D102" t="s">
        <v>201</v>
      </c>
      <c r="E102" t="s">
        <v>229</v>
      </c>
      <c r="F102" t="s">
        <v>203</v>
      </c>
      <c r="G102" t="s">
        <v>204</v>
      </c>
      <c r="H102" s="52">
        <v>145934460</v>
      </c>
      <c r="I102" s="52">
        <v>1863583.0541999999</v>
      </c>
      <c r="J102">
        <v>0.98699999999999999</v>
      </c>
      <c r="K102">
        <v>0</v>
      </c>
      <c r="L102">
        <v>0.97</v>
      </c>
      <c r="M102">
        <v>3.2000000000000001E-2</v>
      </c>
      <c r="N102">
        <v>0.28539878311890399</v>
      </c>
      <c r="O102">
        <v>0.8</v>
      </c>
      <c r="P102">
        <f>VLOOKUP($F102,[2]!hbe_risk[#All],5,FALSE)</f>
        <v>0.17499999999999999</v>
      </c>
      <c r="Q102">
        <v>17.878843174790699</v>
      </c>
      <c r="R102">
        <v>40.204223174790705</v>
      </c>
      <c r="S102">
        <v>138.68971840835459</v>
      </c>
      <c r="T102">
        <v>174.73998776888612</v>
      </c>
      <c r="U102">
        <v>158.18646608414846</v>
      </c>
      <c r="V102">
        <v>4.0883492383646933</v>
      </c>
      <c r="W102">
        <v>8.1583492383646927</v>
      </c>
      <c r="X102">
        <v>3.655652659121837</v>
      </c>
      <c r="Y102">
        <v>7.7256526591218373</v>
      </c>
      <c r="Z102">
        <v>7.713152125203715</v>
      </c>
      <c r="AA102">
        <v>4.3013749018927347</v>
      </c>
      <c r="AB102">
        <v>8.3713749018927359</v>
      </c>
      <c r="AC102">
        <v>5.7585300000000282E-3</v>
      </c>
      <c r="AD102">
        <v>3.4070948579522677E-4</v>
      </c>
      <c r="AE102">
        <v>1.9714841922312582E-4</v>
      </c>
      <c r="AF102">
        <v>2.5998183802878542E-4</v>
      </c>
      <c r="AG102">
        <v>6.2632596472367275E-4</v>
      </c>
      <c r="AH102">
        <v>1.1106532732919165E-3</v>
      </c>
      <c r="AI102">
        <v>1.7836849479177434E-3</v>
      </c>
      <c r="AJ102">
        <v>2.9934016833225176E-3</v>
      </c>
      <c r="AK102">
        <v>4.3898125745385399E-3</v>
      </c>
      <c r="AL102">
        <v>5.2677703075963362E-3</v>
      </c>
      <c r="AM102">
        <v>6.4730403752590159E-3</v>
      </c>
      <c r="AN102">
        <v>8.8325844058803841E-3</v>
      </c>
      <c r="AO102">
        <v>1.233125297976251E-2</v>
      </c>
      <c r="AP102">
        <v>1.7735855405113039E-2</v>
      </c>
      <c r="AQ102">
        <v>2.3978999371009283E-2</v>
      </c>
      <c r="AR102">
        <v>3.3078415956344559E-2</v>
      </c>
      <c r="AS102">
        <v>4.968099062017043E-2</v>
      </c>
      <c r="AT102">
        <v>7.4722581691289675E-2</v>
      </c>
      <c r="AU102">
        <v>0.10067078718006313</v>
      </c>
      <c r="AV102">
        <v>0.13171700181276355</v>
      </c>
      <c r="AW102">
        <v>0.15851054982588345</v>
      </c>
      <c r="AX102">
        <v>72.289000000000001</v>
      </c>
    </row>
    <row r="103" spans="1:50" x14ac:dyDescent="0.25">
      <c r="A103" t="s">
        <v>426</v>
      </c>
      <c r="B103" t="s">
        <v>427</v>
      </c>
      <c r="C103">
        <v>646</v>
      </c>
      <c r="D103" t="s">
        <v>207</v>
      </c>
      <c r="E103" t="s">
        <v>255</v>
      </c>
      <c r="F103" t="s">
        <v>211</v>
      </c>
      <c r="G103" t="s">
        <v>198</v>
      </c>
      <c r="H103" s="52">
        <v>12952209</v>
      </c>
      <c r="I103" s="52">
        <v>415688.19564600004</v>
      </c>
      <c r="J103">
        <v>0.90700000000000003</v>
      </c>
      <c r="K103">
        <v>0</v>
      </c>
      <c r="L103">
        <v>0.91</v>
      </c>
      <c r="M103">
        <v>2.3399999999999997E-2</v>
      </c>
      <c r="N103">
        <v>0.27387499123711445</v>
      </c>
      <c r="O103">
        <v>0.38300000000000001</v>
      </c>
      <c r="P103">
        <f>VLOOKUP($F103,[2]!hbe_risk[#All],5,FALSE)</f>
        <v>4.8000000000000001E-2</v>
      </c>
      <c r="Q103">
        <v>3.0103232804232798</v>
      </c>
      <c r="R103">
        <v>25.335703280423282</v>
      </c>
      <c r="S103">
        <v>56.115851201083906</v>
      </c>
      <c r="T103">
        <v>56.927853664827708</v>
      </c>
      <c r="U103">
        <v>56.554999297022086</v>
      </c>
      <c r="V103">
        <v>3.2482030944392233</v>
      </c>
      <c r="W103">
        <v>8.0782030944392229</v>
      </c>
      <c r="X103">
        <v>2.8402700431690744</v>
      </c>
      <c r="Y103">
        <v>7.670270043169074</v>
      </c>
      <c r="Z103">
        <v>7.667612298956989</v>
      </c>
      <c r="AA103">
        <v>3.45240002190743</v>
      </c>
      <c r="AB103">
        <v>8.2824000219074296</v>
      </c>
      <c r="AC103">
        <v>2.9194640000000074E-2</v>
      </c>
      <c r="AD103">
        <v>2.372331875052668E-3</v>
      </c>
      <c r="AE103">
        <v>9.4840741728722004E-4</v>
      </c>
      <c r="AF103">
        <v>7.3420026532832936E-4</v>
      </c>
      <c r="AG103">
        <v>1.2829936877352555E-3</v>
      </c>
      <c r="AH103">
        <v>1.9313447668826878E-3</v>
      </c>
      <c r="AI103">
        <v>2.3316237896617836E-3</v>
      </c>
      <c r="AJ103">
        <v>2.8054859400679106E-3</v>
      </c>
      <c r="AK103">
        <v>3.5180393340914426E-3</v>
      </c>
      <c r="AL103">
        <v>4.5168423672066116E-3</v>
      </c>
      <c r="AM103">
        <v>5.8228290131631779E-3</v>
      </c>
      <c r="AN103">
        <v>8.4163911525236435E-3</v>
      </c>
      <c r="AO103">
        <v>1.1338638347218911E-2</v>
      </c>
      <c r="AP103">
        <v>1.6950235219521562E-2</v>
      </c>
      <c r="AQ103">
        <v>2.6078831522361286E-2</v>
      </c>
      <c r="AR103">
        <v>4.0339279421102249E-2</v>
      </c>
      <c r="AS103">
        <v>6.2420072920420594E-2</v>
      </c>
      <c r="AT103">
        <v>9.5041719036765657E-2</v>
      </c>
      <c r="AU103">
        <v>0.13453710787544573</v>
      </c>
      <c r="AV103">
        <v>0.17174648395894626</v>
      </c>
      <c r="AW103">
        <v>0.18710533626254214</v>
      </c>
      <c r="AX103">
        <v>68.438000000000002</v>
      </c>
    </row>
    <row r="104" spans="1:50" x14ac:dyDescent="0.25">
      <c r="A104" t="s">
        <v>428</v>
      </c>
      <c r="B104" t="s">
        <v>429</v>
      </c>
      <c r="C104">
        <v>662</v>
      </c>
      <c r="D104" t="s">
        <v>215</v>
      </c>
      <c r="E104" t="s">
        <v>232</v>
      </c>
      <c r="F104" t="s">
        <v>217</v>
      </c>
      <c r="G104" t="s">
        <v>204</v>
      </c>
      <c r="H104" s="52">
        <v>183629</v>
      </c>
      <c r="I104" s="52">
        <v>2223.0126740000001</v>
      </c>
      <c r="J104">
        <v>0.999</v>
      </c>
      <c r="K104">
        <v>0.86</v>
      </c>
      <c r="L104">
        <v>0.86</v>
      </c>
      <c r="M104">
        <v>1.3600000000000001E-2</v>
      </c>
      <c r="N104">
        <v>0.30422186902267961</v>
      </c>
      <c r="O104">
        <v>0.8</v>
      </c>
      <c r="P104">
        <f>VLOOKUP($F104,[2]!hbe_risk[#All],5,FALSE)</f>
        <v>0.17499999999999999</v>
      </c>
      <c r="Q104">
        <v>14.251496019828</v>
      </c>
      <c r="R104">
        <v>36.576876019827999</v>
      </c>
      <c r="S104">
        <v>108.50791396766374</v>
      </c>
      <c r="T104">
        <v>130.73751641972635</v>
      </c>
      <c r="U104">
        <v>120.53015284767534</v>
      </c>
      <c r="V104">
        <v>14.106798735642009</v>
      </c>
      <c r="W104">
        <v>14.126798735642009</v>
      </c>
      <c r="X104">
        <v>13.679039804225543</v>
      </c>
      <c r="Y104">
        <v>13.699039804225542</v>
      </c>
      <c r="Z104">
        <v>13.688874238141564</v>
      </c>
      <c r="AA104">
        <v>14.318064020379776</v>
      </c>
      <c r="AB104">
        <v>14.338064020379775</v>
      </c>
      <c r="AC104">
        <v>1.2490420000000012E-2</v>
      </c>
      <c r="AD104">
        <v>9.2312775335302464E-4</v>
      </c>
      <c r="AE104">
        <v>3.3742292970631696E-4</v>
      </c>
      <c r="AF104">
        <v>3.1346870856574597E-4</v>
      </c>
      <c r="AG104">
        <v>7.4059424133965563E-4</v>
      </c>
      <c r="AH104">
        <v>1.0104761307423585E-3</v>
      </c>
      <c r="AI104">
        <v>1.0727766082889746E-3</v>
      </c>
      <c r="AJ104">
        <v>1.2882669138309208E-3</v>
      </c>
      <c r="AK104">
        <v>1.7721116466167417E-3</v>
      </c>
      <c r="AL104">
        <v>2.6183216643979705E-3</v>
      </c>
      <c r="AM104">
        <v>4.0960461176379557E-3</v>
      </c>
      <c r="AN104">
        <v>6.43236570231818E-3</v>
      </c>
      <c r="AO104">
        <v>9.9748084184115276E-3</v>
      </c>
      <c r="AP104">
        <v>1.2586773384993059E-2</v>
      </c>
      <c r="AQ104">
        <v>1.6071267253651128E-2</v>
      </c>
      <c r="AR104">
        <v>2.3499034000018664E-2</v>
      </c>
      <c r="AS104">
        <v>3.9290589182046941E-2</v>
      </c>
      <c r="AT104">
        <v>6.2232041134619775E-2</v>
      </c>
      <c r="AU104">
        <v>9.2049360282274645E-2</v>
      </c>
      <c r="AV104">
        <v>0.12202210839818785</v>
      </c>
      <c r="AW104">
        <v>0.14660362315352721</v>
      </c>
      <c r="AX104">
        <v>75.992000000000004</v>
      </c>
    </row>
    <row r="105" spans="1:50" x14ac:dyDescent="0.25">
      <c r="A105" t="s">
        <v>430</v>
      </c>
      <c r="B105" t="s">
        <v>431</v>
      </c>
      <c r="C105">
        <v>670</v>
      </c>
      <c r="D105" t="s">
        <v>215</v>
      </c>
      <c r="E105" t="s">
        <v>232</v>
      </c>
      <c r="F105" t="s">
        <v>217</v>
      </c>
      <c r="G105" t="s">
        <v>204</v>
      </c>
      <c r="H105" s="52">
        <v>110947</v>
      </c>
      <c r="I105" s="52">
        <v>1590.536192</v>
      </c>
      <c r="J105">
        <v>0</v>
      </c>
      <c r="K105">
        <v>0.96</v>
      </c>
      <c r="L105">
        <v>0.97</v>
      </c>
      <c r="M105">
        <v>1.4499999999999999E-2</v>
      </c>
      <c r="N105">
        <v>0.3100986815415821</v>
      </c>
      <c r="O105">
        <v>0.8</v>
      </c>
      <c r="P105">
        <f>VLOOKUP($F105,[2]!hbe_risk[#All],5,FALSE)</f>
        <v>0.17499999999999999</v>
      </c>
      <c r="Q105">
        <v>12.9295952200766</v>
      </c>
      <c r="R105">
        <v>35.254975220076602</v>
      </c>
      <c r="S105">
        <v>101.77700518656945</v>
      </c>
      <c r="T105">
        <v>121.19140803537871</v>
      </c>
      <c r="U105">
        <v>112.2767246154028</v>
      </c>
      <c r="V105">
        <v>15.406179427132036</v>
      </c>
      <c r="W105">
        <v>15.426179427132036</v>
      </c>
      <c r="X105">
        <v>14.983460636602995</v>
      </c>
      <c r="Y105">
        <v>15.003460636602995</v>
      </c>
      <c r="Z105">
        <v>14.995408728551197</v>
      </c>
      <c r="AA105">
        <v>15.615647792075151</v>
      </c>
      <c r="AB105">
        <v>15.635647792075151</v>
      </c>
      <c r="AC105">
        <v>1.4663530000000029E-2</v>
      </c>
      <c r="AD105">
        <v>3.4021119709491893E-4</v>
      </c>
      <c r="AE105">
        <v>4.2637996402383369E-4</v>
      </c>
      <c r="AF105">
        <v>4.1149089039611527E-4</v>
      </c>
      <c r="AG105">
        <v>9.9843491675323634E-4</v>
      </c>
      <c r="AH105">
        <v>1.4048347182713413E-3</v>
      </c>
      <c r="AI105">
        <v>1.5309211275176661E-3</v>
      </c>
      <c r="AJ105">
        <v>1.8245563678469204E-3</v>
      </c>
      <c r="AK105">
        <v>2.4303381208869196E-3</v>
      </c>
      <c r="AL105">
        <v>3.4715823014823954E-3</v>
      </c>
      <c r="AM105">
        <v>5.2094440885795262E-3</v>
      </c>
      <c r="AN105">
        <v>7.8502048685519903E-3</v>
      </c>
      <c r="AO105">
        <v>1.1806079853077847E-2</v>
      </c>
      <c r="AP105">
        <v>1.6595125843905906E-2</v>
      </c>
      <c r="AQ105">
        <v>2.3201225558910875E-2</v>
      </c>
      <c r="AR105">
        <v>3.4377183914039114E-2</v>
      </c>
      <c r="AS105">
        <v>5.3208603413858246E-2</v>
      </c>
      <c r="AT105">
        <v>7.9564291851780072E-2</v>
      </c>
      <c r="AU105">
        <v>0.11207246301287309</v>
      </c>
      <c r="AV105">
        <v>0.14369697243231228</v>
      </c>
      <c r="AW105">
        <v>0.1687400645780878</v>
      </c>
      <c r="AX105">
        <v>72.36</v>
      </c>
    </row>
    <row r="106" spans="1:50" x14ac:dyDescent="0.25">
      <c r="A106" t="s">
        <v>432</v>
      </c>
      <c r="B106" t="s">
        <v>433</v>
      </c>
      <c r="C106">
        <v>882</v>
      </c>
      <c r="D106" t="s">
        <v>260</v>
      </c>
      <c r="E106" t="s">
        <v>309</v>
      </c>
      <c r="F106" t="s">
        <v>262</v>
      </c>
      <c r="G106" t="s">
        <v>204</v>
      </c>
      <c r="H106" s="52">
        <v>198410</v>
      </c>
      <c r="I106" s="52">
        <v>4868.3861699999998</v>
      </c>
      <c r="J106">
        <v>0.81900000000000006</v>
      </c>
      <c r="K106">
        <v>0.79</v>
      </c>
      <c r="L106">
        <v>0.72</v>
      </c>
      <c r="M106">
        <v>2.81E-2</v>
      </c>
      <c r="N106">
        <v>0.32058968887779721</v>
      </c>
      <c r="O106">
        <v>0.8</v>
      </c>
      <c r="P106">
        <f>VLOOKUP($F106,[2]!hbe_risk[#All],5,FALSE)</f>
        <v>0.17499999999999999</v>
      </c>
      <c r="Q106">
        <v>7.1924612300683402</v>
      </c>
      <c r="R106">
        <v>29.517841230068342</v>
      </c>
      <c r="S106">
        <v>71.476892958509268</v>
      </c>
      <c r="T106">
        <v>78.107124138687183</v>
      </c>
      <c r="U106">
        <v>75.062662125982797</v>
      </c>
      <c r="V106">
        <v>2.4545518047434749</v>
      </c>
      <c r="W106">
        <v>3.0845518047434748</v>
      </c>
      <c r="X106">
        <v>2.0302306100912508</v>
      </c>
      <c r="Y106">
        <v>2.6602306100912507</v>
      </c>
      <c r="Z106">
        <v>2.6511202260320021</v>
      </c>
      <c r="AA106">
        <v>2.6645914615913782</v>
      </c>
      <c r="AB106">
        <v>3.2945914615913781</v>
      </c>
      <c r="AC106">
        <v>1.3451919999999954E-2</v>
      </c>
      <c r="AD106">
        <v>6.925258016821634E-4</v>
      </c>
      <c r="AE106">
        <v>2.7272193913159863E-4</v>
      </c>
      <c r="AF106">
        <v>2.4867230542658183E-4</v>
      </c>
      <c r="AG106">
        <v>5.7632282540880791E-4</v>
      </c>
      <c r="AH106">
        <v>7.4883444767236248E-4</v>
      </c>
      <c r="AI106">
        <v>7.6641544443991705E-4</v>
      </c>
      <c r="AJ106">
        <v>9.1812391512278697E-4</v>
      </c>
      <c r="AK106">
        <v>1.2856951280974299E-3</v>
      </c>
      <c r="AL106">
        <v>1.9815388611344529E-3</v>
      </c>
      <c r="AM106">
        <v>3.2649687793858671E-3</v>
      </c>
      <c r="AN106">
        <v>5.3189558398148307E-3</v>
      </c>
      <c r="AO106">
        <v>8.6035405736889538E-3</v>
      </c>
      <c r="AP106">
        <v>1.5215103235341637E-2</v>
      </c>
      <c r="AQ106">
        <v>2.6465545199367089E-2</v>
      </c>
      <c r="AR106">
        <v>4.328396945983462E-2</v>
      </c>
      <c r="AS106">
        <v>6.7514354289343895E-2</v>
      </c>
      <c r="AT106">
        <v>9.9671727651561334E-2</v>
      </c>
      <c r="AU106">
        <v>0.13589694453866549</v>
      </c>
      <c r="AV106">
        <v>0.16605347519569352</v>
      </c>
      <c r="AW106">
        <v>0.18409343663613717</v>
      </c>
      <c r="AX106">
        <v>73.111000000000004</v>
      </c>
    </row>
    <row r="107" spans="1:50" x14ac:dyDescent="0.25">
      <c r="A107" t="s">
        <v>434</v>
      </c>
      <c r="B107" t="s">
        <v>435</v>
      </c>
      <c r="C107">
        <v>678</v>
      </c>
      <c r="D107" t="s">
        <v>207</v>
      </c>
      <c r="E107" t="s">
        <v>235</v>
      </c>
      <c r="F107" t="s">
        <v>211</v>
      </c>
      <c r="G107" t="s">
        <v>212</v>
      </c>
      <c r="H107" s="52">
        <v>219161</v>
      </c>
      <c r="I107" s="52">
        <v>6958.36175</v>
      </c>
      <c r="J107">
        <v>0.91</v>
      </c>
      <c r="K107">
        <v>0.95</v>
      </c>
      <c r="L107">
        <v>0.95</v>
      </c>
      <c r="M107">
        <v>5.8299999999999998E-2</v>
      </c>
      <c r="N107">
        <v>0</v>
      </c>
      <c r="O107">
        <v>0.38300000000000001</v>
      </c>
      <c r="P107">
        <f>VLOOKUP($F107,[2]!hbe_risk[#All],5,FALSE)</f>
        <v>4.8000000000000001E-2</v>
      </c>
      <c r="Q107">
        <v>3.5413546125461304</v>
      </c>
      <c r="R107">
        <v>25.866734612546132</v>
      </c>
      <c r="S107">
        <v>57.890495004422419</v>
      </c>
      <c r="T107">
        <v>59.34975429375109</v>
      </c>
      <c r="U107">
        <v>58.679693272903258</v>
      </c>
      <c r="V107">
        <v>8.802588256144519</v>
      </c>
      <c r="W107">
        <v>13.632588256144519</v>
      </c>
      <c r="X107">
        <v>8.3894684239986734</v>
      </c>
      <c r="Y107">
        <v>13.219468423998674</v>
      </c>
      <c r="Z107">
        <v>13.214851921254555</v>
      </c>
      <c r="AA107">
        <v>9.0086343837510174</v>
      </c>
      <c r="AB107">
        <v>13.838634383751018</v>
      </c>
      <c r="AC107">
        <v>2.6431950000000069E-2</v>
      </c>
      <c r="AD107">
        <v>1.519919434496609E-3</v>
      </c>
      <c r="AE107">
        <v>5.9194187000047012E-4</v>
      </c>
      <c r="AF107">
        <v>4.9393175232565563E-4</v>
      </c>
      <c r="AG107">
        <v>9.7025317122540584E-4</v>
      </c>
      <c r="AH107">
        <v>1.2724896188506768E-3</v>
      </c>
      <c r="AI107">
        <v>1.3489911868145125E-3</v>
      </c>
      <c r="AJ107">
        <v>1.6069422899664999E-3</v>
      </c>
      <c r="AK107">
        <v>2.1623169059386891E-3</v>
      </c>
      <c r="AL107">
        <v>3.0951101718203933E-3</v>
      </c>
      <c r="AM107">
        <v>4.7366852888282287E-3</v>
      </c>
      <c r="AN107">
        <v>7.3076792960580089E-3</v>
      </c>
      <c r="AO107">
        <v>1.1299390932147995E-2</v>
      </c>
      <c r="AP107">
        <v>1.773095205125377E-2</v>
      </c>
      <c r="AQ107">
        <v>2.7864431260591616E-2</v>
      </c>
      <c r="AR107">
        <v>4.359812586435248E-2</v>
      </c>
      <c r="AS107">
        <v>6.6475510705730947E-2</v>
      </c>
      <c r="AT107">
        <v>9.5717020333396241E-2</v>
      </c>
      <c r="AU107">
        <v>0.12562378873953089</v>
      </c>
      <c r="AV107">
        <v>0.15364551762682779</v>
      </c>
      <c r="AW107">
        <v>0.17483643439916882</v>
      </c>
      <c r="AX107">
        <v>70.048000000000002</v>
      </c>
    </row>
    <row r="108" spans="1:50" x14ac:dyDescent="0.25">
      <c r="A108" t="s">
        <v>436</v>
      </c>
      <c r="B108" t="s">
        <v>437</v>
      </c>
      <c r="C108">
        <v>686</v>
      </c>
      <c r="D108" t="s">
        <v>207</v>
      </c>
      <c r="E108" t="s">
        <v>235</v>
      </c>
      <c r="F108" t="s">
        <v>211</v>
      </c>
      <c r="G108" t="s">
        <v>212</v>
      </c>
      <c r="H108" s="52">
        <v>16743930</v>
      </c>
      <c r="I108" s="52">
        <v>581633.89641000004</v>
      </c>
      <c r="J108">
        <v>0.81700000000000006</v>
      </c>
      <c r="K108">
        <v>0.86</v>
      </c>
      <c r="L108">
        <v>0.92</v>
      </c>
      <c r="M108">
        <v>7.3499999999999996E-2</v>
      </c>
      <c r="N108">
        <v>0.28272643132159919</v>
      </c>
      <c r="O108">
        <v>0.38300000000000001</v>
      </c>
      <c r="P108">
        <f>VLOOKUP($F108,[2]!hbe_risk[#All],5,FALSE)</f>
        <v>4.8000000000000001E-2</v>
      </c>
      <c r="Q108">
        <v>3.7280715634580002</v>
      </c>
      <c r="R108">
        <v>26.053451563458001</v>
      </c>
      <c r="S108">
        <v>58.401978879707066</v>
      </c>
      <c r="T108">
        <v>60.030268002195108</v>
      </c>
      <c r="U108">
        <v>59.282592054796005</v>
      </c>
      <c r="V108">
        <v>2.3545927769962023</v>
      </c>
      <c r="W108">
        <v>7.1845927769962028</v>
      </c>
      <c r="X108">
        <v>1.9450587542589381</v>
      </c>
      <c r="Y108">
        <v>6.7750587542589384</v>
      </c>
      <c r="Z108">
        <v>6.7716709315959163</v>
      </c>
      <c r="AA108">
        <v>2.5593604855961631</v>
      </c>
      <c r="AB108">
        <v>7.3893604855961632</v>
      </c>
      <c r="AC108">
        <v>3.2754600000000064E-2</v>
      </c>
      <c r="AD108">
        <v>3.0694666524131217E-3</v>
      </c>
      <c r="AE108">
        <v>1.2369410630977884E-3</v>
      </c>
      <c r="AF108">
        <v>8.6525511984950651E-4</v>
      </c>
      <c r="AG108">
        <v>1.3469523957274259E-3</v>
      </c>
      <c r="AH108">
        <v>1.9585603267096253E-3</v>
      </c>
      <c r="AI108">
        <v>2.1265653001242375E-3</v>
      </c>
      <c r="AJ108">
        <v>2.4814518081284786E-3</v>
      </c>
      <c r="AK108">
        <v>2.9728730657511099E-3</v>
      </c>
      <c r="AL108">
        <v>3.9298453571490382E-3</v>
      </c>
      <c r="AM108">
        <v>5.2440275437391987E-3</v>
      </c>
      <c r="AN108">
        <v>7.7190461500064676E-3</v>
      </c>
      <c r="AO108">
        <v>1.1290306813306795E-2</v>
      </c>
      <c r="AP108">
        <v>1.7714146493762017E-2</v>
      </c>
      <c r="AQ108">
        <v>2.7989884926765404E-2</v>
      </c>
      <c r="AR108">
        <v>4.6537457702339732E-2</v>
      </c>
      <c r="AS108">
        <v>7.4749322711515298E-2</v>
      </c>
      <c r="AT108">
        <v>0.11151351745170328</v>
      </c>
      <c r="AU108">
        <v>0.14740357166967988</v>
      </c>
      <c r="AV108">
        <v>0.17353214388888566</v>
      </c>
      <c r="AW108">
        <v>0.18648544535679726</v>
      </c>
      <c r="AX108">
        <v>67.47</v>
      </c>
    </row>
    <row r="109" spans="1:50" x14ac:dyDescent="0.25">
      <c r="A109" t="s">
        <v>438</v>
      </c>
      <c r="B109" t="s">
        <v>439</v>
      </c>
      <c r="C109">
        <v>688</v>
      </c>
      <c r="D109" t="s">
        <v>201</v>
      </c>
      <c r="E109" t="s">
        <v>202</v>
      </c>
      <c r="F109" t="s">
        <v>203</v>
      </c>
      <c r="G109" t="s">
        <v>204</v>
      </c>
      <c r="H109" s="52">
        <v>8737370</v>
      </c>
      <c r="I109" s="52">
        <v>83459.358240000001</v>
      </c>
      <c r="J109">
        <v>0.98199999999999998</v>
      </c>
      <c r="K109">
        <v>0.99</v>
      </c>
      <c r="L109">
        <v>0.87</v>
      </c>
      <c r="M109">
        <v>1.41E-2</v>
      </c>
      <c r="N109">
        <v>0.28459441245417411</v>
      </c>
      <c r="O109">
        <v>0.8</v>
      </c>
      <c r="P109">
        <f>VLOOKUP($F109,[2]!hbe_risk[#All],5,FALSE)</f>
        <v>0.17499999999999999</v>
      </c>
      <c r="Q109">
        <v>10.09815616099524</v>
      </c>
      <c r="R109">
        <v>32.423536160995241</v>
      </c>
      <c r="S109">
        <v>89.918439471731659</v>
      </c>
      <c r="T109">
        <v>104.63453840465465</v>
      </c>
      <c r="U109">
        <v>97.87721683336045</v>
      </c>
      <c r="V109">
        <v>5.8883548218241932</v>
      </c>
      <c r="W109">
        <v>9.9583548218241944</v>
      </c>
      <c r="X109">
        <v>5.4630209447484743</v>
      </c>
      <c r="Y109">
        <v>9.5330209447484755</v>
      </c>
      <c r="Z109">
        <v>9.5233393957485948</v>
      </c>
      <c r="AA109">
        <v>6.0987555219709071</v>
      </c>
      <c r="AB109">
        <v>10.168755521970908</v>
      </c>
      <c r="AC109">
        <v>4.8995299999999411E-3</v>
      </c>
      <c r="AD109">
        <v>1.7083953341918287E-4</v>
      </c>
      <c r="AE109">
        <v>1.0017090758570446E-4</v>
      </c>
      <c r="AF109">
        <v>1.1698901242191568E-4</v>
      </c>
      <c r="AG109">
        <v>3.0176746654203036E-4</v>
      </c>
      <c r="AH109">
        <v>4.1528984317687332E-4</v>
      </c>
      <c r="AI109">
        <v>5.3377776219185849E-4</v>
      </c>
      <c r="AJ109">
        <v>7.715269962067933E-4</v>
      </c>
      <c r="AK109">
        <v>1.0787494523981423E-3</v>
      </c>
      <c r="AL109">
        <v>1.8174140218163799E-3</v>
      </c>
      <c r="AM109">
        <v>3.1902679586234893E-3</v>
      </c>
      <c r="AN109">
        <v>5.6146180614289696E-3</v>
      </c>
      <c r="AO109">
        <v>9.1625996944298422E-3</v>
      </c>
      <c r="AP109">
        <v>1.4191375580089568E-2</v>
      </c>
      <c r="AQ109">
        <v>2.0881851655931701E-2</v>
      </c>
      <c r="AR109">
        <v>3.1816428853184232E-2</v>
      </c>
      <c r="AS109">
        <v>5.3497565689160982E-2</v>
      </c>
      <c r="AT109">
        <v>8.5797755667433112E-2</v>
      </c>
      <c r="AU109">
        <v>0.12234204064157438</v>
      </c>
      <c r="AV109">
        <v>0.16031023685506621</v>
      </c>
      <c r="AW109">
        <v>0.18252897881819899</v>
      </c>
      <c r="AX109">
        <v>75.772000000000006</v>
      </c>
    </row>
    <row r="110" spans="1:50" x14ac:dyDescent="0.25">
      <c r="A110" t="s">
        <v>440</v>
      </c>
      <c r="B110" t="s">
        <v>441</v>
      </c>
      <c r="C110">
        <v>694</v>
      </c>
      <c r="D110" t="s">
        <v>207</v>
      </c>
      <c r="E110" t="s">
        <v>235</v>
      </c>
      <c r="F110" t="s">
        <v>211</v>
      </c>
      <c r="G110" t="s">
        <v>198</v>
      </c>
      <c r="H110" s="52">
        <v>7976985</v>
      </c>
      <c r="I110" s="52">
        <v>269023.81912499998</v>
      </c>
      <c r="J110">
        <v>0.83400000000000007</v>
      </c>
      <c r="K110">
        <v>0</v>
      </c>
      <c r="L110">
        <v>0.91</v>
      </c>
      <c r="M110">
        <v>7.9600000000000004E-2</v>
      </c>
      <c r="N110">
        <v>0.29917053231968926</v>
      </c>
      <c r="O110">
        <v>0.38300000000000001</v>
      </c>
      <c r="P110">
        <f>VLOOKUP($F110,[2]!hbe_risk[#All],5,FALSE)</f>
        <v>4.8000000000000001E-2</v>
      </c>
      <c r="Q110">
        <v>2.7658979138322</v>
      </c>
      <c r="R110">
        <v>25.091277913832201</v>
      </c>
      <c r="S110">
        <v>55.484360474103866</v>
      </c>
      <c r="T110">
        <v>56.094908946143718</v>
      </c>
      <c r="U110">
        <v>55.814557993133633</v>
      </c>
      <c r="V110">
        <v>2.6869554842759991</v>
      </c>
      <c r="W110">
        <v>7.5169554842759991</v>
      </c>
      <c r="X110">
        <v>2.2815334430309848</v>
      </c>
      <c r="Y110">
        <v>7.1115334430309849</v>
      </c>
      <c r="Z110">
        <v>7.1098364428739078</v>
      </c>
      <c r="AA110">
        <v>2.8902571820830709</v>
      </c>
      <c r="AB110">
        <v>7.7202571820830705</v>
      </c>
      <c r="AC110">
        <v>8.0791989999999939E-2</v>
      </c>
      <c r="AD110">
        <v>8.0492064032383816E-3</v>
      </c>
      <c r="AE110">
        <v>3.5608000666088016E-3</v>
      </c>
      <c r="AF110">
        <v>2.6162080832433177E-3</v>
      </c>
      <c r="AG110">
        <v>4.3052383161752408E-3</v>
      </c>
      <c r="AH110">
        <v>5.9920316757103246E-3</v>
      </c>
      <c r="AI110">
        <v>6.5786935829567836E-3</v>
      </c>
      <c r="AJ110">
        <v>7.234750920304415E-3</v>
      </c>
      <c r="AK110">
        <v>8.3504644636627923E-3</v>
      </c>
      <c r="AL110">
        <v>9.8848707524258565E-3</v>
      </c>
      <c r="AM110">
        <v>1.2124266776455981E-2</v>
      </c>
      <c r="AN110">
        <v>1.586958988938663E-2</v>
      </c>
      <c r="AO110">
        <v>2.1106310169851972E-2</v>
      </c>
      <c r="AP110">
        <v>2.9723773963725244E-2</v>
      </c>
      <c r="AQ110">
        <v>4.2050380421760292E-2</v>
      </c>
      <c r="AR110">
        <v>6.0552989573148606E-2</v>
      </c>
      <c r="AS110">
        <v>8.4562642131675372E-2</v>
      </c>
      <c r="AT110">
        <v>0.11276112706617331</v>
      </c>
      <c r="AU110">
        <v>0.13854292675347465</v>
      </c>
      <c r="AV110">
        <v>0.16107073910210398</v>
      </c>
      <c r="AW110">
        <v>0.17851912460620289</v>
      </c>
      <c r="AX110">
        <v>54.066000000000003</v>
      </c>
    </row>
    <row r="111" spans="1:50" x14ac:dyDescent="0.25">
      <c r="A111" t="s">
        <v>442</v>
      </c>
      <c r="B111" t="s">
        <v>443</v>
      </c>
      <c r="C111">
        <v>90</v>
      </c>
      <c r="D111" t="s">
        <v>260</v>
      </c>
      <c r="E111" t="s">
        <v>309</v>
      </c>
      <c r="F111" t="s">
        <v>262</v>
      </c>
      <c r="G111" t="s">
        <v>212</v>
      </c>
      <c r="H111" s="52">
        <v>686878</v>
      </c>
      <c r="I111" s="52">
        <v>22467.779380000004</v>
      </c>
      <c r="J111">
        <v>0.84499999999999997</v>
      </c>
      <c r="K111">
        <v>0.7</v>
      </c>
      <c r="L111">
        <v>0.94</v>
      </c>
      <c r="M111">
        <v>8.8200000000000001E-2</v>
      </c>
      <c r="N111">
        <v>0.33679792873325681</v>
      </c>
      <c r="O111">
        <v>0.8</v>
      </c>
      <c r="P111">
        <f>VLOOKUP($F111,[2]!hbe_risk[#All],5,FALSE)</f>
        <v>0.17499999999999999</v>
      </c>
      <c r="Q111">
        <v>5.9439471880961499</v>
      </c>
      <c r="R111">
        <v>28.269327188096153</v>
      </c>
      <c r="S111">
        <v>65.696341633665639</v>
      </c>
      <c r="T111">
        <v>69.967805808012372</v>
      </c>
      <c r="U111">
        <v>68.006439746402833</v>
      </c>
      <c r="V111">
        <v>5.2070566496852049</v>
      </c>
      <c r="W111">
        <v>5.8370566496852048</v>
      </c>
      <c r="X111">
        <v>4.7932657454722767</v>
      </c>
      <c r="Y111">
        <v>5.4232657454722766</v>
      </c>
      <c r="Z111">
        <v>5.418319025498274</v>
      </c>
      <c r="AA111">
        <v>5.4133420290721421</v>
      </c>
      <c r="AB111">
        <v>6.043342029072142</v>
      </c>
      <c r="AC111">
        <v>1.5456410000000033E-2</v>
      </c>
      <c r="AD111">
        <v>1.185059261825066E-3</v>
      </c>
      <c r="AE111">
        <v>4.3456899706413371E-4</v>
      </c>
      <c r="AF111">
        <v>4.0021784765494707E-4</v>
      </c>
      <c r="AG111">
        <v>8.7837052473555433E-4</v>
      </c>
      <c r="AH111">
        <v>1.1512833469450293E-3</v>
      </c>
      <c r="AI111">
        <v>1.214610400427136E-3</v>
      </c>
      <c r="AJ111">
        <v>1.4435251908193217E-3</v>
      </c>
      <c r="AK111">
        <v>1.9439613398437219E-3</v>
      </c>
      <c r="AL111">
        <v>2.7999278701697052E-3</v>
      </c>
      <c r="AM111">
        <v>4.3143020320886979E-3</v>
      </c>
      <c r="AN111">
        <v>6.7067196149096986E-3</v>
      </c>
      <c r="AO111">
        <v>1.0468477461403398E-2</v>
      </c>
      <c r="AP111">
        <v>1.5597674100623312E-2</v>
      </c>
      <c r="AQ111">
        <v>2.2999236052853578E-2</v>
      </c>
      <c r="AR111">
        <v>3.5236499263685224E-2</v>
      </c>
      <c r="AS111">
        <v>5.5711063082160645E-2</v>
      </c>
      <c r="AT111">
        <v>8.329784520348002E-2</v>
      </c>
      <c r="AU111">
        <v>0.11646687399081383</v>
      </c>
      <c r="AV111">
        <v>0.14696431176372771</v>
      </c>
      <c r="AW111">
        <v>0.17021019311485017</v>
      </c>
      <c r="AX111">
        <v>72.772999999999996</v>
      </c>
    </row>
    <row r="112" spans="1:50" x14ac:dyDescent="0.25">
      <c r="A112" t="s">
        <v>444</v>
      </c>
      <c r="B112" t="s">
        <v>445</v>
      </c>
      <c r="C112">
        <v>706</v>
      </c>
      <c r="D112" t="s">
        <v>196</v>
      </c>
      <c r="E112" t="s">
        <v>255</v>
      </c>
      <c r="F112" t="s">
        <v>211</v>
      </c>
      <c r="G112" t="s">
        <v>198</v>
      </c>
      <c r="H112" s="52">
        <v>15893219</v>
      </c>
      <c r="I112" s="52">
        <v>665417.29309199995</v>
      </c>
      <c r="J112">
        <v>0.20699999999999999</v>
      </c>
      <c r="K112">
        <v>0</v>
      </c>
      <c r="L112">
        <v>0.42</v>
      </c>
      <c r="M112">
        <v>0.1313</v>
      </c>
      <c r="N112">
        <v>0.28962325777757897</v>
      </c>
      <c r="O112">
        <v>0.38300000000000001</v>
      </c>
      <c r="P112">
        <f>VLOOKUP($F112,[2]!hbe_risk[#All],5,FALSE)</f>
        <v>4.8000000000000001E-2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0.90089276424293463</v>
      </c>
      <c r="W112">
        <v>5.7308927642429346</v>
      </c>
      <c r="X112">
        <v>0.49713178372427963</v>
      </c>
      <c r="Y112">
        <v>5.3271317837242798</v>
      </c>
      <c r="Z112">
        <v>5.3260500508483348</v>
      </c>
      <c r="AA112">
        <v>1.1036022577910434</v>
      </c>
      <c r="AB112">
        <v>5.9336022577910432</v>
      </c>
      <c r="AC112">
        <v>6.932369999999996E-2</v>
      </c>
      <c r="AD112">
        <v>1.2292378134051579E-2</v>
      </c>
      <c r="AE112">
        <v>4.0540824580519112E-3</v>
      </c>
      <c r="AF112">
        <v>2.9133664091514143E-3</v>
      </c>
      <c r="AG112">
        <v>3.0976930870894644E-3</v>
      </c>
      <c r="AH112">
        <v>4.0747286584552917E-3</v>
      </c>
      <c r="AI112">
        <v>4.9273942521363195E-3</v>
      </c>
      <c r="AJ112">
        <v>5.8026712326014421E-3</v>
      </c>
      <c r="AK112">
        <v>7.1388328187386571E-3</v>
      </c>
      <c r="AL112">
        <v>8.1011139053546385E-3</v>
      </c>
      <c r="AM112">
        <v>9.3317415545775481E-3</v>
      </c>
      <c r="AN112">
        <v>1.159173865518154E-2</v>
      </c>
      <c r="AO112">
        <v>1.5529339410354946E-2</v>
      </c>
      <c r="AP112">
        <v>2.2414689803706509E-2</v>
      </c>
      <c r="AQ112">
        <v>3.3555760867098883E-2</v>
      </c>
      <c r="AR112">
        <v>5.0425932777532614E-2</v>
      </c>
      <c r="AS112">
        <v>7.3715370361590968E-2</v>
      </c>
      <c r="AT112">
        <v>0.1023196114503603</v>
      </c>
      <c r="AU112">
        <v>0.13209411290570217</v>
      </c>
      <c r="AV112">
        <v>0.15802590741274858</v>
      </c>
      <c r="AW112">
        <v>0.1755877121405956</v>
      </c>
      <c r="AX112">
        <v>56.941000000000003</v>
      </c>
    </row>
    <row r="113" spans="1:50" x14ac:dyDescent="0.25">
      <c r="A113" t="s">
        <v>446</v>
      </c>
      <c r="B113" t="s">
        <v>447</v>
      </c>
      <c r="C113">
        <v>710</v>
      </c>
      <c r="D113" t="s">
        <v>207</v>
      </c>
      <c r="E113" t="s">
        <v>245</v>
      </c>
      <c r="F113" t="s">
        <v>211</v>
      </c>
      <c r="G113" t="s">
        <v>204</v>
      </c>
      <c r="H113" s="52">
        <v>59308690</v>
      </c>
      <c r="I113" s="52">
        <v>1225495.46147</v>
      </c>
      <c r="J113">
        <v>0.95900000000000007</v>
      </c>
      <c r="K113">
        <v>0</v>
      </c>
      <c r="L113">
        <v>0.84</v>
      </c>
      <c r="M113">
        <v>9.06E-2</v>
      </c>
      <c r="N113">
        <v>0.26188409431340487</v>
      </c>
      <c r="O113">
        <v>0.38300000000000001</v>
      </c>
      <c r="P113">
        <f>VLOOKUP($F113,[2]!hbe_risk[#All],5,FALSE)</f>
        <v>4.8000000000000001E-2</v>
      </c>
      <c r="Q113">
        <v>12.5649384446215</v>
      </c>
      <c r="R113">
        <v>34.890318444621506</v>
      </c>
      <c r="S113">
        <v>99.968360403153838</v>
      </c>
      <c r="T113">
        <v>118.63121796285748</v>
      </c>
      <c r="U113">
        <v>110.06162825399518</v>
      </c>
      <c r="V113">
        <v>2.2385885349589216</v>
      </c>
      <c r="W113">
        <v>7.0685885349589217</v>
      </c>
      <c r="X113">
        <v>1.8194998951228314</v>
      </c>
      <c r="Y113">
        <v>6.6494998951228315</v>
      </c>
      <c r="Z113">
        <v>6.6421734525340383</v>
      </c>
      <c r="AA113">
        <v>2.4467626722636813</v>
      </c>
      <c r="AB113">
        <v>7.2767626722636809</v>
      </c>
      <c r="AC113">
        <v>2.7243999999999942E-2</v>
      </c>
      <c r="AD113">
        <v>2.1107605607161781E-3</v>
      </c>
      <c r="AE113">
        <v>9.0179496200364019E-4</v>
      </c>
      <c r="AF113">
        <v>7.5358739008003837E-4</v>
      </c>
      <c r="AG113">
        <v>1.2818679223927346E-3</v>
      </c>
      <c r="AH113">
        <v>2.2862997919574093E-3</v>
      </c>
      <c r="AI113">
        <v>3.826952875428692E-3</v>
      </c>
      <c r="AJ113">
        <v>5.5851312529672488E-3</v>
      </c>
      <c r="AK113">
        <v>8.1210388699886182E-3</v>
      </c>
      <c r="AL113">
        <v>9.777207288379549E-3</v>
      </c>
      <c r="AM113">
        <v>1.1718262368142149E-2</v>
      </c>
      <c r="AN113">
        <v>1.4223371671272508E-2</v>
      </c>
      <c r="AO113">
        <v>1.7322311807639015E-2</v>
      </c>
      <c r="AP113">
        <v>2.2939427208956795E-2</v>
      </c>
      <c r="AQ113">
        <v>3.2256302504435473E-2</v>
      </c>
      <c r="AR113">
        <v>4.6985099714795919E-2</v>
      </c>
      <c r="AS113">
        <v>6.8848294879698652E-2</v>
      </c>
      <c r="AT113">
        <v>0.10281020332373089</v>
      </c>
      <c r="AU113">
        <v>0.14366931623854254</v>
      </c>
      <c r="AV113">
        <v>0.17576312847645009</v>
      </c>
      <c r="AW113">
        <v>0.18732431731093108</v>
      </c>
      <c r="AX113">
        <v>63.615000000000002</v>
      </c>
    </row>
    <row r="114" spans="1:50" x14ac:dyDescent="0.25">
      <c r="A114" t="s">
        <v>448</v>
      </c>
      <c r="B114" t="s">
        <v>449</v>
      </c>
      <c r="C114">
        <v>728</v>
      </c>
      <c r="D114" t="s">
        <v>207</v>
      </c>
      <c r="E114" t="s">
        <v>255</v>
      </c>
      <c r="F114" t="s">
        <v>211</v>
      </c>
      <c r="G114" t="s">
        <v>198</v>
      </c>
      <c r="H114" s="52">
        <v>11193729</v>
      </c>
      <c r="I114" s="52">
        <v>393918.51723900001</v>
      </c>
      <c r="J114">
        <v>0.115</v>
      </c>
      <c r="K114">
        <v>0</v>
      </c>
      <c r="L114">
        <v>0.49</v>
      </c>
      <c r="M114">
        <v>0.18090000000000001</v>
      </c>
      <c r="N114">
        <v>0.28404425731797539</v>
      </c>
      <c r="O114">
        <v>0.38300000000000001</v>
      </c>
      <c r="P114">
        <f>VLOOKUP($F114,[2]!hbe_risk[#All],5,FALSE)</f>
        <v>4.8000000000000001E-2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6.439118000000002E-2</v>
      </c>
      <c r="AD114">
        <v>9.1276474926775576E-3</v>
      </c>
      <c r="AE114">
        <v>3.7645316426541857E-3</v>
      </c>
      <c r="AF114">
        <v>2.2872337683211325E-3</v>
      </c>
      <c r="AG114">
        <v>2.949520798167871E-3</v>
      </c>
      <c r="AH114">
        <v>4.0792823322574031E-3</v>
      </c>
      <c r="AI114">
        <v>5.4936131703647272E-3</v>
      </c>
      <c r="AJ114">
        <v>6.9847784211231456E-3</v>
      </c>
      <c r="AK114">
        <v>8.9363320696753141E-3</v>
      </c>
      <c r="AL114">
        <v>9.7732797132815998E-3</v>
      </c>
      <c r="AM114">
        <v>1.08394459748994E-2</v>
      </c>
      <c r="AN114">
        <v>1.2789862419588332E-2</v>
      </c>
      <c r="AO114">
        <v>1.5799528301405574E-2</v>
      </c>
      <c r="AP114">
        <v>2.2487248198766858E-2</v>
      </c>
      <c r="AQ114">
        <v>3.1890539105262863E-2</v>
      </c>
      <c r="AR114">
        <v>4.8245182163936758E-2</v>
      </c>
      <c r="AS114">
        <v>7.1020229630387788E-2</v>
      </c>
      <c r="AT114">
        <v>0.10093998231870334</v>
      </c>
      <c r="AU114">
        <v>0.13145963379756573</v>
      </c>
      <c r="AV114">
        <v>0.15726415845936334</v>
      </c>
      <c r="AW114">
        <v>0.17546937186033706</v>
      </c>
      <c r="AX114">
        <v>57.424999999999997</v>
      </c>
    </row>
    <row r="115" spans="1:50" x14ac:dyDescent="0.25">
      <c r="A115" t="s">
        <v>450</v>
      </c>
      <c r="B115" t="s">
        <v>451</v>
      </c>
      <c r="C115">
        <v>144</v>
      </c>
      <c r="D115" t="s">
        <v>225</v>
      </c>
      <c r="E115" t="s">
        <v>261</v>
      </c>
      <c r="F115" t="s">
        <v>262</v>
      </c>
      <c r="G115" t="s">
        <v>204</v>
      </c>
      <c r="H115" s="52">
        <v>21413250</v>
      </c>
      <c r="I115" s="52">
        <v>343083.09149999998</v>
      </c>
      <c r="J115">
        <v>0.995</v>
      </c>
      <c r="K115">
        <v>0</v>
      </c>
      <c r="L115">
        <v>0.96</v>
      </c>
      <c r="M115">
        <v>2.0199999999999999E-2</v>
      </c>
      <c r="N115">
        <v>0.32277198772757137</v>
      </c>
      <c r="O115">
        <v>0.8</v>
      </c>
      <c r="P115">
        <f>VLOOKUP($F115,[2]!hbe_risk[#All],5,FALSE)</f>
        <v>0.17499999999999999</v>
      </c>
      <c r="Q115">
        <v>4.9080198342541399</v>
      </c>
      <c r="R115">
        <v>27.233399834254143</v>
      </c>
      <c r="S115">
        <v>64.174450856733159</v>
      </c>
      <c r="T115">
        <v>68.192988054340589</v>
      </c>
      <c r="U115">
        <v>66.34776071425452</v>
      </c>
      <c r="V115">
        <v>4.6265457318441605</v>
      </c>
      <c r="W115">
        <v>5.2565457318441604</v>
      </c>
      <c r="X115">
        <v>4.2035918178548997</v>
      </c>
      <c r="Y115">
        <v>4.8335918178548996</v>
      </c>
      <c r="Z115">
        <v>4.824596414230478</v>
      </c>
      <c r="AA115">
        <v>4.8360979234122246</v>
      </c>
      <c r="AB115">
        <v>5.4660979234122244</v>
      </c>
      <c r="AC115">
        <v>7.5732899999999791E-3</v>
      </c>
      <c r="AD115">
        <v>2.570063838769638E-4</v>
      </c>
      <c r="AE115">
        <v>2.9705474889629041E-4</v>
      </c>
      <c r="AF115">
        <v>2.9040321033130473E-4</v>
      </c>
      <c r="AG115">
        <v>5.5490936660418171E-4</v>
      </c>
      <c r="AH115">
        <v>7.8892305303817484E-4</v>
      </c>
      <c r="AI115">
        <v>8.6288803443153816E-4</v>
      </c>
      <c r="AJ115">
        <v>9.8763610104937098E-4</v>
      </c>
      <c r="AK115">
        <v>1.4206987324034202E-3</v>
      </c>
      <c r="AL115">
        <v>2.0799897247237836E-3</v>
      </c>
      <c r="AM115">
        <v>3.2074787270406683E-3</v>
      </c>
      <c r="AN115">
        <v>4.9123247462211569E-3</v>
      </c>
      <c r="AO115">
        <v>6.9758110547406063E-3</v>
      </c>
      <c r="AP115">
        <v>9.9942876670689289E-3</v>
      </c>
      <c r="AQ115">
        <v>1.7504151558826845E-2</v>
      </c>
      <c r="AR115">
        <v>3.1457895529108021E-2</v>
      </c>
      <c r="AS115">
        <v>4.3127788074325546E-2</v>
      </c>
      <c r="AT115">
        <v>6.9941554014886095E-2</v>
      </c>
      <c r="AU115">
        <v>0.10666038153787064</v>
      </c>
      <c r="AV115">
        <v>0.14422443039010532</v>
      </c>
      <c r="AW115">
        <v>0.17174300385827795</v>
      </c>
      <c r="AX115">
        <v>76.724999999999994</v>
      </c>
    </row>
    <row r="116" spans="1:50" x14ac:dyDescent="0.25">
      <c r="A116" t="s">
        <v>452</v>
      </c>
      <c r="B116" t="s">
        <v>453</v>
      </c>
      <c r="C116">
        <v>729</v>
      </c>
      <c r="D116" t="s">
        <v>196</v>
      </c>
      <c r="E116" t="s">
        <v>255</v>
      </c>
      <c r="F116" t="s">
        <v>211</v>
      </c>
      <c r="G116" t="s">
        <v>212</v>
      </c>
      <c r="H116" s="52">
        <v>43849269</v>
      </c>
      <c r="I116" s="52">
        <v>1419006.1941089998</v>
      </c>
      <c r="J116">
        <v>0.27699999999999997</v>
      </c>
      <c r="K116">
        <v>0</v>
      </c>
      <c r="L116">
        <v>0.9</v>
      </c>
      <c r="M116">
        <v>7.46E-2</v>
      </c>
      <c r="N116">
        <v>0.28042307379092596</v>
      </c>
      <c r="O116">
        <v>0.38300000000000001</v>
      </c>
      <c r="P116">
        <f>VLOOKUP($F116,[2]!hbe_risk[#All],5,FALSE)</f>
        <v>4.8000000000000001E-2</v>
      </c>
      <c r="Q116">
        <v>4.1491429226847902</v>
      </c>
      <c r="R116">
        <v>26.474522922684791</v>
      </c>
      <c r="S116">
        <v>60.068056616528807</v>
      </c>
      <c r="T116">
        <v>62.344328044153521</v>
      </c>
      <c r="U116">
        <v>61.299112318836706</v>
      </c>
      <c r="V116">
        <v>2.4516892551980232</v>
      </c>
      <c r="W116">
        <v>7.2816892551980228</v>
      </c>
      <c r="X116">
        <v>2.0453253634628727</v>
      </c>
      <c r="Y116">
        <v>6.8753253634628724</v>
      </c>
      <c r="Z116">
        <v>6.8731720363370643</v>
      </c>
      <c r="AA116">
        <v>2.6553267431798391</v>
      </c>
      <c r="AB116">
        <v>7.4853267431798391</v>
      </c>
      <c r="AC116">
        <v>4.2874850000000006E-2</v>
      </c>
      <c r="AD116">
        <v>5.5109407583741827E-3</v>
      </c>
      <c r="AE116">
        <v>2.1666864969454775E-3</v>
      </c>
      <c r="AF116">
        <v>1.6265412680930844E-3</v>
      </c>
      <c r="AG116">
        <v>1.9187261517500268E-3</v>
      </c>
      <c r="AH116">
        <v>2.5722201125001026E-3</v>
      </c>
      <c r="AI116">
        <v>3.0538597600547213E-3</v>
      </c>
      <c r="AJ116">
        <v>3.5465053197037046E-3</v>
      </c>
      <c r="AK116">
        <v>4.4674961160007399E-3</v>
      </c>
      <c r="AL116">
        <v>5.4109756268481439E-3</v>
      </c>
      <c r="AM116">
        <v>6.623522459809337E-3</v>
      </c>
      <c r="AN116">
        <v>8.8326556424588604E-3</v>
      </c>
      <c r="AO116">
        <v>1.1923097729237751E-2</v>
      </c>
      <c r="AP116">
        <v>1.7536947410145505E-2</v>
      </c>
      <c r="AQ116">
        <v>2.7409566126079893E-2</v>
      </c>
      <c r="AR116">
        <v>4.2580666186292179E-2</v>
      </c>
      <c r="AS116">
        <v>6.3829376993833828E-2</v>
      </c>
      <c r="AT116">
        <v>9.205863252467697E-2</v>
      </c>
      <c r="AU116">
        <v>0.12169234717050383</v>
      </c>
      <c r="AV116">
        <v>0.14819504180293439</v>
      </c>
      <c r="AW116">
        <v>0.1678565296720865</v>
      </c>
      <c r="AX116">
        <v>64.947999999999993</v>
      </c>
    </row>
    <row r="117" spans="1:50" x14ac:dyDescent="0.25">
      <c r="A117" t="s">
        <v>454</v>
      </c>
      <c r="B117" t="s">
        <v>455</v>
      </c>
      <c r="C117">
        <v>740</v>
      </c>
      <c r="D117" t="s">
        <v>215</v>
      </c>
      <c r="E117" t="s">
        <v>232</v>
      </c>
      <c r="F117" t="s">
        <v>217</v>
      </c>
      <c r="G117" t="s">
        <v>204</v>
      </c>
      <c r="H117" s="52">
        <v>586634</v>
      </c>
      <c r="I117" s="52">
        <v>10950.110244000001</v>
      </c>
      <c r="J117">
        <v>0.92900000000000005</v>
      </c>
      <c r="K117">
        <v>0.79</v>
      </c>
      <c r="L117">
        <v>0.51</v>
      </c>
      <c r="M117">
        <v>1.2500000000000001E-2</v>
      </c>
      <c r="N117">
        <v>0.30692004376449455</v>
      </c>
      <c r="O117">
        <v>0.8</v>
      </c>
      <c r="P117">
        <f>VLOOKUP($F117,[2]!hbe_risk[#All],5,FALSE)</f>
        <v>0.17499999999999999</v>
      </c>
      <c r="Q117">
        <v>10.02874341399608</v>
      </c>
      <c r="R117">
        <v>32.354123413996085</v>
      </c>
      <c r="S117">
        <v>86.357068240053849</v>
      </c>
      <c r="T117">
        <v>99.255724829657566</v>
      </c>
      <c r="U117">
        <v>93.332934366578456</v>
      </c>
      <c r="V117">
        <v>9.2518841186004064</v>
      </c>
      <c r="W117">
        <v>9.271884118600406</v>
      </c>
      <c r="X117">
        <v>8.8355014782152992</v>
      </c>
      <c r="Y117">
        <v>8.8555014782152988</v>
      </c>
      <c r="Z117">
        <v>8.8494323061703444</v>
      </c>
      <c r="AA117">
        <v>9.4590935082748153</v>
      </c>
      <c r="AB117">
        <v>9.4790935082748149</v>
      </c>
      <c r="AC117">
        <v>1.7496539999999949E-2</v>
      </c>
      <c r="AD117">
        <v>5.2713045916398212E-4</v>
      </c>
      <c r="AE117">
        <v>5.5092254603772059E-4</v>
      </c>
      <c r="AF117">
        <v>3.1541800571920048E-4</v>
      </c>
      <c r="AG117">
        <v>5.7519180580934001E-4</v>
      </c>
      <c r="AH117">
        <v>1.1746985126604994E-3</v>
      </c>
      <c r="AI117">
        <v>1.8961984882942902E-3</v>
      </c>
      <c r="AJ117">
        <v>2.568637902467637E-3</v>
      </c>
      <c r="AK117">
        <v>3.2158150706266654E-3</v>
      </c>
      <c r="AL117">
        <v>3.9342196188770747E-3</v>
      </c>
      <c r="AM117">
        <v>5.0566020039156468E-3</v>
      </c>
      <c r="AN117">
        <v>7.3277731125225339E-3</v>
      </c>
      <c r="AO117">
        <v>1.1357376285848873E-2</v>
      </c>
      <c r="AP117">
        <v>1.7535594509055171E-2</v>
      </c>
      <c r="AQ117">
        <v>2.6472253876052673E-2</v>
      </c>
      <c r="AR117">
        <v>3.9200376957628798E-2</v>
      </c>
      <c r="AS117">
        <v>5.680284239063222E-2</v>
      </c>
      <c r="AT117">
        <v>7.981422650900577E-2</v>
      </c>
      <c r="AU117">
        <v>0.10661921371183349</v>
      </c>
      <c r="AV117">
        <v>0.13385074379608689</v>
      </c>
      <c r="AW117">
        <v>0.15756882013185389</v>
      </c>
      <c r="AX117">
        <v>71.488</v>
      </c>
    </row>
    <row r="118" spans="1:50" x14ac:dyDescent="0.25">
      <c r="A118" t="s">
        <v>456</v>
      </c>
      <c r="B118" t="s">
        <v>457</v>
      </c>
      <c r="C118">
        <v>760</v>
      </c>
      <c r="D118" t="s">
        <v>196</v>
      </c>
      <c r="E118" t="s">
        <v>197</v>
      </c>
      <c r="F118" t="s">
        <v>197</v>
      </c>
      <c r="G118" t="s">
        <v>198</v>
      </c>
      <c r="H118" s="52">
        <v>17500657</v>
      </c>
      <c r="I118" s="52">
        <v>420085.77062800003</v>
      </c>
      <c r="J118">
        <v>0.78200000000000003</v>
      </c>
      <c r="K118">
        <v>0</v>
      </c>
      <c r="L118">
        <v>0.49</v>
      </c>
      <c r="M118">
        <v>1.41E-2</v>
      </c>
      <c r="N118">
        <v>0.25842474074213168</v>
      </c>
      <c r="O118">
        <v>0.8</v>
      </c>
      <c r="P118">
        <f>VLOOKUP($F118,[2]!hbe_risk[#All],5,FALSE)</f>
        <v>0.17499999999999999</v>
      </c>
      <c r="Q118">
        <v>7.5935429031230095</v>
      </c>
      <c r="R118">
        <v>29.918922903123011</v>
      </c>
      <c r="S118">
        <v>74.517847023200645</v>
      </c>
      <c r="T118">
        <v>82.522039516656207</v>
      </c>
      <c r="U118">
        <v>78.846683510737094</v>
      </c>
      <c r="V118">
        <v>1.1974491789647508</v>
      </c>
      <c r="W118">
        <v>1.6774491789647508</v>
      </c>
      <c r="X118">
        <v>0.78396312436439086</v>
      </c>
      <c r="Y118">
        <v>1.2639631243643907</v>
      </c>
      <c r="Z118">
        <v>1.2587405094266237</v>
      </c>
      <c r="AA118">
        <v>1.4036258728376416</v>
      </c>
      <c r="AB118">
        <v>1.8836258728376416</v>
      </c>
      <c r="AC118">
        <v>1.5543830000000017E-2</v>
      </c>
      <c r="AD118">
        <v>5.6625933889975239E-4</v>
      </c>
      <c r="AE118">
        <v>3.5458222388945384E-4</v>
      </c>
      <c r="AF118">
        <v>3.160905255719894E-4</v>
      </c>
      <c r="AG118">
        <v>2.1476597437748864E-3</v>
      </c>
      <c r="AH118">
        <v>3.1342040401075512E-3</v>
      </c>
      <c r="AI118">
        <v>4.6487466182035487E-3</v>
      </c>
      <c r="AJ118">
        <v>3.9935579591588938E-3</v>
      </c>
      <c r="AK118">
        <v>2.7207746224425407E-3</v>
      </c>
      <c r="AL118">
        <v>2.7222126681832074E-3</v>
      </c>
      <c r="AM118">
        <v>4.0660547201637901E-3</v>
      </c>
      <c r="AN118">
        <v>6.6229891408634122E-3</v>
      </c>
      <c r="AO118">
        <v>8.1106364299420378E-3</v>
      </c>
      <c r="AP118">
        <v>1.3012347206928504E-2</v>
      </c>
      <c r="AQ118">
        <v>2.1574450519031115E-2</v>
      </c>
      <c r="AR118">
        <v>3.549759510730266E-2</v>
      </c>
      <c r="AS118">
        <v>5.2152995053446186E-2</v>
      </c>
      <c r="AT118">
        <v>8.2738468449409353E-2</v>
      </c>
      <c r="AU118">
        <v>0.11748124899706361</v>
      </c>
      <c r="AV118">
        <v>0.15074816066722091</v>
      </c>
      <c r="AW118">
        <v>0.17290816915071688</v>
      </c>
      <c r="AX118">
        <v>71.319999999999993</v>
      </c>
    </row>
    <row r="119" spans="1:50" x14ac:dyDescent="0.25">
      <c r="A119" t="s">
        <v>458</v>
      </c>
      <c r="B119" t="s">
        <v>459</v>
      </c>
      <c r="C119">
        <v>762</v>
      </c>
      <c r="D119" t="s">
        <v>201</v>
      </c>
      <c r="E119" t="s">
        <v>220</v>
      </c>
      <c r="F119" t="s">
        <v>203</v>
      </c>
      <c r="G119" t="s">
        <v>198</v>
      </c>
      <c r="H119" s="52">
        <v>9537642</v>
      </c>
      <c r="I119" s="52">
        <v>297688.88210400002</v>
      </c>
      <c r="J119">
        <v>0.88200000000000001</v>
      </c>
      <c r="K119">
        <v>0.99</v>
      </c>
      <c r="L119">
        <v>0.97</v>
      </c>
      <c r="M119">
        <v>4.5599999999999995E-2</v>
      </c>
      <c r="N119">
        <v>0.31299880290704257</v>
      </c>
      <c r="O119">
        <v>0.8</v>
      </c>
      <c r="P119">
        <f>VLOOKUP($F119,[2]!hbe_risk[#All],5,FALSE)</f>
        <v>0.17499999999999999</v>
      </c>
      <c r="Q119">
        <v>3.3658591445086703</v>
      </c>
      <c r="R119">
        <v>25.691239144508671</v>
      </c>
      <c r="S119">
        <v>57.462386712624905</v>
      </c>
      <c r="T119">
        <v>58.790169856294533</v>
      </c>
      <c r="U119">
        <v>58.18047990248165</v>
      </c>
      <c r="V119">
        <v>3.3890503366776219</v>
      </c>
      <c r="W119">
        <v>7.4590503366776222</v>
      </c>
      <c r="X119">
        <v>2.9829442213516217</v>
      </c>
      <c r="Y119">
        <v>7.0529442213516216</v>
      </c>
      <c r="Z119">
        <v>7.0508523142609345</v>
      </c>
      <c r="AA119">
        <v>3.5925959217657408</v>
      </c>
      <c r="AB119">
        <v>7.6625959217657407</v>
      </c>
      <c r="AC119">
        <v>2.927524000000005E-2</v>
      </c>
      <c r="AD119">
        <v>7.7581466037807297E-4</v>
      </c>
      <c r="AE119">
        <v>1.9153625558257422E-4</v>
      </c>
      <c r="AF119">
        <v>2.0033190606407914E-4</v>
      </c>
      <c r="AG119">
        <v>3.3197793536914093E-4</v>
      </c>
      <c r="AH119">
        <v>5.1082433407809646E-4</v>
      </c>
      <c r="AI119">
        <v>8.5562449911040473E-4</v>
      </c>
      <c r="AJ119">
        <v>1.3151874984257913E-3</v>
      </c>
      <c r="AK119">
        <v>2.0121145398065451E-3</v>
      </c>
      <c r="AL119">
        <v>2.5521857039043322E-3</v>
      </c>
      <c r="AM119">
        <v>3.6395738031344445E-3</v>
      </c>
      <c r="AN119">
        <v>5.9855955396087698E-3</v>
      </c>
      <c r="AO119">
        <v>1.0656165622609622E-2</v>
      </c>
      <c r="AP119">
        <v>1.8402639796966141E-2</v>
      </c>
      <c r="AQ119">
        <v>2.8834750727873303E-2</v>
      </c>
      <c r="AR119">
        <v>4.7612475607663025E-2</v>
      </c>
      <c r="AS119">
        <v>7.3903502966553611E-2</v>
      </c>
      <c r="AT119">
        <v>0.10565750197029085</v>
      </c>
      <c r="AU119">
        <v>0.13716167840228499</v>
      </c>
      <c r="AV119">
        <v>0.16443487588606648</v>
      </c>
      <c r="AW119">
        <v>0.18225710446641838</v>
      </c>
      <c r="AX119">
        <v>70.77</v>
      </c>
    </row>
    <row r="120" spans="1:50" x14ac:dyDescent="0.25">
      <c r="A120" t="s">
        <v>460</v>
      </c>
      <c r="B120" t="s">
        <v>461</v>
      </c>
      <c r="C120">
        <v>834</v>
      </c>
      <c r="D120" t="s">
        <v>207</v>
      </c>
      <c r="E120" t="s">
        <v>255</v>
      </c>
      <c r="F120" t="s">
        <v>211</v>
      </c>
      <c r="G120" t="s">
        <v>198</v>
      </c>
      <c r="H120" s="52">
        <v>59734213</v>
      </c>
      <c r="I120" s="52">
        <v>2204252.1939130002</v>
      </c>
      <c r="J120">
        <v>0.626</v>
      </c>
      <c r="K120">
        <v>0</v>
      </c>
      <c r="L120">
        <v>0.86</v>
      </c>
      <c r="M120">
        <v>4.2500000000000003E-2</v>
      </c>
      <c r="N120">
        <v>0.29198880212287792</v>
      </c>
      <c r="O120">
        <v>0.38300000000000001</v>
      </c>
      <c r="P120">
        <f>VLOOKUP($F120,[2]!hbe_risk[#All],5,FALSE)</f>
        <v>4.8000000000000001E-2</v>
      </c>
      <c r="Q120">
        <v>2.9695790146931702</v>
      </c>
      <c r="R120">
        <v>25.294959014693173</v>
      </c>
      <c r="S120">
        <v>56.123549600837791</v>
      </c>
      <c r="T120">
        <v>56.960764778839277</v>
      </c>
      <c r="U120">
        <v>56.576333265575414</v>
      </c>
      <c r="V120">
        <v>2.7106027806003254</v>
      </c>
      <c r="W120">
        <v>7.5406027806003255</v>
      </c>
      <c r="X120">
        <v>2.3035672151151068</v>
      </c>
      <c r="Y120">
        <v>7.1335672151151073</v>
      </c>
      <c r="Z120">
        <v>7.1312680647861502</v>
      </c>
      <c r="AA120">
        <v>2.9144797348756444</v>
      </c>
      <c r="AB120">
        <v>7.7444797348756449</v>
      </c>
      <c r="AC120">
        <v>4.1214049999999988E-2</v>
      </c>
      <c r="AD120">
        <v>3.9968514348797191E-3</v>
      </c>
      <c r="AE120">
        <v>1.5692769186358136E-3</v>
      </c>
      <c r="AF120">
        <v>1.1113239191828232E-3</v>
      </c>
      <c r="AG120">
        <v>1.7773475011780174E-3</v>
      </c>
      <c r="AH120">
        <v>2.5708480479825877E-3</v>
      </c>
      <c r="AI120">
        <v>2.9820183674253557E-3</v>
      </c>
      <c r="AJ120">
        <v>3.4975578144642535E-3</v>
      </c>
      <c r="AK120">
        <v>4.2742986194550395E-3</v>
      </c>
      <c r="AL120">
        <v>5.4100149533494717E-3</v>
      </c>
      <c r="AM120">
        <v>6.8191765804846644E-3</v>
      </c>
      <c r="AN120">
        <v>9.6619323711781557E-3</v>
      </c>
      <c r="AO120">
        <v>1.2971158291646218E-2</v>
      </c>
      <c r="AP120">
        <v>1.9534292045119091E-2</v>
      </c>
      <c r="AQ120">
        <v>3.0200797379379536E-2</v>
      </c>
      <c r="AR120">
        <v>4.6954893484656667E-2</v>
      </c>
      <c r="AS120">
        <v>7.1872878971078025E-2</v>
      </c>
      <c r="AT120">
        <v>0.10698365598780905</v>
      </c>
      <c r="AU120">
        <v>0.14690133868387881</v>
      </c>
      <c r="AV120">
        <v>0.17985227207817817</v>
      </c>
      <c r="AW120">
        <v>0.18984651902912544</v>
      </c>
      <c r="AX120">
        <v>64.841999999999999</v>
      </c>
    </row>
    <row r="121" spans="1:50" x14ac:dyDescent="0.25">
      <c r="A121" t="s">
        <v>462</v>
      </c>
      <c r="B121" t="s">
        <v>463</v>
      </c>
      <c r="C121">
        <v>764</v>
      </c>
      <c r="D121" t="s">
        <v>225</v>
      </c>
      <c r="E121" t="s">
        <v>261</v>
      </c>
      <c r="F121" t="s">
        <v>262</v>
      </c>
      <c r="G121" t="s">
        <v>204</v>
      </c>
      <c r="H121" s="52">
        <v>69799978</v>
      </c>
      <c r="I121" s="52">
        <v>730247.36983600003</v>
      </c>
      <c r="J121">
        <v>0.98599999999999999</v>
      </c>
      <c r="K121">
        <v>0.99</v>
      </c>
      <c r="L121">
        <v>0.97</v>
      </c>
      <c r="M121">
        <v>2.8500000000000001E-2</v>
      </c>
      <c r="N121">
        <v>0.33797130006472659</v>
      </c>
      <c r="O121">
        <v>0.8</v>
      </c>
      <c r="P121">
        <f>VLOOKUP($F121,[2]!hbe_risk[#All],5,FALSE)</f>
        <v>0.17499999999999999</v>
      </c>
      <c r="Q121">
        <v>7.62807715586756</v>
      </c>
      <c r="R121">
        <v>29.953457155867561</v>
      </c>
      <c r="S121">
        <v>77.376600385686999</v>
      </c>
      <c r="T121">
        <v>86.850700216064581</v>
      </c>
      <c r="U121">
        <v>82.500393830913836</v>
      </c>
      <c r="V121">
        <v>4.1527686684629668</v>
      </c>
      <c r="W121">
        <v>4.7827686684629667</v>
      </c>
      <c r="X121">
        <v>3.7296558436362823</v>
      </c>
      <c r="Y121">
        <v>4.3596558436362827</v>
      </c>
      <c r="Z121">
        <v>4.3511177648193833</v>
      </c>
      <c r="AA121">
        <v>4.3623775151991557</v>
      </c>
      <c r="AB121">
        <v>4.9923775151991556</v>
      </c>
      <c r="AC121">
        <v>7.7542100000000209E-3</v>
      </c>
      <c r="AD121">
        <v>3.1376046453168293E-4</v>
      </c>
      <c r="AE121">
        <v>2.6511793415073733E-4</v>
      </c>
      <c r="AF121">
        <v>4.1268610609565656E-4</v>
      </c>
      <c r="AG121">
        <v>1.0755852102153319E-3</v>
      </c>
      <c r="AH121">
        <v>1.030660482926388E-3</v>
      </c>
      <c r="AI121">
        <v>1.1309371496397516E-3</v>
      </c>
      <c r="AJ121">
        <v>1.6092497209941237E-3</v>
      </c>
      <c r="AK121">
        <v>2.4445801003348941E-3</v>
      </c>
      <c r="AL121">
        <v>3.3453934851654273E-3</v>
      </c>
      <c r="AM121">
        <v>4.3620359040103997E-3</v>
      </c>
      <c r="AN121">
        <v>5.7565773076573038E-3</v>
      </c>
      <c r="AO121">
        <v>7.698281466240583E-3</v>
      </c>
      <c r="AP121">
        <v>1.1153551833355365E-2</v>
      </c>
      <c r="AQ121">
        <v>1.551458711682388E-2</v>
      </c>
      <c r="AR121">
        <v>2.4142227644320099E-2</v>
      </c>
      <c r="AS121">
        <v>3.8239856574070391E-2</v>
      </c>
      <c r="AT121">
        <v>5.8128074558650787E-2</v>
      </c>
      <c r="AU121">
        <v>8.4472703489192891E-2</v>
      </c>
      <c r="AV121">
        <v>0.11348109923047969</v>
      </c>
      <c r="AW121">
        <v>0.14059689474071249</v>
      </c>
      <c r="AX121">
        <v>76.831999999999994</v>
      </c>
    </row>
    <row r="122" spans="1:50" x14ac:dyDescent="0.25">
      <c r="A122" t="s">
        <v>464</v>
      </c>
      <c r="B122" t="s">
        <v>465</v>
      </c>
      <c r="C122">
        <v>626</v>
      </c>
      <c r="D122" t="s">
        <v>225</v>
      </c>
      <c r="E122" t="s">
        <v>261</v>
      </c>
      <c r="F122" t="s">
        <v>262</v>
      </c>
      <c r="G122" t="s">
        <v>212</v>
      </c>
      <c r="H122" s="52">
        <v>1318442</v>
      </c>
      <c r="I122" s="52">
        <v>39211.783521999998</v>
      </c>
      <c r="J122">
        <v>0.48499999999999999</v>
      </c>
      <c r="K122">
        <v>0.72</v>
      </c>
      <c r="L122">
        <v>0.86</v>
      </c>
      <c r="M122">
        <v>4.9100000000000005E-2</v>
      </c>
      <c r="N122">
        <v>0.32696072607084226</v>
      </c>
      <c r="O122">
        <v>0.8</v>
      </c>
      <c r="P122">
        <f>VLOOKUP($F122,[2]!hbe_risk[#All],5,FALSE)</f>
        <v>0.17499999999999999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4.1994438055446173</v>
      </c>
      <c r="W122">
        <v>4.8294438055446172</v>
      </c>
      <c r="X122">
        <v>3.789868835427995</v>
      </c>
      <c r="Y122">
        <v>4.4198688354279954</v>
      </c>
      <c r="Z122">
        <v>4.4163630198558153</v>
      </c>
      <c r="AA122">
        <v>4.4042261127754792</v>
      </c>
      <c r="AB122">
        <v>5.034226112775479</v>
      </c>
      <c r="AC122">
        <v>3.7353289999999977E-2</v>
      </c>
      <c r="AD122">
        <v>2.4417628768502436E-3</v>
      </c>
      <c r="AE122">
        <v>7.5046224500073598E-4</v>
      </c>
      <c r="AF122">
        <v>5.7988920376164806E-4</v>
      </c>
      <c r="AG122">
        <v>9.9963659850836736E-4</v>
      </c>
      <c r="AH122">
        <v>1.2610949192515483E-3</v>
      </c>
      <c r="AI122">
        <v>1.2042655371105656E-3</v>
      </c>
      <c r="AJ122">
        <v>1.3393810969544002E-3</v>
      </c>
      <c r="AK122">
        <v>1.7495403549045371E-3</v>
      </c>
      <c r="AL122">
        <v>2.5167331458246425E-3</v>
      </c>
      <c r="AM122">
        <v>4.0084334484345617E-3</v>
      </c>
      <c r="AN122">
        <v>6.5767792764623734E-3</v>
      </c>
      <c r="AO122">
        <v>1.127669195844757E-2</v>
      </c>
      <c r="AP122">
        <v>1.8097948710298718E-2</v>
      </c>
      <c r="AQ122">
        <v>2.8766280262766567E-2</v>
      </c>
      <c r="AR122">
        <v>4.5617304860966094E-2</v>
      </c>
      <c r="AS122">
        <v>7.006155706294212E-2</v>
      </c>
      <c r="AT122">
        <v>0.10010623874858736</v>
      </c>
      <c r="AU122">
        <v>0.13269986785632931</v>
      </c>
      <c r="AV122">
        <v>0.15930605284793065</v>
      </c>
      <c r="AW122">
        <v>0.17797230829114155</v>
      </c>
      <c r="AX122">
        <v>69.153000000000006</v>
      </c>
    </row>
    <row r="123" spans="1:50" x14ac:dyDescent="0.25">
      <c r="A123" t="s">
        <v>466</v>
      </c>
      <c r="B123" t="s">
        <v>467</v>
      </c>
      <c r="C123">
        <v>768</v>
      </c>
      <c r="D123" t="s">
        <v>207</v>
      </c>
      <c r="E123" t="s">
        <v>235</v>
      </c>
      <c r="F123" t="s">
        <v>211</v>
      </c>
      <c r="G123" t="s">
        <v>198</v>
      </c>
      <c r="H123" s="52">
        <v>8278736.9999999991</v>
      </c>
      <c r="I123" s="52">
        <v>275797.84441799996</v>
      </c>
      <c r="J123">
        <v>0.8</v>
      </c>
      <c r="K123">
        <v>0</v>
      </c>
      <c r="L123">
        <v>0.82</v>
      </c>
      <c r="M123">
        <v>0.13089999999999999</v>
      </c>
      <c r="N123">
        <v>0.29252493331506846</v>
      </c>
      <c r="O123">
        <v>0.38300000000000001</v>
      </c>
      <c r="P123">
        <f>VLOOKUP($F123,[2]!hbe_risk[#All],5,FALSE)</f>
        <v>4.8000000000000001E-2</v>
      </c>
      <c r="Q123">
        <v>2.8224420838971582</v>
      </c>
      <c r="R123">
        <v>25.147822083897161</v>
      </c>
      <c r="S123">
        <v>55.542097625926971</v>
      </c>
      <c r="T123">
        <v>56.153267003275843</v>
      </c>
      <c r="U123">
        <v>55.872630943672121</v>
      </c>
      <c r="V123">
        <v>2.6525585158331859</v>
      </c>
      <c r="W123">
        <v>7.482558515833186</v>
      </c>
      <c r="X123">
        <v>2.2435073129745668</v>
      </c>
      <c r="Y123">
        <v>7.0735073129745665</v>
      </c>
      <c r="Z123">
        <v>7.070372434611695</v>
      </c>
      <c r="AA123">
        <v>2.8571540886503253</v>
      </c>
      <c r="AB123">
        <v>7.6871540886503258</v>
      </c>
      <c r="AC123">
        <v>4.969623000000007E-2</v>
      </c>
      <c r="AD123">
        <v>6.7678911765234797E-3</v>
      </c>
      <c r="AE123">
        <v>3.0947733578997726E-3</v>
      </c>
      <c r="AF123">
        <v>1.8112940174932904E-3</v>
      </c>
      <c r="AG123">
        <v>2.7661457956693228E-3</v>
      </c>
      <c r="AH123">
        <v>3.8635098749342186E-3</v>
      </c>
      <c r="AI123">
        <v>4.1076620376263922E-3</v>
      </c>
      <c r="AJ123">
        <v>4.4948405076414245E-3</v>
      </c>
      <c r="AK123">
        <v>5.1105513966074384E-3</v>
      </c>
      <c r="AL123">
        <v>6.2099948399343616E-3</v>
      </c>
      <c r="AM123">
        <v>7.6812973015688134E-3</v>
      </c>
      <c r="AN123">
        <v>1.068530292173713E-2</v>
      </c>
      <c r="AO123">
        <v>1.511104924550352E-2</v>
      </c>
      <c r="AP123">
        <v>2.3399658356689515E-2</v>
      </c>
      <c r="AQ123">
        <v>3.5843422857449771E-2</v>
      </c>
      <c r="AR123">
        <v>5.6966775396661257E-2</v>
      </c>
      <c r="AS123">
        <v>8.6854207534117892E-2</v>
      </c>
      <c r="AT123">
        <v>0.12301208774582718</v>
      </c>
      <c r="AU123">
        <v>0.15561358021648744</v>
      </c>
      <c r="AV123">
        <v>0.17778575770131999</v>
      </c>
      <c r="AW123">
        <v>0.19405840489771495</v>
      </c>
      <c r="AX123">
        <v>60.527999999999999</v>
      </c>
    </row>
    <row r="124" spans="1:50" x14ac:dyDescent="0.25">
      <c r="A124" t="s">
        <v>468</v>
      </c>
      <c r="B124" t="s">
        <v>469</v>
      </c>
      <c r="C124">
        <v>776</v>
      </c>
      <c r="D124" t="s">
        <v>260</v>
      </c>
      <c r="E124" t="s">
        <v>309</v>
      </c>
      <c r="F124" t="s">
        <v>262</v>
      </c>
      <c r="G124" t="s">
        <v>204</v>
      </c>
      <c r="H124" s="52">
        <v>105697</v>
      </c>
      <c r="I124" s="52">
        <v>2584.714438</v>
      </c>
      <c r="J124">
        <v>0.98</v>
      </c>
      <c r="K124">
        <v>0.99</v>
      </c>
      <c r="L124">
        <v>0.99</v>
      </c>
      <c r="M124">
        <v>9.0500000000000011E-2</v>
      </c>
      <c r="N124">
        <v>0.3121111146320209</v>
      </c>
      <c r="O124">
        <v>0.8</v>
      </c>
      <c r="P124">
        <f>VLOOKUP($F124,[2]!hbe_risk[#All],5,FALSE)</f>
        <v>0.17499999999999999</v>
      </c>
      <c r="Q124">
        <v>8.1257213374999999</v>
      </c>
      <c r="R124">
        <v>30.451101337500003</v>
      </c>
      <c r="S124">
        <v>75.096891220683545</v>
      </c>
      <c r="T124">
        <v>83.125475705823547</v>
      </c>
      <c r="U124">
        <v>79.438919412903971</v>
      </c>
      <c r="V124">
        <v>8.3421370436712792</v>
      </c>
      <c r="W124">
        <v>8.97213704367128</v>
      </c>
      <c r="X124">
        <v>7.9272529870312383</v>
      </c>
      <c r="Y124">
        <v>8.557252987031239</v>
      </c>
      <c r="Z124">
        <v>8.552059428344819</v>
      </c>
      <c r="AA124">
        <v>8.5488121556626631</v>
      </c>
      <c r="AB124">
        <v>9.1788121556626638</v>
      </c>
      <c r="AC124">
        <v>1.2516630000000004E-2</v>
      </c>
      <c r="AD124">
        <v>7.8586133556862703E-4</v>
      </c>
      <c r="AE124">
        <v>3.9811078102040137E-4</v>
      </c>
      <c r="AF124">
        <v>3.7813773319574111E-4</v>
      </c>
      <c r="AG124">
        <v>9.4484556800651653E-4</v>
      </c>
      <c r="AH124">
        <v>1.3732255950006816E-3</v>
      </c>
      <c r="AI124">
        <v>1.5029202074101973E-3</v>
      </c>
      <c r="AJ124">
        <v>1.7968539659716511E-3</v>
      </c>
      <c r="AK124">
        <v>2.4218398057659412E-3</v>
      </c>
      <c r="AL124">
        <v>3.4808012206002121E-3</v>
      </c>
      <c r="AM124">
        <v>5.2317906143452856E-3</v>
      </c>
      <c r="AN124">
        <v>7.9078565328276531E-3</v>
      </c>
      <c r="AO124">
        <v>1.1677580060920043E-2</v>
      </c>
      <c r="AP124">
        <v>1.8528062502888052E-2</v>
      </c>
      <c r="AQ124">
        <v>2.9504773065557197E-2</v>
      </c>
      <c r="AR124">
        <v>4.5748277535170925E-2</v>
      </c>
      <c r="AS124">
        <v>6.8800985138411583E-2</v>
      </c>
      <c r="AT124">
        <v>9.9582487239060005E-2</v>
      </c>
      <c r="AU124">
        <v>0.13436603086610061</v>
      </c>
      <c r="AV124">
        <v>0.16388950357319268</v>
      </c>
      <c r="AW124">
        <v>0.18198957321540954</v>
      </c>
      <c r="AX124">
        <v>70.741</v>
      </c>
    </row>
    <row r="125" spans="1:50" x14ac:dyDescent="0.25">
      <c r="A125" t="s">
        <v>470</v>
      </c>
      <c r="B125" t="s">
        <v>471</v>
      </c>
      <c r="C125">
        <v>788</v>
      </c>
      <c r="D125" t="s">
        <v>196</v>
      </c>
      <c r="E125" t="s">
        <v>197</v>
      </c>
      <c r="F125" t="s">
        <v>197</v>
      </c>
      <c r="G125" t="s">
        <v>212</v>
      </c>
      <c r="H125" s="52">
        <v>11818618</v>
      </c>
      <c r="I125" s="52">
        <v>209354.99925199998</v>
      </c>
      <c r="J125">
        <v>0.997</v>
      </c>
      <c r="K125">
        <v>0.74</v>
      </c>
      <c r="L125">
        <v>0.92</v>
      </c>
      <c r="M125">
        <v>2.7900000000000001E-2</v>
      </c>
      <c r="N125">
        <v>0.24242703990008532</v>
      </c>
      <c r="O125">
        <v>0.8</v>
      </c>
      <c r="P125">
        <f>VLOOKUP($F125,[2]!hbe_risk[#All],5,FALSE)</f>
        <v>0.17499999999999999</v>
      </c>
      <c r="Q125">
        <v>8.4154129513797606</v>
      </c>
      <c r="R125">
        <v>30.740792951379763</v>
      </c>
      <c r="S125">
        <v>81.196220710525708</v>
      </c>
      <c r="T125">
        <v>92.248518656593973</v>
      </c>
      <c r="U125">
        <v>87.173537055576475</v>
      </c>
      <c r="V125">
        <v>4.6558844138493498</v>
      </c>
      <c r="W125">
        <v>5.1358844138493502</v>
      </c>
      <c r="X125">
        <v>4.2337700448650351</v>
      </c>
      <c r="Y125">
        <v>4.7137700448650346</v>
      </c>
      <c r="Z125">
        <v>4.7050666291872059</v>
      </c>
      <c r="AA125">
        <v>4.8651372893721723</v>
      </c>
      <c r="AB125">
        <v>5.3451372893721718</v>
      </c>
      <c r="AC125">
        <v>1.2677660000000033E-2</v>
      </c>
      <c r="AD125">
        <v>1.9627581808793928E-4</v>
      </c>
      <c r="AE125">
        <v>1.4528651183933218E-4</v>
      </c>
      <c r="AF125">
        <v>2.4567711450364222E-4</v>
      </c>
      <c r="AG125">
        <v>3.6946046825902569E-4</v>
      </c>
      <c r="AH125">
        <v>5.0218321994208073E-4</v>
      </c>
      <c r="AI125">
        <v>5.7026953078073554E-4</v>
      </c>
      <c r="AJ125">
        <v>6.6872513126501731E-4</v>
      </c>
      <c r="AK125">
        <v>9.3910189950180975E-4</v>
      </c>
      <c r="AL125">
        <v>1.4957061989991033E-3</v>
      </c>
      <c r="AM125">
        <v>2.4580043509297789E-3</v>
      </c>
      <c r="AN125">
        <v>4.2143535591497288E-3</v>
      </c>
      <c r="AO125">
        <v>7.0562475351473204E-3</v>
      </c>
      <c r="AP125">
        <v>1.1396783036291771E-2</v>
      </c>
      <c r="AQ125">
        <v>1.8035765263121787E-2</v>
      </c>
      <c r="AR125">
        <v>3.0927293601049979E-2</v>
      </c>
      <c r="AS125">
        <v>5.1611262134234469E-2</v>
      </c>
      <c r="AT125">
        <v>8.0339742551862076E-2</v>
      </c>
      <c r="AU125">
        <v>0.11383684488647333</v>
      </c>
      <c r="AV125">
        <v>0.14455560452381014</v>
      </c>
      <c r="AW125">
        <v>0.16765105573113256</v>
      </c>
      <c r="AX125">
        <v>76.412000000000006</v>
      </c>
    </row>
    <row r="126" spans="1:50" x14ac:dyDescent="0.25">
      <c r="A126" t="s">
        <v>472</v>
      </c>
      <c r="B126" t="s">
        <v>473</v>
      </c>
      <c r="C126">
        <v>792</v>
      </c>
      <c r="D126" t="s">
        <v>201</v>
      </c>
      <c r="E126" t="s">
        <v>197</v>
      </c>
      <c r="F126" t="s">
        <v>197</v>
      </c>
      <c r="G126" t="s">
        <v>204</v>
      </c>
      <c r="H126" s="52">
        <v>84339067</v>
      </c>
      <c r="I126" s="52">
        <v>1364521.7649929998</v>
      </c>
      <c r="J126">
        <v>0.97199999999999998</v>
      </c>
      <c r="K126">
        <v>0.99</v>
      </c>
      <c r="L126">
        <v>0.98</v>
      </c>
      <c r="M126">
        <v>3.3599999999999998E-2</v>
      </c>
      <c r="N126">
        <v>0.26035290193446103</v>
      </c>
      <c r="O126">
        <v>0.8</v>
      </c>
      <c r="P126">
        <f>VLOOKUP($F126,[2]!hbe_risk[#All],5,FALSE)</f>
        <v>0.17499999999999999</v>
      </c>
      <c r="Q126">
        <v>17.3897577302881</v>
      </c>
      <c r="R126">
        <v>39.715137730288099</v>
      </c>
      <c r="S126">
        <v>130.04887233115298</v>
      </c>
      <c r="T126">
        <v>161.85643519575268</v>
      </c>
      <c r="U126">
        <v>147.25107465455631</v>
      </c>
      <c r="V126">
        <v>4.5026018395645444</v>
      </c>
      <c r="W126">
        <v>4.9826018395645448</v>
      </c>
      <c r="X126">
        <v>4.0743139237824764</v>
      </c>
      <c r="Y126">
        <v>4.5543139237824768</v>
      </c>
      <c r="Z126">
        <v>4.5432734261107584</v>
      </c>
      <c r="AA126">
        <v>4.7140557187283054</v>
      </c>
      <c r="AB126">
        <v>5.1940557187283058</v>
      </c>
      <c r="AC126">
        <v>8.9014999999999424E-3</v>
      </c>
      <c r="AD126">
        <v>1.097020124639483E-3</v>
      </c>
      <c r="AE126">
        <v>6.8233732436322344E-4</v>
      </c>
      <c r="AF126">
        <v>5.8293869224911119E-4</v>
      </c>
      <c r="AG126">
        <v>6.9161083369162935E-4</v>
      </c>
      <c r="AH126">
        <v>9.610203211651119E-4</v>
      </c>
      <c r="AI126">
        <v>1.1743539157698713E-3</v>
      </c>
      <c r="AJ126">
        <v>1.3773674385343317E-3</v>
      </c>
      <c r="AK126">
        <v>1.63236314837688E-3</v>
      </c>
      <c r="AL126">
        <v>2.0036536018016877E-3</v>
      </c>
      <c r="AM126">
        <v>2.5905013303449825E-3</v>
      </c>
      <c r="AN126">
        <v>3.5336754952400335E-3</v>
      </c>
      <c r="AO126">
        <v>5.2342069954233695E-3</v>
      </c>
      <c r="AP126">
        <v>8.141221637455922E-3</v>
      </c>
      <c r="AQ126">
        <v>1.3253706198103562E-2</v>
      </c>
      <c r="AR126">
        <v>2.3686231366021757E-2</v>
      </c>
      <c r="AS126">
        <v>4.1915463863461941E-2</v>
      </c>
      <c r="AT126">
        <v>6.9301655157393394E-2</v>
      </c>
      <c r="AU126">
        <v>0.10394418678596659</v>
      </c>
      <c r="AV126">
        <v>0.13985879158367465</v>
      </c>
      <c r="AW126">
        <v>0.16827629047061654</v>
      </c>
      <c r="AX126">
        <v>77.307000000000002</v>
      </c>
    </row>
    <row r="127" spans="1:50" x14ac:dyDescent="0.25">
      <c r="A127" t="s">
        <v>474</v>
      </c>
      <c r="B127" t="s">
        <v>475</v>
      </c>
      <c r="C127">
        <v>795</v>
      </c>
      <c r="D127" t="s">
        <v>201</v>
      </c>
      <c r="E127" t="s">
        <v>220</v>
      </c>
      <c r="F127" t="s">
        <v>203</v>
      </c>
      <c r="G127" t="s">
        <v>204</v>
      </c>
      <c r="H127" s="52">
        <v>6031187</v>
      </c>
      <c r="I127" s="52">
        <v>144651.989008</v>
      </c>
      <c r="J127">
        <v>0.999</v>
      </c>
      <c r="K127">
        <v>0.99</v>
      </c>
      <c r="L127">
        <v>0.99</v>
      </c>
      <c r="M127">
        <v>2.1600000000000001E-2</v>
      </c>
      <c r="N127">
        <v>0.29844783701106414</v>
      </c>
      <c r="O127">
        <v>0.8</v>
      </c>
      <c r="P127">
        <f>VLOOKUP($F127,[2]!hbe_risk[#All],5,FALSE)</f>
        <v>0.17499999999999999</v>
      </c>
      <c r="Q127">
        <v>8.1249497263290298</v>
      </c>
      <c r="R127">
        <v>30.450329726329031</v>
      </c>
      <c r="S127">
        <v>78.849495903092361</v>
      </c>
      <c r="T127">
        <v>88.831581564232266</v>
      </c>
      <c r="U127">
        <v>84.248018823048028</v>
      </c>
      <c r="V127">
        <v>6.825519968601089</v>
      </c>
      <c r="W127">
        <v>10.895519968601089</v>
      </c>
      <c r="X127">
        <v>6.4005480242864969</v>
      </c>
      <c r="Y127">
        <v>10.470548024286497</v>
      </c>
      <c r="Z127">
        <v>10.461020004256071</v>
      </c>
      <c r="AA127">
        <v>7.0357916318503584</v>
      </c>
      <c r="AB127">
        <v>11.105791631850359</v>
      </c>
      <c r="AC127">
        <v>4.3312250000000059E-2</v>
      </c>
      <c r="AD127">
        <v>2.129730938856475E-3</v>
      </c>
      <c r="AE127">
        <v>3.8614591848633219E-4</v>
      </c>
      <c r="AF127">
        <v>3.7855029673770072E-4</v>
      </c>
      <c r="AG127">
        <v>8.7258683867233228E-4</v>
      </c>
      <c r="AH127">
        <v>1.1692106846790363E-3</v>
      </c>
      <c r="AI127">
        <v>1.5081578317309081E-3</v>
      </c>
      <c r="AJ127">
        <v>2.0588723473310682E-3</v>
      </c>
      <c r="AK127">
        <v>2.9092955576564454E-3</v>
      </c>
      <c r="AL127">
        <v>4.1052005978659692E-3</v>
      </c>
      <c r="AM127">
        <v>5.6972405639618157E-3</v>
      </c>
      <c r="AN127">
        <v>8.9457697662400984E-3</v>
      </c>
      <c r="AO127">
        <v>1.3143500886882237E-2</v>
      </c>
      <c r="AP127">
        <v>2.1633277094430886E-2</v>
      </c>
      <c r="AQ127">
        <v>2.7878235961389927E-2</v>
      </c>
      <c r="AR127">
        <v>5.0225199226431996E-2</v>
      </c>
      <c r="AS127">
        <v>5.4753581410580343E-2</v>
      </c>
      <c r="AT127">
        <v>8.982279599249865E-2</v>
      </c>
      <c r="AU127">
        <v>0.1190525940821109</v>
      </c>
      <c r="AV127">
        <v>0.14721758250382633</v>
      </c>
      <c r="AW127">
        <v>0.16884971526321041</v>
      </c>
      <c r="AX127">
        <v>67.983000000000004</v>
      </c>
    </row>
    <row r="128" spans="1:50" x14ac:dyDescent="0.25">
      <c r="A128" t="s">
        <v>476</v>
      </c>
      <c r="B128" t="s">
        <v>477</v>
      </c>
      <c r="C128">
        <v>798</v>
      </c>
      <c r="D128" t="s">
        <v>260</v>
      </c>
      <c r="E128" t="s">
        <v>309</v>
      </c>
      <c r="F128" t="s">
        <v>262</v>
      </c>
      <c r="G128" t="s">
        <v>204</v>
      </c>
      <c r="H128" s="52">
        <v>11792</v>
      </c>
      <c r="I128" s="52">
        <v>270.86223999999999</v>
      </c>
      <c r="J128">
        <v>0.93</v>
      </c>
      <c r="K128">
        <v>0.99</v>
      </c>
      <c r="L128">
        <v>0.93</v>
      </c>
      <c r="M128">
        <v>5.3499999999999999E-2</v>
      </c>
      <c r="N128">
        <v>0</v>
      </c>
      <c r="O128">
        <v>0.8</v>
      </c>
      <c r="P128">
        <f>VLOOKUP($F128,[2]!hbe_risk[#All],5,FALSE)</f>
        <v>0.17499999999999999</v>
      </c>
      <c r="Q128">
        <v>7.3863738956453497</v>
      </c>
      <c r="R128">
        <v>29.711753895645352</v>
      </c>
      <c r="S128">
        <v>69.97988223422719</v>
      </c>
      <c r="T128">
        <v>75.730046889696212</v>
      </c>
      <c r="U128">
        <v>73.089692822901668</v>
      </c>
      <c r="V128">
        <v>17.099831850747904</v>
      </c>
      <c r="W128">
        <v>17.729831850747903</v>
      </c>
      <c r="X128">
        <v>16.686226363535543</v>
      </c>
      <c r="Y128">
        <v>17.316226363535542</v>
      </c>
      <c r="Z128">
        <v>17.311424963635179</v>
      </c>
      <c r="AA128">
        <v>17.306051124943334</v>
      </c>
      <c r="AB128">
        <v>17.936051124943333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478</v>
      </c>
      <c r="B129" t="s">
        <v>479</v>
      </c>
      <c r="C129">
        <v>800</v>
      </c>
      <c r="D129" t="s">
        <v>207</v>
      </c>
      <c r="E129" t="s">
        <v>255</v>
      </c>
      <c r="F129" t="s">
        <v>211</v>
      </c>
      <c r="G129" t="s">
        <v>198</v>
      </c>
      <c r="H129" s="52">
        <v>45741000</v>
      </c>
      <c r="I129" s="52">
        <v>1758146.8169999998</v>
      </c>
      <c r="J129">
        <v>0.7340000000000001</v>
      </c>
      <c r="K129">
        <v>0</v>
      </c>
      <c r="L129">
        <v>0.89</v>
      </c>
      <c r="M129">
        <v>3.44E-2</v>
      </c>
      <c r="N129">
        <v>0.29485926570865467</v>
      </c>
      <c r="O129">
        <v>0.38300000000000001</v>
      </c>
      <c r="P129">
        <f>VLOOKUP($F129,[2]!hbe_risk[#All],5,FALSE)</f>
        <v>4.8000000000000001E-2</v>
      </c>
      <c r="Q129">
        <v>2.9523801170731701</v>
      </c>
      <c r="R129">
        <v>25.277760117073171</v>
      </c>
      <c r="S129">
        <v>56.011113584782926</v>
      </c>
      <c r="T129">
        <v>56.798761171285634</v>
      </c>
      <c r="U129">
        <v>56.437090048312598</v>
      </c>
      <c r="V129">
        <v>2.2592786562391503</v>
      </c>
      <c r="W129">
        <v>7.0892786562391503</v>
      </c>
      <c r="X129">
        <v>1.8511055605607196</v>
      </c>
      <c r="Y129">
        <v>6.6811055605607201</v>
      </c>
      <c r="Z129">
        <v>6.6783411941982518</v>
      </c>
      <c r="AA129">
        <v>2.4635611647572664</v>
      </c>
      <c r="AB129">
        <v>7.293561164757266</v>
      </c>
      <c r="AC129">
        <v>4.6149780000000029E-2</v>
      </c>
      <c r="AD129">
        <v>4.3666682804769756E-3</v>
      </c>
      <c r="AE129">
        <v>1.4828482470511555E-3</v>
      </c>
      <c r="AF129">
        <v>1.112565357788755E-3</v>
      </c>
      <c r="AG129">
        <v>1.8217050840387593E-3</v>
      </c>
      <c r="AH129">
        <v>2.8048711625515434E-3</v>
      </c>
      <c r="AI129">
        <v>3.6411578979129509E-3</v>
      </c>
      <c r="AJ129">
        <v>4.5409485397054335E-3</v>
      </c>
      <c r="AK129">
        <v>5.804606999972311E-3</v>
      </c>
      <c r="AL129">
        <v>7.1639425081212894E-3</v>
      </c>
      <c r="AM129">
        <v>8.8477551169223508E-3</v>
      </c>
      <c r="AN129">
        <v>1.1856959713313804E-2</v>
      </c>
      <c r="AO129">
        <v>1.5285188012263345E-2</v>
      </c>
      <c r="AP129">
        <v>2.1816656292400011E-2</v>
      </c>
      <c r="AQ129">
        <v>3.2364169061510205E-2</v>
      </c>
      <c r="AR129">
        <v>4.8781801352619794E-2</v>
      </c>
      <c r="AS129">
        <v>7.2864429112246387E-2</v>
      </c>
      <c r="AT129">
        <v>0.10732075308252817</v>
      </c>
      <c r="AU129">
        <v>0.14682779299912954</v>
      </c>
      <c r="AV129">
        <v>0.17862055963278439</v>
      </c>
      <c r="AW129">
        <v>0.18895943002379714</v>
      </c>
      <c r="AX129">
        <v>62.756</v>
      </c>
    </row>
    <row r="130" spans="1:50" x14ac:dyDescent="0.25">
      <c r="A130" t="s">
        <v>480</v>
      </c>
      <c r="B130" t="s">
        <v>481</v>
      </c>
      <c r="C130">
        <v>804</v>
      </c>
      <c r="D130" t="s">
        <v>201</v>
      </c>
      <c r="E130" t="s">
        <v>229</v>
      </c>
      <c r="F130" t="s">
        <v>203</v>
      </c>
      <c r="G130" t="s">
        <v>212</v>
      </c>
      <c r="H130" s="52">
        <v>43733759</v>
      </c>
      <c r="I130" s="52">
        <v>420106.488954</v>
      </c>
      <c r="J130">
        <v>0.9890000000000001</v>
      </c>
      <c r="K130">
        <v>0.69</v>
      </c>
      <c r="L130">
        <v>0.81</v>
      </c>
      <c r="M130">
        <v>1.1299999999999999E-2</v>
      </c>
      <c r="N130">
        <v>0.29332293798817349</v>
      </c>
      <c r="O130">
        <v>0.8</v>
      </c>
      <c r="P130">
        <f>VLOOKUP($F130,[2]!hbe_risk[#All],5,FALSE)</f>
        <v>0.17499999999999999</v>
      </c>
      <c r="Q130">
        <v>6.43141683411059</v>
      </c>
      <c r="R130">
        <v>28.756796834110592</v>
      </c>
      <c r="S130">
        <v>70.90667872091268</v>
      </c>
      <c r="T130">
        <v>77.636230328784578</v>
      </c>
      <c r="U130">
        <v>74.546162475049513</v>
      </c>
      <c r="V130">
        <v>1.2466519018248243</v>
      </c>
      <c r="W130">
        <v>5.3166519018248248</v>
      </c>
      <c r="X130">
        <v>0.82344592521102</v>
      </c>
      <c r="Y130">
        <v>4.8934459252110205</v>
      </c>
      <c r="Z130">
        <v>4.8843586097537841</v>
      </c>
      <c r="AA130">
        <v>1.4562939591981603</v>
      </c>
      <c r="AB130">
        <v>5.5262939591981608</v>
      </c>
      <c r="AC130">
        <v>7.1988199999999782E-3</v>
      </c>
      <c r="AD130">
        <v>3.4605619626682644E-4</v>
      </c>
      <c r="AE130">
        <v>2.0387382662555634E-4</v>
      </c>
      <c r="AF130">
        <v>2.4994944297614867E-4</v>
      </c>
      <c r="AG130">
        <v>4.9423232522274234E-4</v>
      </c>
      <c r="AH130">
        <v>9.1381254585202055E-4</v>
      </c>
      <c r="AI130">
        <v>1.483689618571862E-3</v>
      </c>
      <c r="AJ130">
        <v>2.5375493725730974E-3</v>
      </c>
      <c r="AK130">
        <v>3.5228549990708184E-3</v>
      </c>
      <c r="AL130">
        <v>4.5385057197526437E-3</v>
      </c>
      <c r="AM130">
        <v>6.1813399154259591E-3</v>
      </c>
      <c r="AN130">
        <v>8.7357550999179606E-3</v>
      </c>
      <c r="AO130">
        <v>1.2623879431564428E-2</v>
      </c>
      <c r="AP130">
        <v>1.8374976740519189E-2</v>
      </c>
      <c r="AQ130">
        <v>2.5077379297346596E-2</v>
      </c>
      <c r="AR130">
        <v>3.8590807488594267E-2</v>
      </c>
      <c r="AS130">
        <v>5.8432410142430218E-2</v>
      </c>
      <c r="AT130">
        <v>8.5062359967624401E-2</v>
      </c>
      <c r="AU130">
        <v>0.1170299537619949</v>
      </c>
      <c r="AV130">
        <v>0.14961991461844867</v>
      </c>
      <c r="AW130">
        <v>0.17362844380260056</v>
      </c>
      <c r="AX130">
        <v>71.819000000000003</v>
      </c>
    </row>
    <row r="131" spans="1:50" x14ac:dyDescent="0.25">
      <c r="A131" t="s">
        <v>482</v>
      </c>
      <c r="B131" t="s">
        <v>483</v>
      </c>
      <c r="C131">
        <v>860</v>
      </c>
      <c r="D131" t="s">
        <v>201</v>
      </c>
      <c r="E131" t="s">
        <v>220</v>
      </c>
      <c r="F131" t="s">
        <v>203</v>
      </c>
      <c r="G131" t="s">
        <v>212</v>
      </c>
      <c r="H131" s="52">
        <v>33469199</v>
      </c>
      <c r="I131" s="52">
        <v>730331.39137900004</v>
      </c>
      <c r="J131">
        <v>0.996</v>
      </c>
      <c r="K131">
        <v>0.97</v>
      </c>
      <c r="L131">
        <v>0.95</v>
      </c>
      <c r="M131">
        <v>4.7699999999999992E-2</v>
      </c>
      <c r="N131">
        <v>0.30593511955523012</v>
      </c>
      <c r="O131">
        <v>0.8</v>
      </c>
      <c r="P131">
        <f>VLOOKUP($F131,[2]!hbe_risk[#All],5,FALSE)</f>
        <v>0.17499999999999999</v>
      </c>
      <c r="Q131">
        <v>3.9709179895561402</v>
      </c>
      <c r="R131">
        <v>26.296297989556141</v>
      </c>
      <c r="S131">
        <v>59.910508827942593</v>
      </c>
      <c r="T131">
        <v>62.197541986611718</v>
      </c>
      <c r="U131">
        <v>61.147384701873328</v>
      </c>
      <c r="V131">
        <v>3.2439282317097313</v>
      </c>
      <c r="W131">
        <v>7.3139282317097312</v>
      </c>
      <c r="X131">
        <v>2.832789105927525</v>
      </c>
      <c r="Y131">
        <v>6.9027891059275248</v>
      </c>
      <c r="Z131">
        <v>6.8987718881705256</v>
      </c>
      <c r="AA131">
        <v>3.4492681944387584</v>
      </c>
      <c r="AB131">
        <v>7.5192681944387587</v>
      </c>
      <c r="AC131">
        <v>2.0835470000000061E-2</v>
      </c>
      <c r="AD131">
        <v>1.2221924542139809E-3</v>
      </c>
      <c r="AE131">
        <v>2.8759897009950872E-4</v>
      </c>
      <c r="AF131">
        <v>3.0645962075525354E-4</v>
      </c>
      <c r="AG131">
        <v>5.0447480651230712E-4</v>
      </c>
      <c r="AH131">
        <v>7.2446909122894415E-4</v>
      </c>
      <c r="AI131">
        <v>9.7348908487552329E-4</v>
      </c>
      <c r="AJ131">
        <v>1.319865314538814E-3</v>
      </c>
      <c r="AK131">
        <v>1.8403965508041662E-3</v>
      </c>
      <c r="AL131">
        <v>2.5695807395264944E-3</v>
      </c>
      <c r="AM131">
        <v>3.8966223465779679E-3</v>
      </c>
      <c r="AN131">
        <v>6.2610641946699601E-3</v>
      </c>
      <c r="AO131">
        <v>1.0593543607104964E-2</v>
      </c>
      <c r="AP131">
        <v>1.8161334786417935E-2</v>
      </c>
      <c r="AQ131">
        <v>2.8615281557734854E-2</v>
      </c>
      <c r="AR131">
        <v>4.4290652552574764E-2</v>
      </c>
      <c r="AS131">
        <v>6.6937789309553714E-2</v>
      </c>
      <c r="AT131">
        <v>9.5342529249283853E-2</v>
      </c>
      <c r="AU131">
        <v>0.12569422224177099</v>
      </c>
      <c r="AV131">
        <v>0.15364270326612647</v>
      </c>
      <c r="AW131">
        <v>0.17363588120761062</v>
      </c>
      <c r="AX131">
        <v>71.531999999999996</v>
      </c>
    </row>
    <row r="132" spans="1:50" x14ac:dyDescent="0.25">
      <c r="A132" t="s">
        <v>484</v>
      </c>
      <c r="B132" t="s">
        <v>485</v>
      </c>
      <c r="C132">
        <v>548</v>
      </c>
      <c r="D132" t="s">
        <v>260</v>
      </c>
      <c r="E132" t="s">
        <v>309</v>
      </c>
      <c r="F132" t="s">
        <v>262</v>
      </c>
      <c r="G132" t="s">
        <v>212</v>
      </c>
      <c r="H132" s="52">
        <v>307150</v>
      </c>
      <c r="I132" s="52">
        <v>9152.1485499999999</v>
      </c>
      <c r="J132">
        <v>0.88500000000000001</v>
      </c>
      <c r="K132">
        <v>0.59</v>
      </c>
      <c r="L132">
        <v>0.78</v>
      </c>
      <c r="M132">
        <v>0.1133</v>
      </c>
      <c r="N132">
        <v>0.33217937182255036</v>
      </c>
      <c r="O132">
        <v>0.8</v>
      </c>
      <c r="P132">
        <f>VLOOKUP($F132,[2]!hbe_risk[#All],5,FALSE)</f>
        <v>0.17499999999999999</v>
      </c>
      <c r="Q132">
        <v>10.41503758963283</v>
      </c>
      <c r="R132">
        <v>32.740417589632834</v>
      </c>
      <c r="S132">
        <v>82.864168751039529</v>
      </c>
      <c r="T132">
        <v>93.743840620462194</v>
      </c>
      <c r="U132">
        <v>88.748125264989937</v>
      </c>
      <c r="V132">
        <v>6.6978892242118286</v>
      </c>
      <c r="W132">
        <v>7.3278892242118285</v>
      </c>
      <c r="X132">
        <v>6.2805002333861344</v>
      </c>
      <c r="Y132">
        <v>6.9105002333861343</v>
      </c>
      <c r="Z132">
        <v>6.9041267698822946</v>
      </c>
      <c r="AA132">
        <v>6.9054573996954902</v>
      </c>
      <c r="AB132">
        <v>7.5354573996954901</v>
      </c>
      <c r="AC132">
        <v>2.2365599999999975E-2</v>
      </c>
      <c r="AD132">
        <v>1.0929417991020081E-3</v>
      </c>
      <c r="AE132">
        <v>4.2713469309892517E-4</v>
      </c>
      <c r="AF132">
        <v>3.6316758096208623E-4</v>
      </c>
      <c r="AG132">
        <v>7.3020412598037775E-4</v>
      </c>
      <c r="AH132">
        <v>9.042212246174623E-4</v>
      </c>
      <c r="AI132">
        <v>9.2983137088334909E-4</v>
      </c>
      <c r="AJ132">
        <v>1.1272768136882424E-3</v>
      </c>
      <c r="AK132">
        <v>1.5717165040655993E-3</v>
      </c>
      <c r="AL132">
        <v>2.351146667285709E-3</v>
      </c>
      <c r="AM132">
        <v>3.7690140973061256E-3</v>
      </c>
      <c r="AN132">
        <v>6.0679485172212225E-3</v>
      </c>
      <c r="AO132">
        <v>9.7874537245933452E-3</v>
      </c>
      <c r="AP132">
        <v>1.8251739662412808E-2</v>
      </c>
      <c r="AQ132">
        <v>3.3313885056041562E-2</v>
      </c>
      <c r="AR132">
        <v>5.4982650823014151E-2</v>
      </c>
      <c r="AS132">
        <v>8.3190798891907114E-2</v>
      </c>
      <c r="AT132">
        <v>0.11701161385805187</v>
      </c>
      <c r="AU132">
        <v>0.15147798322094647</v>
      </c>
      <c r="AV132">
        <v>0.17593865686013324</v>
      </c>
      <c r="AW132">
        <v>0.18801125334265398</v>
      </c>
      <c r="AX132">
        <v>70.247</v>
      </c>
    </row>
    <row r="133" spans="1:50" x14ac:dyDescent="0.25">
      <c r="A133" t="s">
        <v>486</v>
      </c>
      <c r="B133" t="s">
        <v>487</v>
      </c>
      <c r="C133">
        <v>862</v>
      </c>
      <c r="D133" t="s">
        <v>215</v>
      </c>
      <c r="E133" t="s">
        <v>274</v>
      </c>
      <c r="F133" t="s">
        <v>217</v>
      </c>
      <c r="G133" t="s">
        <v>204</v>
      </c>
      <c r="H133" s="52">
        <v>28435943</v>
      </c>
      <c r="I133" s="52">
        <v>512671.616347</v>
      </c>
      <c r="J133">
        <v>0.9890000000000001</v>
      </c>
      <c r="K133">
        <v>0.5</v>
      </c>
      <c r="L133">
        <v>0.54</v>
      </c>
      <c r="M133">
        <v>1.8100000000000002E-2</v>
      </c>
      <c r="N133">
        <v>0.32005043651541387</v>
      </c>
      <c r="O133">
        <v>0.8</v>
      </c>
      <c r="P133">
        <f>VLOOKUP($F133,[2]!hbe_risk[#All],5,FALSE)</f>
        <v>0.17499999999999999</v>
      </c>
      <c r="Q133">
        <v>18.251532476571199</v>
      </c>
      <c r="R133">
        <v>40.576912476571202</v>
      </c>
      <c r="S133">
        <v>128.23236989580428</v>
      </c>
      <c r="T133">
        <v>158.64598309622539</v>
      </c>
      <c r="U133">
        <v>144.68069477647754</v>
      </c>
      <c r="V133">
        <v>2.4508126612795853</v>
      </c>
      <c r="W133">
        <v>2.4708126612795853</v>
      </c>
      <c r="X133">
        <v>1.9956079296397524</v>
      </c>
      <c r="Y133">
        <v>2.0156079296397524</v>
      </c>
      <c r="Z133">
        <v>1.9923139036629227</v>
      </c>
      <c r="AA133">
        <v>2.6718629704448098</v>
      </c>
      <c r="AB133">
        <v>2.6918629704448098</v>
      </c>
      <c r="AC133">
        <v>2.5699989999999961E-2</v>
      </c>
      <c r="AD133">
        <v>1.3222108044523197E-3</v>
      </c>
      <c r="AE133">
        <v>2.4073538723623375E-4</v>
      </c>
      <c r="AF133">
        <v>3.4713920646440243E-4</v>
      </c>
      <c r="AG133">
        <v>1.4184656835969935E-3</v>
      </c>
      <c r="AH133">
        <v>2.2033272891926218E-3</v>
      </c>
      <c r="AI133">
        <v>2.1654139598228104E-3</v>
      </c>
      <c r="AJ133">
        <v>2.1285661497573356E-3</v>
      </c>
      <c r="AK133">
        <v>2.0966897267258268E-3</v>
      </c>
      <c r="AL133">
        <v>2.6490402944047372E-3</v>
      </c>
      <c r="AM133">
        <v>3.9420058344002418E-3</v>
      </c>
      <c r="AN133">
        <v>6.3232546972606593E-3</v>
      </c>
      <c r="AO133">
        <v>9.5742306335507461E-3</v>
      </c>
      <c r="AP133">
        <v>1.4907524922666745E-2</v>
      </c>
      <c r="AQ133">
        <v>2.4610677860725554E-2</v>
      </c>
      <c r="AR133">
        <v>3.6409941346616043E-2</v>
      </c>
      <c r="AS133">
        <v>5.2218420994053362E-2</v>
      </c>
      <c r="AT133">
        <v>6.5955992816426945E-2</v>
      </c>
      <c r="AU133">
        <v>9.2410300253510005E-2</v>
      </c>
      <c r="AV133">
        <v>0.11340137220322517</v>
      </c>
      <c r="AW133">
        <v>0.14518603818032744</v>
      </c>
      <c r="AX133">
        <v>72.126000000000005</v>
      </c>
    </row>
    <row r="134" spans="1:50" x14ac:dyDescent="0.25">
      <c r="A134" t="s">
        <v>488</v>
      </c>
      <c r="B134" t="s">
        <v>489</v>
      </c>
      <c r="C134">
        <v>704</v>
      </c>
      <c r="D134" t="s">
        <v>260</v>
      </c>
      <c r="E134" t="s">
        <v>261</v>
      </c>
      <c r="F134" t="s">
        <v>262</v>
      </c>
      <c r="G134" t="s">
        <v>212</v>
      </c>
      <c r="H134" s="52">
        <v>97338583</v>
      </c>
      <c r="I134" s="52">
        <v>1649402.2889350001</v>
      </c>
      <c r="J134">
        <v>0.93599999999999994</v>
      </c>
      <c r="K134">
        <v>0.82</v>
      </c>
      <c r="L134">
        <v>0.94</v>
      </c>
      <c r="M134">
        <v>9.9399999999999988E-2</v>
      </c>
      <c r="N134">
        <v>0.33293982634150898</v>
      </c>
      <c r="O134">
        <v>0.8</v>
      </c>
      <c r="P134">
        <f>VLOOKUP($F134,[2]!hbe_risk[#All],5,FALSE)</f>
        <v>0.17499999999999999</v>
      </c>
      <c r="Q134">
        <v>3.7599611613328898</v>
      </c>
      <c r="R134">
        <v>26.085341161332892</v>
      </c>
      <c r="S134">
        <v>59.231254746038331</v>
      </c>
      <c r="T134">
        <v>61.274555551692863</v>
      </c>
      <c r="U134">
        <v>60.336315011613152</v>
      </c>
      <c r="V134">
        <v>1.689900608006079</v>
      </c>
      <c r="W134">
        <v>2.3199006080060789</v>
      </c>
      <c r="X134">
        <v>1.2721249493698821</v>
      </c>
      <c r="Y134">
        <v>1.902124949369882</v>
      </c>
      <c r="Z134">
        <v>1.8951732976380211</v>
      </c>
      <c r="AA134">
        <v>1.8976066389700073</v>
      </c>
      <c r="AB134">
        <v>2.5276066389700071</v>
      </c>
      <c r="AC134">
        <v>1.6719989999999962E-2</v>
      </c>
      <c r="AD134">
        <v>1.074007392868686E-3</v>
      </c>
      <c r="AE134">
        <v>5.1986004761057371E-4</v>
      </c>
      <c r="AF134">
        <v>4.6425695482473959E-4</v>
      </c>
      <c r="AG134">
        <v>7.4709195853657256E-4</v>
      </c>
      <c r="AH134">
        <v>1.0949769120276764E-3</v>
      </c>
      <c r="AI134">
        <v>1.3478919967957097E-3</v>
      </c>
      <c r="AJ134">
        <v>1.5740664399944847E-3</v>
      </c>
      <c r="AK134">
        <v>1.9469040335993407E-3</v>
      </c>
      <c r="AL134">
        <v>2.7465583305660434E-3</v>
      </c>
      <c r="AM134">
        <v>3.8466848305787659E-3</v>
      </c>
      <c r="AN134">
        <v>6.0966317411740006E-3</v>
      </c>
      <c r="AO134">
        <v>9.0932409918666086E-3</v>
      </c>
      <c r="AP134">
        <v>1.2370075602446197E-2</v>
      </c>
      <c r="AQ134">
        <v>1.9666568842624615E-2</v>
      </c>
      <c r="AR134">
        <v>2.8573098496802996E-2</v>
      </c>
      <c r="AS134">
        <v>4.1358156500670547E-2</v>
      </c>
      <c r="AT134">
        <v>5.8806692514714494E-2</v>
      </c>
      <c r="AU134">
        <v>8.1261666688670561E-2</v>
      </c>
      <c r="AV134">
        <v>0.10752480831792274</v>
      </c>
      <c r="AW134">
        <v>0.13494558564392925</v>
      </c>
      <c r="AX134">
        <v>75.274000000000001</v>
      </c>
    </row>
    <row r="135" spans="1:50" x14ac:dyDescent="0.25">
      <c r="A135" t="s">
        <v>490</v>
      </c>
      <c r="B135" t="s">
        <v>491</v>
      </c>
      <c r="C135">
        <v>887</v>
      </c>
      <c r="D135" t="s">
        <v>196</v>
      </c>
      <c r="E135" t="s">
        <v>197</v>
      </c>
      <c r="F135" t="s">
        <v>197</v>
      </c>
      <c r="G135" t="s">
        <v>198</v>
      </c>
      <c r="H135" s="52">
        <v>29825968</v>
      </c>
      <c r="I135" s="52">
        <v>915865.99937600002</v>
      </c>
      <c r="J135">
        <v>0.29799999999999999</v>
      </c>
      <c r="K135">
        <v>0</v>
      </c>
      <c r="L135">
        <v>0.72</v>
      </c>
      <c r="M135">
        <v>5.2199999999999996E-2</v>
      </c>
      <c r="N135">
        <v>0.26474528561701743</v>
      </c>
      <c r="O135">
        <v>0.8</v>
      </c>
      <c r="P135">
        <f>VLOOKUP($F135,[2]!hbe_risk[#All],5,FALSE)</f>
        <v>0.17499999999999999</v>
      </c>
      <c r="Q135">
        <v>4.5177073738237805</v>
      </c>
      <c r="R135">
        <v>26.843087373823781</v>
      </c>
      <c r="S135">
        <v>61.149872320533518</v>
      </c>
      <c r="T135">
        <v>63.797366096325113</v>
      </c>
      <c r="U135">
        <v>62.58169291537088</v>
      </c>
      <c r="V135">
        <v>1.3314357210538874</v>
      </c>
      <c r="W135">
        <v>1.8114357210538874</v>
      </c>
      <c r="X135">
        <v>0.92342366179905566</v>
      </c>
      <c r="Y135">
        <v>1.4034236617990556</v>
      </c>
      <c r="Z135">
        <v>1.4005239759556996</v>
      </c>
      <c r="AA135">
        <v>1.5356608165861985</v>
      </c>
      <c r="AB135">
        <v>2.0156608165861982</v>
      </c>
      <c r="AC135">
        <v>4.3243819999999975E-2</v>
      </c>
      <c r="AD135">
        <v>3.1878628680506588E-3</v>
      </c>
      <c r="AE135">
        <v>1.0755104394799659E-3</v>
      </c>
      <c r="AF135">
        <v>8.2982149371977341E-4</v>
      </c>
      <c r="AG135">
        <v>1.446398804521814E-3</v>
      </c>
      <c r="AH135">
        <v>1.8867766078899048E-3</v>
      </c>
      <c r="AI135">
        <v>2.0189155952171694E-3</v>
      </c>
      <c r="AJ135">
        <v>2.3586579614804717E-3</v>
      </c>
      <c r="AK135">
        <v>3.054114436365872E-3</v>
      </c>
      <c r="AL135">
        <v>4.1560499368770336E-3</v>
      </c>
      <c r="AM135">
        <v>5.9924111580954504E-3</v>
      </c>
      <c r="AN135">
        <v>8.8663325937431287E-3</v>
      </c>
      <c r="AO135">
        <v>1.3350100903980642E-2</v>
      </c>
      <c r="AP135">
        <v>2.0719238188878747E-2</v>
      </c>
      <c r="AQ135">
        <v>3.1931810153579147E-2</v>
      </c>
      <c r="AR135">
        <v>4.9280370540045165E-2</v>
      </c>
      <c r="AS135">
        <v>7.3902786181256466E-2</v>
      </c>
      <c r="AT135">
        <v>0.10372426533424323</v>
      </c>
      <c r="AU135">
        <v>0.13277904193486845</v>
      </c>
      <c r="AV135">
        <v>0.15834114184673809</v>
      </c>
      <c r="AW135">
        <v>0.17720592465305168</v>
      </c>
      <c r="AX135">
        <v>66.033000000000001</v>
      </c>
    </row>
    <row r="136" spans="1:50" x14ac:dyDescent="0.25">
      <c r="A136" t="s">
        <v>492</v>
      </c>
      <c r="B136" t="s">
        <v>493</v>
      </c>
      <c r="C136">
        <v>894</v>
      </c>
      <c r="D136" t="s">
        <v>207</v>
      </c>
      <c r="E136" t="s">
        <v>255</v>
      </c>
      <c r="F136" t="s">
        <v>211</v>
      </c>
      <c r="G136" t="s">
        <v>212</v>
      </c>
      <c r="H136" s="52">
        <v>18383956</v>
      </c>
      <c r="I136" s="52">
        <v>667025.07554799994</v>
      </c>
      <c r="J136">
        <v>0.83799999999999997</v>
      </c>
      <c r="K136">
        <v>0.94</v>
      </c>
      <c r="L136">
        <v>0.84</v>
      </c>
      <c r="M136">
        <v>5.1299999999999998E-2</v>
      </c>
      <c r="N136">
        <v>0.29477307241722039</v>
      </c>
      <c r="O136">
        <v>0.38300000000000001</v>
      </c>
      <c r="P136">
        <f>VLOOKUP($F136,[2]!hbe_risk[#All],5,FALSE)</f>
        <v>4.8000000000000001E-2</v>
      </c>
      <c r="Q136">
        <v>3.3906984496124002</v>
      </c>
      <c r="R136">
        <v>25.716078449612404</v>
      </c>
      <c r="S136">
        <v>57.281376647483171</v>
      </c>
      <c r="T136">
        <v>58.502022388611735</v>
      </c>
      <c r="U136">
        <v>57.941527665449527</v>
      </c>
      <c r="V136">
        <v>2.8858310659459843</v>
      </c>
      <c r="W136">
        <v>7.7158310659459843</v>
      </c>
      <c r="X136">
        <v>2.4787815275112242</v>
      </c>
      <c r="Y136">
        <v>7.3087815275112238</v>
      </c>
      <c r="Z136">
        <v>7.3062129653755168</v>
      </c>
      <c r="AA136">
        <v>3.0897130018815742</v>
      </c>
      <c r="AB136">
        <v>7.9197130018815738</v>
      </c>
      <c r="AC136">
        <v>4.562187000000005E-2</v>
      </c>
      <c r="AD136">
        <v>3.9584650792448229E-3</v>
      </c>
      <c r="AE136">
        <v>1.1583547777231982E-3</v>
      </c>
      <c r="AF136">
        <v>9.1470513016646152E-4</v>
      </c>
      <c r="AG136">
        <v>1.531452003082653E-3</v>
      </c>
      <c r="AH136">
        <v>2.4741698327244675E-3</v>
      </c>
      <c r="AI136">
        <v>3.4911013295935273E-3</v>
      </c>
      <c r="AJ136">
        <v>4.6009529940942706E-3</v>
      </c>
      <c r="AK136">
        <v>6.1717718734134166E-3</v>
      </c>
      <c r="AL136">
        <v>7.6011520993801212E-3</v>
      </c>
      <c r="AM136">
        <v>9.3461649765706496E-3</v>
      </c>
      <c r="AN136">
        <v>1.2159368343164913E-2</v>
      </c>
      <c r="AO136">
        <v>1.5391839618814176E-2</v>
      </c>
      <c r="AP136">
        <v>2.1392777652369688E-2</v>
      </c>
      <c r="AQ136">
        <v>3.1143819134226772E-2</v>
      </c>
      <c r="AR136">
        <v>4.631751204944709E-2</v>
      </c>
      <c r="AS136">
        <v>6.8688758505868031E-2</v>
      </c>
      <c r="AT136">
        <v>0.10188175021677477</v>
      </c>
      <c r="AU136">
        <v>0.14150118876299858</v>
      </c>
      <c r="AV136">
        <v>0.17482671250688042</v>
      </c>
      <c r="AW136">
        <v>0.18744568488376726</v>
      </c>
      <c r="AX136">
        <v>63.258000000000003</v>
      </c>
    </row>
    <row r="137" spans="1:50" x14ac:dyDescent="0.25">
      <c r="A137" t="s">
        <v>494</v>
      </c>
      <c r="B137" t="s">
        <v>495</v>
      </c>
      <c r="C137">
        <v>716</v>
      </c>
      <c r="D137" t="s">
        <v>207</v>
      </c>
      <c r="E137" t="s">
        <v>245</v>
      </c>
      <c r="F137" t="s">
        <v>211</v>
      </c>
      <c r="G137" t="s">
        <v>212</v>
      </c>
      <c r="H137" s="52">
        <v>14862927</v>
      </c>
      <c r="I137" s="52">
        <v>458446.98331499996</v>
      </c>
      <c r="J137">
        <v>0.85499999999999998</v>
      </c>
      <c r="K137">
        <v>0</v>
      </c>
      <c r="L137">
        <v>0.86</v>
      </c>
      <c r="M137">
        <v>9.8400000000000001E-2</v>
      </c>
      <c r="N137">
        <v>0.26470111064233304</v>
      </c>
      <c r="O137">
        <v>0.38300000000000001</v>
      </c>
      <c r="P137">
        <f>VLOOKUP($F137,[2]!hbe_risk[#All],5,FALSE)</f>
        <v>4.8000000000000001E-2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3.1451175849531543</v>
      </c>
      <c r="W137">
        <v>7.9751175849531544</v>
      </c>
      <c r="X137">
        <v>2.7371980941956306</v>
      </c>
      <c r="Y137">
        <v>7.5671980941956303</v>
      </c>
      <c r="Z137">
        <v>7.5645086202347365</v>
      </c>
      <c r="AA137">
        <v>3.3493096778038161</v>
      </c>
      <c r="AB137">
        <v>8.1793096778038166</v>
      </c>
      <c r="AC137">
        <v>3.875650999999998E-2</v>
      </c>
      <c r="AD137">
        <v>3.2526800259526263E-3</v>
      </c>
      <c r="AE137">
        <v>1.0638522358914809E-3</v>
      </c>
      <c r="AF137">
        <v>9.1060157396529416E-4</v>
      </c>
      <c r="AG137">
        <v>1.5706660873143156E-3</v>
      </c>
      <c r="AH137">
        <v>2.8353147933742433E-3</v>
      </c>
      <c r="AI137">
        <v>4.8215242159902784E-3</v>
      </c>
      <c r="AJ137">
        <v>6.8929795141483155E-3</v>
      </c>
      <c r="AK137">
        <v>9.6863229863942257E-3</v>
      </c>
      <c r="AL137">
        <v>1.1323427399634064E-2</v>
      </c>
      <c r="AM137">
        <v>1.3401073426724686E-2</v>
      </c>
      <c r="AN137">
        <v>1.6031317582619459E-2</v>
      </c>
      <c r="AO137">
        <v>1.9157607118950946E-2</v>
      </c>
      <c r="AP137">
        <v>2.4843485887357467E-2</v>
      </c>
      <c r="AQ137">
        <v>3.4380513825671297E-2</v>
      </c>
      <c r="AR137">
        <v>4.927703836195485E-2</v>
      </c>
      <c r="AS137">
        <v>7.1001716925981367E-2</v>
      </c>
      <c r="AT137">
        <v>0.10392577378203825</v>
      </c>
      <c r="AU137">
        <v>0.14303205028467894</v>
      </c>
      <c r="AV137">
        <v>0.17373202878536326</v>
      </c>
      <c r="AW137">
        <v>0.18559452784452807</v>
      </c>
      <c r="AX137">
        <v>60.832999999999998</v>
      </c>
    </row>
    <row r="138" spans="1:50" x14ac:dyDescent="0.25">
      <c r="H138" s="63"/>
      <c r="I138" s="63"/>
      <c r="K138" s="62"/>
      <c r="L138" s="62"/>
      <c r="P138" s="62"/>
      <c r="Q138" s="62"/>
      <c r="R138" s="62"/>
      <c r="S138" s="62"/>
      <c r="T138" s="62"/>
      <c r="U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</row>
    <row r="139" spans="1:50" x14ac:dyDescent="0.25">
      <c r="A139" s="59" t="s">
        <v>144</v>
      </c>
      <c r="B139" s="59" t="s">
        <v>145</v>
      </c>
      <c r="C139" s="59" t="s">
        <v>146</v>
      </c>
      <c r="D139" s="59" t="s">
        <v>147</v>
      </c>
      <c r="E139" s="59" t="s">
        <v>148</v>
      </c>
      <c r="F139" s="59" t="s">
        <v>149</v>
      </c>
      <c r="G139" s="59" t="s">
        <v>150</v>
      </c>
      <c r="H139" s="60" t="s">
        <v>151</v>
      </c>
      <c r="I139" s="60" t="s">
        <v>152</v>
      </c>
      <c r="J139" s="50" t="s">
        <v>153</v>
      </c>
      <c r="K139" s="50" t="s">
        <v>154</v>
      </c>
      <c r="L139" s="50" t="s">
        <v>155</v>
      </c>
      <c r="M139" s="58" t="s">
        <v>156</v>
      </c>
      <c r="N139" s="58" t="s">
        <v>157</v>
      </c>
      <c r="O139" s="58" t="s">
        <v>158</v>
      </c>
      <c r="P139" s="58" t="s">
        <v>159</v>
      </c>
      <c r="Q139" s="58" t="s">
        <v>160</v>
      </c>
      <c r="R139" s="58" t="s">
        <v>161</v>
      </c>
      <c r="S139" s="58" t="s">
        <v>162</v>
      </c>
      <c r="T139" s="58" t="s">
        <v>163</v>
      </c>
      <c r="U139" s="58" t="s">
        <v>164</v>
      </c>
      <c r="V139" s="58" t="s">
        <v>165</v>
      </c>
      <c r="W139" s="58" t="s">
        <v>166</v>
      </c>
      <c r="X139" s="58" t="s">
        <v>167</v>
      </c>
      <c r="Y139" s="58" t="s">
        <v>168</v>
      </c>
      <c r="Z139" s="58" t="s">
        <v>169</v>
      </c>
      <c r="AA139" s="58" t="s">
        <v>170</v>
      </c>
      <c r="AB139" s="58" t="s">
        <v>171</v>
      </c>
      <c r="AC139" s="49" t="s">
        <v>172</v>
      </c>
      <c r="AD139" s="49" t="s">
        <v>173</v>
      </c>
      <c r="AE139" s="49" t="s">
        <v>174</v>
      </c>
      <c r="AF139" s="49" t="s">
        <v>175</v>
      </c>
      <c r="AG139" s="49" t="s">
        <v>176</v>
      </c>
      <c r="AH139" s="49" t="s">
        <v>177</v>
      </c>
      <c r="AI139" s="49" t="s">
        <v>178</v>
      </c>
      <c r="AJ139" s="49" t="s">
        <v>179</v>
      </c>
      <c r="AK139" s="49" t="s">
        <v>180</v>
      </c>
      <c r="AL139" s="49" t="s">
        <v>181</v>
      </c>
      <c r="AM139" s="49" t="s">
        <v>182</v>
      </c>
      <c r="AN139" s="49" t="s">
        <v>183</v>
      </c>
      <c r="AO139" s="49" t="s">
        <v>184</v>
      </c>
      <c r="AP139" s="49" t="s">
        <v>185</v>
      </c>
      <c r="AQ139" s="49" t="s">
        <v>186</v>
      </c>
      <c r="AR139" s="49" t="s">
        <v>187</v>
      </c>
      <c r="AS139" s="49" t="s">
        <v>188</v>
      </c>
      <c r="AT139" s="49" t="s">
        <v>189</v>
      </c>
      <c r="AU139" s="49" t="s">
        <v>190</v>
      </c>
      <c r="AV139" s="49" t="s">
        <v>191</v>
      </c>
      <c r="AW139" s="49" t="s">
        <v>192</v>
      </c>
      <c r="AX139" s="51" t="s">
        <v>193</v>
      </c>
    </row>
    <row r="140" spans="1:50" x14ac:dyDescent="0.25">
      <c r="A140" t="s">
        <v>194</v>
      </c>
      <c r="B140" t="s">
        <v>195</v>
      </c>
      <c r="C140">
        <v>4</v>
      </c>
      <c r="D140" t="s">
        <v>196</v>
      </c>
      <c r="E140" t="s">
        <v>197</v>
      </c>
      <c r="F140" t="s">
        <v>197</v>
      </c>
      <c r="G140" t="s">
        <v>198</v>
      </c>
      <c r="J140">
        <f>VLOOKUP(raw_lb[[#This Row],[setting]],raw[],10,FALSE)*(1-interactive!$C$7)</f>
        <v>0.53484999999999994</v>
      </c>
      <c r="K140">
        <f>VLOOKUP(raw_lb[[#This Row],[setting]],raw[],11,FALSE)*(1-interactive!$C$7)</f>
        <v>0.36099999999999999</v>
      </c>
      <c r="L140">
        <f>VLOOKUP(raw_lb[[#This Row],[setting]],raw[],12,FALSE)*(1-interactive!$C$7)</f>
        <v>0.66499999999999992</v>
      </c>
      <c r="M140">
        <v>1.1399999999999999E-2</v>
      </c>
      <c r="N140">
        <v>0.14980000000000002</v>
      </c>
      <c r="O140">
        <v>0.7</v>
      </c>
      <c r="P140">
        <v>0.05</v>
      </c>
      <c r="Q140">
        <v>0.56777942583732099</v>
      </c>
      <c r="R140">
        <v>7.6286794258373209</v>
      </c>
      <c r="S140">
        <v>37.063427902606179</v>
      </c>
      <c r="T140">
        <v>37.123874981649003</v>
      </c>
      <c r="U140">
        <v>37.123874981649003</v>
      </c>
      <c r="V140">
        <v>0.6789836596237363</v>
      </c>
      <c r="W140">
        <v>1.1349836596237362</v>
      </c>
      <c r="X140">
        <v>0.20901365598781874</v>
      </c>
      <c r="Y140">
        <v>0.6650136559878187</v>
      </c>
      <c r="Z140">
        <v>0.66359528327313888</v>
      </c>
      <c r="AA140">
        <v>0.8199978454463136</v>
      </c>
      <c r="AB140">
        <v>1.2759978454463137</v>
      </c>
      <c r="AC140">
        <f>VLOOKUP($A140,raw[],29,FALSE)*(1-interactive!$C$7)</f>
        <v>4.9120624000000036E-2</v>
      </c>
      <c r="AD140">
        <f>VLOOKUP($A140,raw[],30,FALSE)*(1-interactive!$C$7)</f>
        <v>4.0475832665748312E-3</v>
      </c>
      <c r="AE140">
        <f>VLOOKUP($A140,raw[],31,FALSE)*(1-interactive!$C$7)</f>
        <v>1.2562550903421946E-3</v>
      </c>
      <c r="AF140">
        <f>VLOOKUP($A140,raw[],32,FALSE)*(1-interactive!$C$7)</f>
        <v>9.8832577325858105E-4</v>
      </c>
      <c r="AG140">
        <f>VLOOKUP($A140,raw[],33,FALSE)*(1-interactive!$C$7)</f>
        <v>1.5937485090018349E-3</v>
      </c>
      <c r="AH140">
        <f>VLOOKUP($A140,raw[],34,FALSE)*(1-interactive!$C$7)</f>
        <v>2.2207789992641841E-3</v>
      </c>
      <c r="AI140">
        <f>VLOOKUP($A140,raw[],35,FALSE)*(1-interactive!$C$7)</f>
        <v>2.4186840370301011E-3</v>
      </c>
      <c r="AJ140">
        <f>VLOOKUP($A140,raw[],36,FALSE)*(1-interactive!$C$7)</f>
        <v>2.7687203549625491E-3</v>
      </c>
      <c r="AK140">
        <f>VLOOKUP($A140,raw[],37,FALSE)*(1-interactive!$C$7)</f>
        <v>3.4285849844365602E-3</v>
      </c>
      <c r="AL140">
        <f>VLOOKUP($A140,raw[],38,FALSE)*(1-interactive!$C$7)</f>
        <v>4.5264417542140289E-3</v>
      </c>
      <c r="AM140">
        <f>VLOOKUP($A140,raw[],39,FALSE)*(1-interactive!$C$7)</f>
        <v>6.3359280504008799E-3</v>
      </c>
      <c r="AN140">
        <f>VLOOKUP($A140,raw[],40,FALSE)*(1-interactive!$C$7)</f>
        <v>9.2255564240715168E-3</v>
      </c>
      <c r="AO140">
        <f>VLOOKUP($A140,raw[],41,FALSE)*(1-interactive!$C$7)</f>
        <v>1.3603326594448448E-2</v>
      </c>
      <c r="AP140">
        <f>VLOOKUP($A140,raw[],42,FALSE)*(1-interactive!$C$7)</f>
        <v>2.0497586203941633E-2</v>
      </c>
      <c r="AQ140">
        <f>VLOOKUP($A140,raw[],43,FALSE)*(1-interactive!$C$7)</f>
        <v>3.0872546857944796E-2</v>
      </c>
      <c r="AR140">
        <f>VLOOKUP($A140,raw[],44,FALSE)*(1-interactive!$C$7)</f>
        <v>4.7064547908596689E-2</v>
      </c>
      <c r="AS140">
        <f>VLOOKUP($A140,raw[],45,FALSE)*(1-interactive!$C$7)</f>
        <v>7.0094918319276972E-2</v>
      </c>
      <c r="AT140">
        <f>VLOOKUP($A140,raw[],46,FALSE)*(1-interactive!$C$7)</f>
        <v>9.9604592682606283E-2</v>
      </c>
      <c r="AU140">
        <f>VLOOKUP($A140,raw[],47,FALSE)*(1-interactive!$C$7)</f>
        <v>0.13043837450783241</v>
      </c>
      <c r="AV140">
        <f>VLOOKUP($A140,raw[],48,FALSE)*(1-interactive!$C$7)</f>
        <v>0.15520510485122921</v>
      </c>
      <c r="AW140">
        <f>VLOOKUP($A140,raw[],49,FALSE)*(1-interactive!$C$7)</f>
        <v>0.17104372515538666</v>
      </c>
      <c r="AX140">
        <f>VLOOKUP($A140,raw[],50,FALSE)*(1-interactive!$C$7)</f>
        <v>61.065049999999992</v>
      </c>
    </row>
    <row r="141" spans="1:50" x14ac:dyDescent="0.25">
      <c r="A141" t="s">
        <v>199</v>
      </c>
      <c r="B141" t="s">
        <v>200</v>
      </c>
      <c r="C141">
        <v>8</v>
      </c>
      <c r="D141" t="s">
        <v>201</v>
      </c>
      <c r="E141" t="s">
        <v>202</v>
      </c>
      <c r="F141" t="s">
        <v>203</v>
      </c>
      <c r="G141" t="s">
        <v>204</v>
      </c>
      <c r="J141">
        <f>VLOOKUP(raw_lb[[#This Row],[setting]],raw[],10,FALSE)*(1-interactive!$C$7)</f>
        <v>0.93669999999999998</v>
      </c>
      <c r="K141">
        <f>VLOOKUP(raw_lb[[#This Row],[setting]],raw[],11,FALSE)*(1-interactive!$C$7)</f>
        <v>0.9405</v>
      </c>
      <c r="L141">
        <f>VLOOKUP(raw_lb[[#This Row],[setting]],raw[],12,FALSE)*(1-interactive!$C$7)</f>
        <v>0.93099999999999994</v>
      </c>
      <c r="M141">
        <v>6.6600000000000006E-2</v>
      </c>
      <c r="N141">
        <v>0.16329999999999997</v>
      </c>
      <c r="O141">
        <v>0.7</v>
      </c>
      <c r="P141">
        <v>0.05</v>
      </c>
      <c r="Q141">
        <v>1.59924244186047</v>
      </c>
      <c r="R141">
        <v>8.6601424418604704</v>
      </c>
      <c r="S141">
        <v>44.526499742991774</v>
      </c>
      <c r="T141">
        <v>47.98569642041646</v>
      </c>
      <c r="U141">
        <v>46.397306424245912</v>
      </c>
      <c r="V141">
        <v>3.4726840679983271</v>
      </c>
      <c r="W141">
        <v>7.3391840679983273</v>
      </c>
      <c r="X141">
        <v>2.9981515432669896</v>
      </c>
      <c r="Y141">
        <v>6.8646515432669899</v>
      </c>
      <c r="Z141">
        <v>6.8605024845665525</v>
      </c>
      <c r="AA141">
        <v>3.6277768903439136</v>
      </c>
      <c r="AB141">
        <v>7.4942768903439134</v>
      </c>
      <c r="AC141">
        <f>VLOOKUP($A141,raw[],29,FALSE)*(1-interactive!$C$7)</f>
        <v>7.6302479999999402E-3</v>
      </c>
      <c r="AD141">
        <f>VLOOKUP($A141,raw[],30,FALSE)*(1-interactive!$C$7)</f>
        <v>8.0037914220959505E-4</v>
      </c>
      <c r="AE141">
        <f>VLOOKUP($A141,raw[],31,FALSE)*(1-interactive!$C$7)</f>
        <v>2.1201967932821136E-4</v>
      </c>
      <c r="AF141">
        <f>VLOOKUP($A141,raw[],32,FALSE)*(1-interactive!$C$7)</f>
        <v>2.545904774314929E-4</v>
      </c>
      <c r="AG141">
        <f>VLOOKUP($A141,raw[],33,FALSE)*(1-interactive!$C$7)</f>
        <v>3.5317271432844846E-4</v>
      </c>
      <c r="AH141">
        <f>VLOOKUP($A141,raw[],34,FALSE)*(1-interactive!$C$7)</f>
        <v>4.0285498387421969E-4</v>
      </c>
      <c r="AI141">
        <f>VLOOKUP($A141,raw[],35,FALSE)*(1-interactive!$C$7)</f>
        <v>4.6464073543951235E-4</v>
      </c>
      <c r="AJ141">
        <f>VLOOKUP($A141,raw[],36,FALSE)*(1-interactive!$C$7)</f>
        <v>5.9841264665688645E-4</v>
      </c>
      <c r="AK141">
        <f>VLOOKUP($A141,raw[],37,FALSE)*(1-interactive!$C$7)</f>
        <v>9.7982280104594224E-4</v>
      </c>
      <c r="AL141">
        <f>VLOOKUP($A141,raw[],38,FALSE)*(1-interactive!$C$7)</f>
        <v>1.3261774402489005E-3</v>
      </c>
      <c r="AM141">
        <f>VLOOKUP($A141,raw[],39,FALSE)*(1-interactive!$C$7)</f>
        <v>2.061931860693728E-3</v>
      </c>
      <c r="AN141">
        <f>VLOOKUP($A141,raw[],40,FALSE)*(1-interactive!$C$7)</f>
        <v>3.1369112864009065E-3</v>
      </c>
      <c r="AO141">
        <f>VLOOKUP($A141,raw[],41,FALSE)*(1-interactive!$C$7)</f>
        <v>4.8072604314003215E-3</v>
      </c>
      <c r="AP141">
        <f>VLOOKUP($A141,raw[],42,FALSE)*(1-interactive!$C$7)</f>
        <v>7.4734241012397234E-3</v>
      </c>
      <c r="AQ141">
        <f>VLOOKUP($A141,raw[],43,FALSE)*(1-interactive!$C$7)</f>
        <v>1.2467345457055731E-2</v>
      </c>
      <c r="AR141">
        <f>VLOOKUP($A141,raw[],44,FALSE)*(1-interactive!$C$7)</f>
        <v>2.1902085151518924E-2</v>
      </c>
      <c r="AS141">
        <f>VLOOKUP($A141,raw[],45,FALSE)*(1-interactive!$C$7)</f>
        <v>3.9831435152768241E-2</v>
      </c>
      <c r="AT141">
        <f>VLOOKUP($A141,raw[],46,FALSE)*(1-interactive!$C$7)</f>
        <v>7.2251191886059524E-2</v>
      </c>
      <c r="AU141">
        <f>VLOOKUP($A141,raw[],47,FALSE)*(1-interactive!$C$7)</f>
        <v>0.10729775969544417</v>
      </c>
      <c r="AV141">
        <f>VLOOKUP($A141,raw[],48,FALSE)*(1-interactive!$C$7)</f>
        <v>0.14261418920031074</v>
      </c>
      <c r="AW141">
        <f>VLOOKUP($A141,raw[],49,FALSE)*(1-interactive!$C$7)</f>
        <v>0.16891924765651314</v>
      </c>
      <c r="AX141">
        <f>VLOOKUP($A141,raw[],50,FALSE)*(1-interactive!$C$7)</f>
        <v>74.458149999999989</v>
      </c>
    </row>
    <row r="142" spans="1:50" x14ac:dyDescent="0.25">
      <c r="A142" t="s">
        <v>205</v>
      </c>
      <c r="B142" t="s">
        <v>206</v>
      </c>
      <c r="C142">
        <v>12</v>
      </c>
      <c r="D142" t="s">
        <v>207</v>
      </c>
      <c r="E142" t="s">
        <v>197</v>
      </c>
      <c r="F142" t="s">
        <v>197</v>
      </c>
      <c r="G142" t="s">
        <v>204</v>
      </c>
      <c r="J142">
        <f>VLOOKUP(raw_lb[[#This Row],[setting]],raw[],10,FALSE)*(1-interactive!$C$7)</f>
        <v>0.91959999999999997</v>
      </c>
      <c r="K142">
        <f>VLOOKUP(raw_lb[[#This Row],[setting]],raw[],11,FALSE)*(1-interactive!$C$7)</f>
        <v>0.9405</v>
      </c>
      <c r="L142">
        <f>VLOOKUP(raw_lb[[#This Row],[setting]],raw[],12,FALSE)*(1-interactive!$C$7)</f>
        <v>0.86449999999999994</v>
      </c>
      <c r="M142">
        <v>1.7899999999999999E-2</v>
      </c>
      <c r="N142">
        <v>0.14980000000000002</v>
      </c>
      <c r="O142">
        <v>0.7</v>
      </c>
      <c r="P142">
        <v>0.05</v>
      </c>
      <c r="Q142">
        <v>1.308541502988898</v>
      </c>
      <c r="R142">
        <v>8.3694415029888987</v>
      </c>
      <c r="S142">
        <v>42.649061354791435</v>
      </c>
      <c r="T142">
        <v>45.282416648135076</v>
      </c>
      <c r="U142">
        <v>44.073235559471499</v>
      </c>
      <c r="V142">
        <v>1.4054509175251704</v>
      </c>
      <c r="W142">
        <v>1.8614509175251703</v>
      </c>
      <c r="X142">
        <v>0.92915898416513287</v>
      </c>
      <c r="Y142">
        <v>1.3851589841651328</v>
      </c>
      <c r="Z142">
        <v>1.3793578114970018</v>
      </c>
      <c r="AA142">
        <v>1.5659727722107462</v>
      </c>
      <c r="AB142">
        <v>2.0219727722107459</v>
      </c>
      <c r="AC142">
        <f>VLOOKUP($A142,raw[],29,FALSE)*(1-interactive!$C$7)</f>
        <v>2.0186663999999965E-2</v>
      </c>
      <c r="AD142">
        <f>VLOOKUP($A142,raw[],30,FALSE)*(1-interactive!$C$7)</f>
        <v>8.2992556287665037E-4</v>
      </c>
      <c r="AE142">
        <f>VLOOKUP($A142,raw[],31,FALSE)*(1-interactive!$C$7)</f>
        <v>4.2336152831688696E-4</v>
      </c>
      <c r="AF142">
        <f>VLOOKUP($A142,raw[],32,FALSE)*(1-interactive!$C$7)</f>
        <v>3.7614108204030806E-4</v>
      </c>
      <c r="AG142">
        <f>VLOOKUP($A142,raw[],33,FALSE)*(1-interactive!$C$7)</f>
        <v>5.3869702314149391E-4</v>
      </c>
      <c r="AH142">
        <f>VLOOKUP($A142,raw[],34,FALSE)*(1-interactive!$C$7)</f>
        <v>7.0094678426253527E-4</v>
      </c>
      <c r="AI142">
        <f>VLOOKUP($A142,raw[],35,FALSE)*(1-interactive!$C$7)</f>
        <v>8.2717071028172776E-4</v>
      </c>
      <c r="AJ142">
        <f>VLOOKUP($A142,raw[],36,FALSE)*(1-interactive!$C$7)</f>
        <v>9.7713864064980448E-4</v>
      </c>
      <c r="AK142">
        <f>VLOOKUP($A142,raw[],37,FALSE)*(1-interactive!$C$7)</f>
        <v>1.3118978206780056E-3</v>
      </c>
      <c r="AL142">
        <f>VLOOKUP($A142,raw[],38,FALSE)*(1-interactive!$C$7)</f>
        <v>1.7781776011483394E-3</v>
      </c>
      <c r="AM142">
        <f>VLOOKUP($A142,raw[],39,FALSE)*(1-interactive!$C$7)</f>
        <v>2.6000108201753576E-3</v>
      </c>
      <c r="AN142">
        <f>VLOOKUP($A142,raw[],40,FALSE)*(1-interactive!$C$7)</f>
        <v>3.8434594210008718E-3</v>
      </c>
      <c r="AO142">
        <f>VLOOKUP($A142,raw[],41,FALSE)*(1-interactive!$C$7)</f>
        <v>5.8169663787848739E-3</v>
      </c>
      <c r="AP142">
        <f>VLOOKUP($A142,raw[],42,FALSE)*(1-interactive!$C$7)</f>
        <v>9.2189509831527832E-3</v>
      </c>
      <c r="AQ142">
        <f>VLOOKUP($A142,raw[],43,FALSE)*(1-interactive!$C$7)</f>
        <v>1.4005109466546116E-2</v>
      </c>
      <c r="AR142">
        <f>VLOOKUP($A142,raw[],44,FALSE)*(1-interactive!$C$7)</f>
        <v>2.2821019478876475E-2</v>
      </c>
      <c r="AS142">
        <f>VLOOKUP($A142,raw[],45,FALSE)*(1-interactive!$C$7)</f>
        <v>3.8590593731897077E-2</v>
      </c>
      <c r="AT142">
        <f>VLOOKUP($A142,raw[],46,FALSE)*(1-interactive!$C$7)</f>
        <v>6.3757035771533702E-2</v>
      </c>
      <c r="AU142">
        <f>VLOOKUP($A142,raw[],47,FALSE)*(1-interactive!$C$7)</f>
        <v>9.5857457972641932E-2</v>
      </c>
      <c r="AV142">
        <f>VLOOKUP($A142,raw[],48,FALSE)*(1-interactive!$C$7)</f>
        <v>0.12825981641374856</v>
      </c>
      <c r="AW142">
        <f>VLOOKUP($A142,raw[],49,FALSE)*(1-interactive!$C$7)</f>
        <v>0.15461667525804973</v>
      </c>
      <c r="AX142">
        <f>VLOOKUP($A142,raw[],50,FALSE)*(1-interactive!$C$7)</f>
        <v>72.763350000000003</v>
      </c>
    </row>
    <row r="143" spans="1:50" x14ac:dyDescent="0.25">
      <c r="A143" t="s">
        <v>208</v>
      </c>
      <c r="B143" t="s">
        <v>209</v>
      </c>
      <c r="C143">
        <v>24</v>
      </c>
      <c r="D143" t="s">
        <v>207</v>
      </c>
      <c r="E143" t="s">
        <v>210</v>
      </c>
      <c r="F143" t="s">
        <v>211</v>
      </c>
      <c r="G143" t="s">
        <v>212</v>
      </c>
      <c r="J143">
        <f>VLOOKUP(raw_lb[[#This Row],[setting]],raw[],10,FALSE)*(1-interactive!$C$7)</f>
        <v>0.43319999999999997</v>
      </c>
      <c r="K143">
        <f>VLOOKUP(raw_lb[[#This Row],[setting]],raw[],11,FALSE)*(1-interactive!$C$7)</f>
        <v>0</v>
      </c>
      <c r="L143">
        <f>VLOOKUP(raw_lb[[#This Row],[setting]],raw[],12,FALSE)*(1-interactive!$C$7)</f>
        <v>0.44649999999999995</v>
      </c>
      <c r="M143">
        <v>8.3599999999999994E-2</v>
      </c>
      <c r="N143">
        <v>0.15279999999999999</v>
      </c>
      <c r="O143">
        <v>7.0000000000000007E-2</v>
      </c>
      <c r="P143">
        <v>1E-3</v>
      </c>
      <c r="Q143">
        <v>1.52276595640059</v>
      </c>
      <c r="R143">
        <v>8.5836659564005906</v>
      </c>
      <c r="S143">
        <v>43.178202071058976</v>
      </c>
      <c r="T143">
        <v>45.975460272534349</v>
      </c>
      <c r="U143">
        <v>44.691018432922803</v>
      </c>
      <c r="V143">
        <v>0.72579744494518683</v>
      </c>
      <c r="W143">
        <v>5.3142974449451863</v>
      </c>
      <c r="X143">
        <v>0.25352576500043672</v>
      </c>
      <c r="Y143">
        <v>4.8420257650004368</v>
      </c>
      <c r="Z143">
        <v>4.8391331979035099</v>
      </c>
      <c r="AA143">
        <v>0.87391394623501906</v>
      </c>
      <c r="AB143">
        <v>5.462413946235019</v>
      </c>
      <c r="AC143">
        <f>VLOOKUP($A143,raw[],29,FALSE)*(1-interactive!$C$7)</f>
        <v>5.8386448999999951E-2</v>
      </c>
      <c r="AD143">
        <f>VLOOKUP($A143,raw[],30,FALSE)*(1-interactive!$C$7)</f>
        <v>4.9169560148374309E-3</v>
      </c>
      <c r="AE143">
        <f>VLOOKUP($A143,raw[],31,FALSE)*(1-interactive!$C$7)</f>
        <v>1.8127096865446031E-3</v>
      </c>
      <c r="AF143">
        <f>VLOOKUP($A143,raw[],32,FALSE)*(1-interactive!$C$7)</f>
        <v>1.3218459769521905E-3</v>
      </c>
      <c r="AG143">
        <f>VLOOKUP($A143,raw[],33,FALSE)*(1-interactive!$C$7)</f>
        <v>2.2205048575684775E-3</v>
      </c>
      <c r="AH143">
        <f>VLOOKUP($A143,raw[],34,FALSE)*(1-interactive!$C$7)</f>
        <v>3.0923920794394067E-3</v>
      </c>
      <c r="AI143">
        <f>VLOOKUP($A143,raw[],35,FALSE)*(1-interactive!$C$7)</f>
        <v>3.4091900437019399E-3</v>
      </c>
      <c r="AJ143">
        <f>VLOOKUP($A143,raw[],36,FALSE)*(1-interactive!$C$7)</f>
        <v>3.9337033543511979E-3</v>
      </c>
      <c r="AK143">
        <f>VLOOKUP($A143,raw[],37,FALSE)*(1-interactive!$C$7)</f>
        <v>4.8817971213014882E-3</v>
      </c>
      <c r="AL143">
        <f>VLOOKUP($A143,raw[],38,FALSE)*(1-interactive!$C$7)</f>
        <v>6.2658914538164818E-3</v>
      </c>
      <c r="AM143">
        <f>VLOOKUP($A143,raw[],39,FALSE)*(1-interactive!$C$7)</f>
        <v>8.3727751440962686E-3</v>
      </c>
      <c r="AN143">
        <f>VLOOKUP($A143,raw[],40,FALSE)*(1-interactive!$C$7)</f>
        <v>1.1720959685636653E-2</v>
      </c>
      <c r="AO143">
        <f>VLOOKUP($A143,raw[],41,FALSE)*(1-interactive!$C$7)</f>
        <v>1.6518209164100343E-2</v>
      </c>
      <c r="AP143">
        <f>VLOOKUP($A143,raw[],42,FALSE)*(1-interactive!$C$7)</f>
        <v>2.4357071053399203E-2</v>
      </c>
      <c r="AQ143">
        <f>VLOOKUP($A143,raw[],43,FALSE)*(1-interactive!$C$7)</f>
        <v>3.5718379214068688E-2</v>
      </c>
      <c r="AR143">
        <f>VLOOKUP($A143,raw[],44,FALSE)*(1-interactive!$C$7)</f>
        <v>5.278151494322194E-2</v>
      </c>
      <c r="AS143">
        <f>VLOOKUP($A143,raw[],45,FALSE)*(1-interactive!$C$7)</f>
        <v>7.5827468705273057E-2</v>
      </c>
      <c r="AT143">
        <f>VLOOKUP($A143,raw[],46,FALSE)*(1-interactive!$C$7)</f>
        <v>0.1033802966395635</v>
      </c>
      <c r="AU143">
        <f>VLOOKUP($A143,raw[],47,FALSE)*(1-interactive!$C$7)</f>
        <v>0.12916288540862567</v>
      </c>
      <c r="AV143">
        <f>VLOOKUP($A143,raw[],48,FALSE)*(1-interactive!$C$7)</f>
        <v>0.15191212177695404</v>
      </c>
      <c r="AW143">
        <f>VLOOKUP($A143,raw[],49,FALSE)*(1-interactive!$C$7)</f>
        <v>0.16908633138284643</v>
      </c>
      <c r="AX143">
        <f>VLOOKUP($A143,raw[],50,FALSE)*(1-interactive!$C$7)</f>
        <v>57.512999999999998</v>
      </c>
    </row>
    <row r="144" spans="1:50" x14ac:dyDescent="0.25">
      <c r="A144" t="s">
        <v>213</v>
      </c>
      <c r="B144" t="s">
        <v>214</v>
      </c>
      <c r="C144">
        <v>32</v>
      </c>
      <c r="D144" t="s">
        <v>215</v>
      </c>
      <c r="E144" t="s">
        <v>216</v>
      </c>
      <c r="F144" t="s">
        <v>217</v>
      </c>
      <c r="G144" t="s">
        <v>204</v>
      </c>
      <c r="J144">
        <f>VLOOKUP(raw_lb[[#This Row],[setting]],raw[],10,FALSE)*(1-interactive!$C$7)</f>
        <v>0.94334999999999991</v>
      </c>
      <c r="K144">
        <f>VLOOKUP(raw_lb[[#This Row],[setting]],raw[],11,FALSE)*(1-interactive!$C$7)</f>
        <v>0.68399999999999994</v>
      </c>
      <c r="L144">
        <f>VLOOKUP(raw_lb[[#This Row],[setting]],raw[],12,FALSE)*(1-interactive!$C$7)</f>
        <v>0.70299999999999996</v>
      </c>
      <c r="M144">
        <v>1.9E-3</v>
      </c>
      <c r="N144">
        <v>0.17660000000000001</v>
      </c>
      <c r="O144">
        <v>0.7</v>
      </c>
      <c r="P144">
        <v>0.05</v>
      </c>
      <c r="Q144">
        <v>2.84158161228045</v>
      </c>
      <c r="R144">
        <v>9.9024816122804502</v>
      </c>
      <c r="S144">
        <v>58.454740705870691</v>
      </c>
      <c r="T144">
        <v>68.516505879445901</v>
      </c>
      <c r="U144">
        <v>63.896355990361698</v>
      </c>
      <c r="V144">
        <v>1.3721185349839764</v>
      </c>
      <c r="W144">
        <v>1.3911185349839763</v>
      </c>
      <c r="X144">
        <v>0.89257711208207757</v>
      </c>
      <c r="Y144">
        <v>0.91157711208207759</v>
      </c>
      <c r="Z144">
        <v>0.90361549622307391</v>
      </c>
      <c r="AA144">
        <v>1.5426673859701527</v>
      </c>
      <c r="AB144">
        <v>1.5616673859701526</v>
      </c>
      <c r="AC144">
        <f>VLOOKUP($A144,raw[],29,FALSE)*(1-interactive!$C$7)</f>
        <v>9.7139305000000023E-3</v>
      </c>
      <c r="AD144">
        <f>VLOOKUP($A144,raw[],30,FALSE)*(1-interactive!$C$7)</f>
        <v>3.9281839270087433E-4</v>
      </c>
      <c r="AE144">
        <f>VLOOKUP($A144,raw[],31,FALSE)*(1-interactive!$C$7)</f>
        <v>1.7318546933358059E-4</v>
      </c>
      <c r="AF144">
        <f>VLOOKUP($A144,raw[],32,FALSE)*(1-interactive!$C$7)</f>
        <v>2.2672122944818041E-4</v>
      </c>
      <c r="AG144">
        <f>VLOOKUP($A144,raw[],33,FALSE)*(1-interactive!$C$7)</f>
        <v>7.0583472782388809E-4</v>
      </c>
      <c r="AH144">
        <f>VLOOKUP($A144,raw[],34,FALSE)*(1-interactive!$C$7)</f>
        <v>9.7098838636224894E-4</v>
      </c>
      <c r="AI144">
        <f>VLOOKUP($A144,raw[],35,FALSE)*(1-interactive!$C$7)</f>
        <v>9.7658065648656076E-4</v>
      </c>
      <c r="AJ144">
        <f>VLOOKUP($A144,raw[],36,FALSE)*(1-interactive!$C$7)</f>
        <v>1.1068752298679441E-3</v>
      </c>
      <c r="AK144">
        <f>VLOOKUP($A144,raw[],37,FALSE)*(1-interactive!$C$7)</f>
        <v>1.339992412643845E-3</v>
      </c>
      <c r="AL144">
        <f>VLOOKUP($A144,raw[],38,FALSE)*(1-interactive!$C$7)</f>
        <v>1.8888962764668934E-3</v>
      </c>
      <c r="AM144">
        <f>VLOOKUP($A144,raw[],39,FALSE)*(1-interactive!$C$7)</f>
        <v>2.990760737562599E-3</v>
      </c>
      <c r="AN144">
        <f>VLOOKUP($A144,raw[],40,FALSE)*(1-interactive!$C$7)</f>
        <v>4.8247513794009581E-3</v>
      </c>
      <c r="AO144">
        <f>VLOOKUP($A144,raw[],41,FALSE)*(1-interactive!$C$7)</f>
        <v>7.9367144353653541E-3</v>
      </c>
      <c r="AP144">
        <f>VLOOKUP($A144,raw[],42,FALSE)*(1-interactive!$C$7)</f>
        <v>1.1923028644476218E-2</v>
      </c>
      <c r="AQ144">
        <f>VLOOKUP($A144,raw[],43,FALSE)*(1-interactive!$C$7)</f>
        <v>1.7955726729232856E-2</v>
      </c>
      <c r="AR144">
        <f>VLOOKUP($A144,raw[],44,FALSE)*(1-interactive!$C$7)</f>
        <v>2.6211941494153169E-2</v>
      </c>
      <c r="AS144">
        <f>VLOOKUP($A144,raw[],45,FALSE)*(1-interactive!$C$7)</f>
        <v>3.9663215596794331E-2</v>
      </c>
      <c r="AT144">
        <f>VLOOKUP($A144,raw[],46,FALSE)*(1-interactive!$C$7)</f>
        <v>6.1373419430890794E-2</v>
      </c>
      <c r="AU144">
        <f>VLOOKUP($A144,raw[],47,FALSE)*(1-interactive!$C$7)</f>
        <v>9.0385007061269076E-2</v>
      </c>
      <c r="AV144">
        <f>VLOOKUP($A144,raw[],48,FALSE)*(1-interactive!$C$7)</f>
        <v>0.12301239983003993</v>
      </c>
      <c r="AW144">
        <f>VLOOKUP($A144,raw[],49,FALSE)*(1-interactive!$C$7)</f>
        <v>0.15320241329225157</v>
      </c>
      <c r="AX144">
        <f>VLOOKUP($A144,raw[],50,FALSE)*(1-interactive!$C$7)</f>
        <v>72.625599999999991</v>
      </c>
    </row>
    <row r="145" spans="1:50" x14ac:dyDescent="0.25">
      <c r="A145" t="s">
        <v>218</v>
      </c>
      <c r="B145" t="s">
        <v>219</v>
      </c>
      <c r="C145">
        <v>51</v>
      </c>
      <c r="D145" t="s">
        <v>201</v>
      </c>
      <c r="E145" t="s">
        <v>220</v>
      </c>
      <c r="F145" t="s">
        <v>203</v>
      </c>
      <c r="G145" t="s">
        <v>204</v>
      </c>
      <c r="J145">
        <f>VLOOKUP(raw_lb[[#This Row],[setting]],raw[],10,FALSE)*(1-interactive!$C$7)</f>
        <v>0.94334999999999991</v>
      </c>
      <c r="K145">
        <f>VLOOKUP(raw_lb[[#This Row],[setting]],raw[],11,FALSE)*(1-interactive!$C$7)</f>
        <v>0.92149999999999999</v>
      </c>
      <c r="L145">
        <f>VLOOKUP(raw_lb[[#This Row],[setting]],raw[],12,FALSE)*(1-interactive!$C$7)</f>
        <v>0.874</v>
      </c>
      <c r="M145">
        <v>8.3999999999999995E-3</v>
      </c>
      <c r="N145">
        <v>0.16309999999999999</v>
      </c>
      <c r="O145">
        <v>0.7</v>
      </c>
      <c r="P145">
        <v>0.05</v>
      </c>
      <c r="Q145">
        <v>1.35972792574657</v>
      </c>
      <c r="R145">
        <v>8.4206279257465706</v>
      </c>
      <c r="S145">
        <v>42.652038824038769</v>
      </c>
      <c r="T145">
        <v>45.260303042038515</v>
      </c>
      <c r="U145">
        <v>44.062643244815092</v>
      </c>
      <c r="V145">
        <v>2.7487473235940958</v>
      </c>
      <c r="W145">
        <v>6.6152473235940956</v>
      </c>
      <c r="X145">
        <v>2.2752511053821478</v>
      </c>
      <c r="Y145">
        <v>6.1417511053821485</v>
      </c>
      <c r="Z145">
        <v>6.1380991847966611</v>
      </c>
      <c r="AA145">
        <v>2.9006424001084232</v>
      </c>
      <c r="AB145">
        <v>6.7671424001084235</v>
      </c>
      <c r="AC145">
        <f>VLOOKUP($A145,raw[],29,FALSE)*(1-interactive!$C$7)</f>
        <v>1.0228896999999952E-2</v>
      </c>
      <c r="AD145">
        <f>VLOOKUP($A145,raw[],30,FALSE)*(1-interactive!$C$7)</f>
        <v>5.7487406856350672E-4</v>
      </c>
      <c r="AE145">
        <f>VLOOKUP($A145,raw[],31,FALSE)*(1-interactive!$C$7)</f>
        <v>1.842281594507818E-4</v>
      </c>
      <c r="AF145">
        <f>VLOOKUP($A145,raw[],32,FALSE)*(1-interactive!$C$7)</f>
        <v>2.3590778290560234E-4</v>
      </c>
      <c r="AG145">
        <f>VLOOKUP($A145,raw[],33,FALSE)*(1-interactive!$C$7)</f>
        <v>5.9840340598489919E-4</v>
      </c>
      <c r="AH145">
        <f>VLOOKUP($A145,raw[],34,FALSE)*(1-interactive!$C$7)</f>
        <v>5.8636665272416362E-4</v>
      </c>
      <c r="AI145">
        <f>VLOOKUP($A145,raw[],35,FALSE)*(1-interactive!$C$7)</f>
        <v>5.5465463219642967E-4</v>
      </c>
      <c r="AJ145">
        <f>VLOOKUP($A145,raw[],36,FALSE)*(1-interactive!$C$7)</f>
        <v>7.3037421992483995E-4</v>
      </c>
      <c r="AK145">
        <f>VLOOKUP($A145,raw[],37,FALSE)*(1-interactive!$C$7)</f>
        <v>1.0983746355049135E-3</v>
      </c>
      <c r="AL145">
        <f>VLOOKUP($A145,raw[],38,FALSE)*(1-interactive!$C$7)</f>
        <v>2.0664061026517363E-3</v>
      </c>
      <c r="AM145">
        <f>VLOOKUP($A145,raw[],39,FALSE)*(1-interactive!$C$7)</f>
        <v>3.4307117449715202E-3</v>
      </c>
      <c r="AN145">
        <f>VLOOKUP($A145,raw[],40,FALSE)*(1-interactive!$C$7)</f>
        <v>5.6418149846261803E-3</v>
      </c>
      <c r="AO145">
        <f>VLOOKUP($A145,raw[],41,FALSE)*(1-interactive!$C$7)</f>
        <v>8.4799947168289203E-3</v>
      </c>
      <c r="AP145">
        <f>VLOOKUP($A145,raw[],42,FALSE)*(1-interactive!$C$7)</f>
        <v>1.3207949318084675E-2</v>
      </c>
      <c r="AQ145">
        <f>VLOOKUP($A145,raw[],43,FALSE)*(1-interactive!$C$7)</f>
        <v>1.993389993764861E-2</v>
      </c>
      <c r="AR145">
        <f>VLOOKUP($A145,raw[],44,FALSE)*(1-interactive!$C$7)</f>
        <v>3.1731424447423377E-2</v>
      </c>
      <c r="AS145">
        <f>VLOOKUP($A145,raw[],45,FALSE)*(1-interactive!$C$7)</f>
        <v>5.1925861798801598E-2</v>
      </c>
      <c r="AT145">
        <f>VLOOKUP($A145,raw[],46,FALSE)*(1-interactive!$C$7)</f>
        <v>7.8772112660733501E-2</v>
      </c>
      <c r="AU145">
        <f>VLOOKUP($A145,raw[],47,FALSE)*(1-interactive!$C$7)</f>
        <v>0.11028399495492208</v>
      </c>
      <c r="AV145">
        <f>VLOOKUP($A145,raw[],48,FALSE)*(1-interactive!$C$7)</f>
        <v>0.1417351121261167</v>
      </c>
      <c r="AW145">
        <f>VLOOKUP($A145,raw[],49,FALSE)*(1-interactive!$C$7)</f>
        <v>0.16202733090679061</v>
      </c>
      <c r="AX145">
        <f>VLOOKUP($A145,raw[],50,FALSE)*(1-interactive!$C$7)</f>
        <v>71.122699999999995</v>
      </c>
    </row>
    <row r="146" spans="1:50" x14ac:dyDescent="0.25">
      <c r="A146" t="s">
        <v>221</v>
      </c>
      <c r="B146" t="s">
        <v>222</v>
      </c>
      <c r="C146">
        <v>31</v>
      </c>
      <c r="D146" t="s">
        <v>201</v>
      </c>
      <c r="E146" t="s">
        <v>220</v>
      </c>
      <c r="F146" t="s">
        <v>203</v>
      </c>
      <c r="G146" t="s">
        <v>204</v>
      </c>
      <c r="J146">
        <f>VLOOKUP(raw_lb[[#This Row],[setting]],raw[],10,FALSE)*(1-interactive!$C$7)</f>
        <v>0.90915000000000001</v>
      </c>
      <c r="K146">
        <f>VLOOKUP(raw_lb[[#This Row],[setting]],raw[],11,FALSE)*(1-interactive!$C$7)</f>
        <v>0.93099999999999994</v>
      </c>
      <c r="L146">
        <f>VLOOKUP(raw_lb[[#This Row],[setting]],raw[],12,FALSE)*(1-interactive!$C$7)</f>
        <v>0.75049999999999994</v>
      </c>
      <c r="M146">
        <v>1.29E-2</v>
      </c>
      <c r="N146">
        <v>0.16309999999999999</v>
      </c>
      <c r="O146">
        <v>0.7</v>
      </c>
      <c r="P146">
        <v>0.05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2.3464782643218598</v>
      </c>
      <c r="W146">
        <v>6.2129782643218601</v>
      </c>
      <c r="X146">
        <v>1.8731200116925972</v>
      </c>
      <c r="Y146">
        <v>5.7396200116925975</v>
      </c>
      <c r="Z146">
        <v>5.7361204365139065</v>
      </c>
      <c r="AA146">
        <v>2.4979476184667582</v>
      </c>
      <c r="AB146">
        <v>6.3644476184667589</v>
      </c>
      <c r="AC146">
        <f>VLOOKUP($A146,raw[],29,FALSE)*(1-interactive!$C$7)</f>
        <v>1.9765528999999948E-2</v>
      </c>
      <c r="AD146">
        <f>VLOOKUP($A146,raw[],30,FALSE)*(1-interactive!$C$7)</f>
        <v>1.0670658040471588E-3</v>
      </c>
      <c r="AE146">
        <f>VLOOKUP($A146,raw[],31,FALSE)*(1-interactive!$C$7)</f>
        <v>3.6399385614254256E-4</v>
      </c>
      <c r="AF146">
        <f>VLOOKUP($A146,raw[],32,FALSE)*(1-interactive!$C$7)</f>
        <v>3.1115850713940807E-4</v>
      </c>
      <c r="AG146">
        <f>VLOOKUP($A146,raw[],33,FALSE)*(1-interactive!$C$7)</f>
        <v>6.3750958810314081E-4</v>
      </c>
      <c r="AH146">
        <f>VLOOKUP($A146,raw[],34,FALSE)*(1-interactive!$C$7)</f>
        <v>7.9251943349295301E-4</v>
      </c>
      <c r="AI146">
        <f>VLOOKUP($A146,raw[],35,FALSE)*(1-interactive!$C$7)</f>
        <v>7.9831836713456777E-4</v>
      </c>
      <c r="AJ146">
        <f>VLOOKUP($A146,raw[],36,FALSE)*(1-interactive!$C$7)</f>
        <v>9.5742371310006923E-4</v>
      </c>
      <c r="AK146">
        <f>VLOOKUP($A146,raw[],37,FALSE)*(1-interactive!$C$7)</f>
        <v>1.3407872015251488E-3</v>
      </c>
      <c r="AL146">
        <f>VLOOKUP($A146,raw[],38,FALSE)*(1-interactive!$C$7)</f>
        <v>2.0274303940789203E-3</v>
      </c>
      <c r="AM146">
        <f>VLOOKUP($A146,raw[],39,FALSE)*(1-interactive!$C$7)</f>
        <v>3.2908820984320682E-3</v>
      </c>
      <c r="AN146">
        <f>VLOOKUP($A146,raw[],40,FALSE)*(1-interactive!$C$7)</f>
        <v>5.3522594179292978E-3</v>
      </c>
      <c r="AO146">
        <f>VLOOKUP($A146,raw[],41,FALSE)*(1-interactive!$C$7)</f>
        <v>8.6761703189182325E-3</v>
      </c>
      <c r="AP146">
        <f>VLOOKUP($A146,raw[],42,FALSE)*(1-interactive!$C$7)</f>
        <v>1.4153498349725003E-2</v>
      </c>
      <c r="AQ146">
        <f>VLOOKUP($A146,raw[],43,FALSE)*(1-interactive!$C$7)</f>
        <v>2.2884013189161702E-2</v>
      </c>
      <c r="AR146">
        <f>VLOOKUP($A146,raw[],44,FALSE)*(1-interactive!$C$7)</f>
        <v>3.6953343010679887E-2</v>
      </c>
      <c r="AS146">
        <f>VLOOKUP($A146,raw[],45,FALSE)*(1-interactive!$C$7)</f>
        <v>5.8540897644734198E-2</v>
      </c>
      <c r="AT146">
        <f>VLOOKUP($A146,raw[],46,FALSE)*(1-interactive!$C$7)</f>
        <v>8.6891324874703038E-2</v>
      </c>
      <c r="AU146">
        <f>VLOOKUP($A146,raw[],47,FALSE)*(1-interactive!$C$7)</f>
        <v>0.11917905432427373</v>
      </c>
      <c r="AV146">
        <f>VLOOKUP($A146,raw[],48,FALSE)*(1-interactive!$C$7)</f>
        <v>0.14701136650012112</v>
      </c>
      <c r="AW146">
        <f>VLOOKUP($A146,raw[],49,FALSE)*(1-interactive!$C$7)</f>
        <v>0.16541481194961458</v>
      </c>
      <c r="AX146">
        <f>VLOOKUP($A146,raw[],50,FALSE)*(1-interactive!$C$7)</f>
        <v>69.169499999999999</v>
      </c>
    </row>
    <row r="147" spans="1:50" x14ac:dyDescent="0.25">
      <c r="A147" t="s">
        <v>223</v>
      </c>
      <c r="B147" t="s">
        <v>224</v>
      </c>
      <c r="C147">
        <v>50</v>
      </c>
      <c r="D147" t="s">
        <v>225</v>
      </c>
      <c r="E147" t="s">
        <v>226</v>
      </c>
      <c r="F147" t="s">
        <v>226</v>
      </c>
      <c r="G147" t="s">
        <v>212</v>
      </c>
      <c r="J147">
        <f>VLOOKUP(raw_lb[[#This Row],[setting]],raw[],10,FALSE)*(1-interactive!$C$7)</f>
        <v>0.50729999999999997</v>
      </c>
      <c r="K147">
        <f>VLOOKUP(raw_lb[[#This Row],[setting]],raw[],11,FALSE)*(1-interactive!$C$7)</f>
        <v>0</v>
      </c>
      <c r="L147">
        <f>VLOOKUP(raw_lb[[#This Row],[setting]],raw[],12,FALSE)*(1-interactive!$C$7)</f>
        <v>0.93099999999999994</v>
      </c>
      <c r="M147">
        <v>2.5699999999999997E-2</v>
      </c>
      <c r="N147">
        <v>0.1482</v>
      </c>
      <c r="O147">
        <v>0.7</v>
      </c>
      <c r="P147">
        <v>0.05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1.1499964441995953</v>
      </c>
      <c r="W147">
        <v>2.8693515321574461</v>
      </c>
      <c r="X147">
        <v>0.67704411750302995</v>
      </c>
      <c r="Y147">
        <v>2.3963992054608809</v>
      </c>
      <c r="Z147">
        <v>2.3928777060111632</v>
      </c>
      <c r="AA147">
        <v>1.3002132268950288</v>
      </c>
      <c r="AB147">
        <v>3.0195683148528798</v>
      </c>
      <c r="AC147">
        <f>VLOOKUP($A147,raw[],29,FALSE)*(1-interactive!$C$7)</f>
        <v>2.5507861000000003E-2</v>
      </c>
      <c r="AD147">
        <f>VLOOKUP($A147,raw[],30,FALSE)*(1-interactive!$C$7)</f>
        <v>1.3559604277500394E-3</v>
      </c>
      <c r="AE147">
        <f>VLOOKUP($A147,raw[],31,FALSE)*(1-interactive!$C$7)</f>
        <v>7.1080812532444099E-4</v>
      </c>
      <c r="AF147">
        <f>VLOOKUP($A147,raw[],32,FALSE)*(1-interactive!$C$7)</f>
        <v>6.0419477190120068E-4</v>
      </c>
      <c r="AG147">
        <f>VLOOKUP($A147,raw[],33,FALSE)*(1-interactive!$C$7)</f>
        <v>9.6195439411005622E-4</v>
      </c>
      <c r="AH147">
        <f>VLOOKUP($A147,raw[],34,FALSE)*(1-interactive!$C$7)</f>
        <v>9.874106753361301E-4</v>
      </c>
      <c r="AI147">
        <f>VLOOKUP($A147,raw[],35,FALSE)*(1-interactive!$C$7)</f>
        <v>9.4635923934821347E-4</v>
      </c>
      <c r="AJ147">
        <f>VLOOKUP($A147,raw[],36,FALSE)*(1-interactive!$C$7)</f>
        <v>1.1838738586487489E-3</v>
      </c>
      <c r="AK147">
        <f>VLOOKUP($A147,raw[],37,FALSE)*(1-interactive!$C$7)</f>
        <v>1.6101673684685033E-3</v>
      </c>
      <c r="AL147">
        <f>VLOOKUP($A147,raw[],38,FALSE)*(1-interactive!$C$7)</f>
        <v>2.3653842018845845E-3</v>
      </c>
      <c r="AM147">
        <f>VLOOKUP($A147,raw[],39,FALSE)*(1-interactive!$C$7)</f>
        <v>3.6849672424003692E-3</v>
      </c>
      <c r="AN147">
        <f>VLOOKUP($A147,raw[],40,FALSE)*(1-interactive!$C$7)</f>
        <v>6.0492437831762454E-3</v>
      </c>
      <c r="AO147">
        <f>VLOOKUP($A147,raw[],41,FALSE)*(1-interactive!$C$7)</f>
        <v>9.5221827091242651E-3</v>
      </c>
      <c r="AP147">
        <f>VLOOKUP($A147,raw[],42,FALSE)*(1-interactive!$C$7)</f>
        <v>1.5817246767574348E-2</v>
      </c>
      <c r="AQ147">
        <f>VLOOKUP($A147,raw[],43,FALSE)*(1-interactive!$C$7)</f>
        <v>2.2928372503334401E-2</v>
      </c>
      <c r="AR147">
        <f>VLOOKUP($A147,raw[],44,FALSE)*(1-interactive!$C$7)</f>
        <v>3.7183125402074489E-2</v>
      </c>
      <c r="AS147">
        <f>VLOOKUP($A147,raw[],45,FALSE)*(1-interactive!$C$7)</f>
        <v>5.0315646378126543E-2</v>
      </c>
      <c r="AT147">
        <f>VLOOKUP($A147,raw[],46,FALSE)*(1-interactive!$C$7)</f>
        <v>7.2383826159743897E-2</v>
      </c>
      <c r="AU147">
        <f>VLOOKUP($A147,raw[],47,FALSE)*(1-interactive!$C$7)</f>
        <v>9.5652095344908622E-2</v>
      </c>
      <c r="AV147">
        <f>VLOOKUP($A147,raw[],48,FALSE)*(1-interactive!$C$7)</f>
        <v>0.1183681347274174</v>
      </c>
      <c r="AW147">
        <f>VLOOKUP($A147,raw[],49,FALSE)*(1-interactive!$C$7)</f>
        <v>0.13416654537373876</v>
      </c>
      <c r="AX147">
        <f>VLOOKUP($A147,raw[],50,FALSE)*(1-interactive!$C$7)</f>
        <v>68.542500000000004</v>
      </c>
    </row>
    <row r="148" spans="1:50" x14ac:dyDescent="0.25">
      <c r="A148" t="s">
        <v>227</v>
      </c>
      <c r="B148" t="s">
        <v>228</v>
      </c>
      <c r="C148">
        <v>112</v>
      </c>
      <c r="D148" t="s">
        <v>201</v>
      </c>
      <c r="E148" t="s">
        <v>229</v>
      </c>
      <c r="F148" t="s">
        <v>203</v>
      </c>
      <c r="G148" t="s">
        <v>204</v>
      </c>
      <c r="J148">
        <f>VLOOKUP(raw_lb[[#This Row],[setting]],raw[],10,FALSE)*(1-interactive!$C$7)</f>
        <v>0.94904999999999995</v>
      </c>
      <c r="K148">
        <f>VLOOKUP(raw_lb[[#This Row],[setting]],raw[],11,FALSE)*(1-interactive!$C$7)</f>
        <v>0.92149999999999999</v>
      </c>
      <c r="L148">
        <f>VLOOKUP(raw_lb[[#This Row],[setting]],raw[],12,FALSE)*(1-interactive!$C$7)</f>
        <v>0.92149999999999999</v>
      </c>
      <c r="M148">
        <v>7.0699999999999999E-2</v>
      </c>
      <c r="N148">
        <v>0.16339999999999999</v>
      </c>
      <c r="O148">
        <v>0.7</v>
      </c>
      <c r="P148">
        <v>0.05</v>
      </c>
      <c r="Q148">
        <v>1.9332944058277302</v>
      </c>
      <c r="R148">
        <v>8.9941944058277308</v>
      </c>
      <c r="S148">
        <v>49.183564058552783</v>
      </c>
      <c r="T148">
        <v>54.892737570739797</v>
      </c>
      <c r="U148">
        <v>52.27120577049795</v>
      </c>
      <c r="V148">
        <v>2.7345421285738865</v>
      </c>
      <c r="W148">
        <v>6.6010421285738872</v>
      </c>
      <c r="X148">
        <v>2.2584078141937893</v>
      </c>
      <c r="Y148">
        <v>6.12490781419379</v>
      </c>
      <c r="Z148">
        <v>6.1196519798066014</v>
      </c>
      <c r="AA148">
        <v>2.8945776161213601</v>
      </c>
      <c r="AB148">
        <v>6.7610776161213604</v>
      </c>
      <c r="AC148">
        <f>VLOOKUP($A148,raw[],29,FALSE)*(1-interactive!$C$7)</f>
        <v>2.8176240000000398E-3</v>
      </c>
      <c r="AD148">
        <f>VLOOKUP($A148,raw[],30,FALSE)*(1-interactive!$C$7)</f>
        <v>2.0722298178614442E-4</v>
      </c>
      <c r="AE148">
        <f>VLOOKUP($A148,raw[],31,FALSE)*(1-interactive!$C$7)</f>
        <v>1.3176312357757262E-4</v>
      </c>
      <c r="AF148">
        <f>VLOOKUP($A148,raw[],32,FALSE)*(1-interactive!$C$7)</f>
        <v>1.2510179579699503E-4</v>
      </c>
      <c r="AG148">
        <f>VLOOKUP($A148,raw[],33,FALSE)*(1-interactive!$C$7)</f>
        <v>3.3411171031736948E-4</v>
      </c>
      <c r="AH148">
        <f>VLOOKUP($A148,raw[],34,FALSE)*(1-interactive!$C$7)</f>
        <v>5.6878976626486579E-4</v>
      </c>
      <c r="AI148">
        <f>VLOOKUP($A148,raw[],35,FALSE)*(1-interactive!$C$7)</f>
        <v>8.3087419374707405E-4</v>
      </c>
      <c r="AJ148">
        <f>VLOOKUP($A148,raw[],36,FALSE)*(1-interactive!$C$7)</f>
        <v>1.3614323506074529E-3</v>
      </c>
      <c r="AK148">
        <f>VLOOKUP($A148,raw[],37,FALSE)*(1-interactive!$C$7)</f>
        <v>2.1797664411739043E-3</v>
      </c>
      <c r="AL148">
        <f>VLOOKUP($A148,raw[],38,FALSE)*(1-interactive!$C$7)</f>
        <v>3.149837719211868E-3</v>
      </c>
      <c r="AM148">
        <f>VLOOKUP($A148,raw[],39,FALSE)*(1-interactive!$C$7)</f>
        <v>4.7270393440345462E-3</v>
      </c>
      <c r="AN148">
        <f>VLOOKUP($A148,raw[],40,FALSE)*(1-interactive!$C$7)</f>
        <v>6.938605091791842E-3</v>
      </c>
      <c r="AO148">
        <f>VLOOKUP($A148,raw[],41,FALSE)*(1-interactive!$C$7)</f>
        <v>1.0322221054409138E-2</v>
      </c>
      <c r="AP148">
        <f>VLOOKUP($A148,raw[],42,FALSE)*(1-interactive!$C$7)</f>
        <v>1.5614240723267865E-2</v>
      </c>
      <c r="AQ148">
        <f>VLOOKUP($A148,raw[],43,FALSE)*(1-interactive!$C$7)</f>
        <v>2.2008633497369683E-2</v>
      </c>
      <c r="AR148">
        <f>VLOOKUP($A148,raw[],44,FALSE)*(1-interactive!$C$7)</f>
        <v>3.161782668119225E-2</v>
      </c>
      <c r="AS148">
        <f>VLOOKUP($A148,raw[],45,FALSE)*(1-interactive!$C$7)</f>
        <v>4.7810987820282209E-2</v>
      </c>
      <c r="AT148">
        <f>VLOOKUP($A148,raw[],46,FALSE)*(1-interactive!$C$7)</f>
        <v>7.349030466836047E-2</v>
      </c>
      <c r="AU148">
        <f>VLOOKUP($A148,raw[],47,FALSE)*(1-interactive!$C$7)</f>
        <v>0.10427226691314793</v>
      </c>
      <c r="AV148">
        <f>VLOOKUP($A148,raw[],48,FALSE)*(1-interactive!$C$7)</f>
        <v>0.13805827750168115</v>
      </c>
      <c r="AW148">
        <f>VLOOKUP($A148,raw[],49,FALSE)*(1-interactive!$C$7)</f>
        <v>0.16340325326333346</v>
      </c>
      <c r="AX148">
        <f>VLOOKUP($A148,raw[],50,FALSE)*(1-interactive!$C$7)</f>
        <v>70.765499999999989</v>
      </c>
    </row>
    <row r="149" spans="1:50" x14ac:dyDescent="0.25">
      <c r="A149" t="s">
        <v>230</v>
      </c>
      <c r="B149" t="s">
        <v>231</v>
      </c>
      <c r="C149">
        <v>84</v>
      </c>
      <c r="D149" t="s">
        <v>215</v>
      </c>
      <c r="E149" t="s">
        <v>232</v>
      </c>
      <c r="F149" t="s">
        <v>217</v>
      </c>
      <c r="G149" t="s">
        <v>204</v>
      </c>
      <c r="J149">
        <f>VLOOKUP(raw_lb[[#This Row],[setting]],raw[],10,FALSE)*(1-interactive!$C$7)</f>
        <v>0.91580000000000006</v>
      </c>
      <c r="K149">
        <f>VLOOKUP(raw_lb[[#This Row],[setting]],raw[],11,FALSE)*(1-interactive!$C$7)</f>
        <v>0.63649999999999995</v>
      </c>
      <c r="L149">
        <f>VLOOKUP(raw_lb[[#This Row],[setting]],raw[],12,FALSE)*(1-interactive!$C$7)</f>
        <v>0.75049999999999994</v>
      </c>
      <c r="M149">
        <v>2.7099999999999999E-2</v>
      </c>
      <c r="N149">
        <v>0.16309999999999999</v>
      </c>
      <c r="O149">
        <v>0.7</v>
      </c>
      <c r="P149">
        <v>0.05</v>
      </c>
      <c r="Q149">
        <v>1.69011526179854</v>
      </c>
      <c r="R149">
        <v>8.7510152617985408</v>
      </c>
      <c r="S149">
        <v>45.94781629562182</v>
      </c>
      <c r="T149">
        <v>50.099462435377568</v>
      </c>
      <c r="U149">
        <v>48.193114282621607</v>
      </c>
      <c r="V149">
        <v>4.3157170079321165</v>
      </c>
      <c r="W149">
        <v>4.3347170079321167</v>
      </c>
      <c r="X149">
        <v>3.8377886844045128</v>
      </c>
      <c r="Y149">
        <v>3.8567886844045129</v>
      </c>
      <c r="Z149">
        <v>3.8501466981628818</v>
      </c>
      <c r="AA149">
        <v>4.4812882951347541</v>
      </c>
      <c r="AB149">
        <v>4.5002882951347543</v>
      </c>
      <c r="AC149">
        <f>VLOOKUP($A149,raw[],29,FALSE)*(1-interactive!$C$7)</f>
        <v>1.2175266500000033E-2</v>
      </c>
      <c r="AD149">
        <f>VLOOKUP($A149,raw[],30,FALSE)*(1-interactive!$C$7)</f>
        <v>5.0197471812570634E-4</v>
      </c>
      <c r="AE149">
        <f>VLOOKUP($A149,raw[],31,FALSE)*(1-interactive!$C$7)</f>
        <v>2.8911474990738173E-4</v>
      </c>
      <c r="AF149">
        <f>VLOOKUP($A149,raw[],32,FALSE)*(1-interactive!$C$7)</f>
        <v>3.1359707496900972E-4</v>
      </c>
      <c r="AG149">
        <f>VLOOKUP($A149,raw[],33,FALSE)*(1-interactive!$C$7)</f>
        <v>9.4370099149770556E-4</v>
      </c>
      <c r="AH149">
        <f>VLOOKUP($A149,raw[],34,FALSE)*(1-interactive!$C$7)</f>
        <v>1.4805023080087254E-3</v>
      </c>
      <c r="AI149">
        <f>VLOOKUP($A149,raw[],35,FALSE)*(1-interactive!$C$7)</f>
        <v>2.2121871134670673E-3</v>
      </c>
      <c r="AJ149">
        <f>VLOOKUP($A149,raw[],36,FALSE)*(1-interactive!$C$7)</f>
        <v>2.6137435833212606E-3</v>
      </c>
      <c r="AK149">
        <f>VLOOKUP($A149,raw[],37,FALSE)*(1-interactive!$C$7)</f>
        <v>2.7236747556477494E-3</v>
      </c>
      <c r="AL149">
        <f>VLOOKUP($A149,raw[],38,FALSE)*(1-interactive!$C$7)</f>
        <v>3.3395115389218749E-3</v>
      </c>
      <c r="AM149">
        <f>VLOOKUP($A149,raw[],39,FALSE)*(1-interactive!$C$7)</f>
        <v>4.6025046726243168E-3</v>
      </c>
      <c r="AN149">
        <f>VLOOKUP($A149,raw[],40,FALSE)*(1-interactive!$C$7)</f>
        <v>6.3856309653817752E-3</v>
      </c>
      <c r="AO149">
        <f>VLOOKUP($A149,raw[],41,FALSE)*(1-interactive!$C$7)</f>
        <v>1.0048965085874698E-2</v>
      </c>
      <c r="AP149">
        <f>VLOOKUP($A149,raw[],42,FALSE)*(1-interactive!$C$7)</f>
        <v>1.3381747843825873E-2</v>
      </c>
      <c r="AQ149">
        <f>VLOOKUP($A149,raw[],43,FALSE)*(1-interactive!$C$7)</f>
        <v>1.8075578910110829E-2</v>
      </c>
      <c r="AR149">
        <f>VLOOKUP($A149,raw[],44,FALSE)*(1-interactive!$C$7)</f>
        <v>2.5224479044451999E-2</v>
      </c>
      <c r="AS149">
        <f>VLOOKUP($A149,raw[],45,FALSE)*(1-interactive!$C$7)</f>
        <v>3.6736667093888217E-2</v>
      </c>
      <c r="AT149">
        <f>VLOOKUP($A149,raw[],46,FALSE)*(1-interactive!$C$7)</f>
        <v>5.8129694248748552E-2</v>
      </c>
      <c r="AU149">
        <f>VLOOKUP($A149,raw[],47,FALSE)*(1-interactive!$C$7)</f>
        <v>8.0996679050755874E-2</v>
      </c>
      <c r="AV149">
        <f>VLOOKUP($A149,raw[],48,FALSE)*(1-interactive!$C$7)</f>
        <v>0.10390891448629154</v>
      </c>
      <c r="AW149">
        <f>VLOOKUP($A149,raw[],49,FALSE)*(1-interactive!$C$7)</f>
        <v>0.14356974935585201</v>
      </c>
      <c r="AX149">
        <f>VLOOKUP($A149,raw[],50,FALSE)*(1-interactive!$C$7)</f>
        <v>70.651499999999999</v>
      </c>
    </row>
    <row r="150" spans="1:50" x14ac:dyDescent="0.25">
      <c r="A150" t="s">
        <v>233</v>
      </c>
      <c r="B150" t="s">
        <v>234</v>
      </c>
      <c r="C150">
        <v>204</v>
      </c>
      <c r="D150" t="s">
        <v>207</v>
      </c>
      <c r="E150" t="s">
        <v>235</v>
      </c>
      <c r="F150" t="s">
        <v>211</v>
      </c>
      <c r="G150" t="s">
        <v>198</v>
      </c>
      <c r="J150">
        <f>VLOOKUP(raw_lb[[#This Row],[setting]],raw[],10,FALSE)*(1-interactive!$C$7)</f>
        <v>0.79705000000000004</v>
      </c>
      <c r="K150">
        <f>VLOOKUP(raw_lb[[#This Row],[setting]],raw[],11,FALSE)*(1-interactive!$C$7)</f>
        <v>0.19949999999999998</v>
      </c>
      <c r="L150">
        <f>VLOOKUP(raw_lb[[#This Row],[setting]],raw[],12,FALSE)*(1-interactive!$C$7)</f>
        <v>0.68399999999999994</v>
      </c>
      <c r="M150">
        <v>8.2400000000000001E-2</v>
      </c>
      <c r="N150">
        <v>0.155</v>
      </c>
      <c r="O150">
        <v>7.0000000000000007E-2</v>
      </c>
      <c r="P150">
        <v>1E-3</v>
      </c>
      <c r="Q150">
        <v>0.73479023034154101</v>
      </c>
      <c r="R150">
        <v>7.7956902303415418</v>
      </c>
      <c r="S150">
        <v>37.815178761770213</v>
      </c>
      <c r="T150">
        <v>38.231284599337279</v>
      </c>
      <c r="U150">
        <v>38.040217594083401</v>
      </c>
      <c r="V150">
        <v>1.0112264048610744</v>
      </c>
      <c r="W150">
        <v>5.599726404861074</v>
      </c>
      <c r="X150">
        <v>0.5402472708333117</v>
      </c>
      <c r="Y150">
        <v>5.1287472708333119</v>
      </c>
      <c r="Z150">
        <v>5.1268028166151005</v>
      </c>
      <c r="AA150">
        <v>1.1553544787499166</v>
      </c>
      <c r="AB150">
        <v>5.7438544787499168</v>
      </c>
      <c r="AC150">
        <f>VLOOKUP($A150,raw[],29,FALSE)*(1-interactive!$C$7)</f>
        <v>5.8106702499999954E-2</v>
      </c>
      <c r="AD150">
        <f>VLOOKUP($A150,raw[],30,FALSE)*(1-interactive!$C$7)</f>
        <v>8.7324917992782809E-3</v>
      </c>
      <c r="AE150">
        <f>VLOOKUP($A150,raw[],31,FALSE)*(1-interactive!$C$7)</f>
        <v>2.9416631759973957E-3</v>
      </c>
      <c r="AF150">
        <f>VLOOKUP($A150,raw[],32,FALSE)*(1-interactive!$C$7)</f>
        <v>1.740807257803104E-3</v>
      </c>
      <c r="AG150">
        <f>VLOOKUP($A150,raw[],33,FALSE)*(1-interactive!$C$7)</f>
        <v>2.3401131136008384E-3</v>
      </c>
      <c r="AH150">
        <f>VLOOKUP($A150,raw[],34,FALSE)*(1-interactive!$C$7)</f>
        <v>3.167586872471438E-3</v>
      </c>
      <c r="AI150">
        <f>VLOOKUP($A150,raw[],35,FALSE)*(1-interactive!$C$7)</f>
        <v>3.4819964105745685E-3</v>
      </c>
      <c r="AJ150">
        <f>VLOOKUP($A150,raw[],36,FALSE)*(1-interactive!$C$7)</f>
        <v>3.8422382167263005E-3</v>
      </c>
      <c r="AK150">
        <f>VLOOKUP($A150,raw[],37,FALSE)*(1-interactive!$C$7)</f>
        <v>4.3778228401940341E-3</v>
      </c>
      <c r="AL150">
        <f>VLOOKUP($A150,raw[],38,FALSE)*(1-interactive!$C$7)</f>
        <v>5.4099829136548096E-3</v>
      </c>
      <c r="AM150">
        <f>VLOOKUP($A150,raw[],39,FALSE)*(1-interactive!$C$7)</f>
        <v>6.5723699295530914E-3</v>
      </c>
      <c r="AN150">
        <f>VLOOKUP($A150,raw[],40,FALSE)*(1-interactive!$C$7)</f>
        <v>9.1378258815910992E-3</v>
      </c>
      <c r="AO150">
        <f>VLOOKUP($A150,raw[],41,FALSE)*(1-interactive!$C$7)</f>
        <v>1.222131611364697E-2</v>
      </c>
      <c r="AP150">
        <f>VLOOKUP($A150,raw[],42,FALSE)*(1-interactive!$C$7)</f>
        <v>1.8373125188166646E-2</v>
      </c>
      <c r="AQ150">
        <f>VLOOKUP($A150,raw[],43,FALSE)*(1-interactive!$C$7)</f>
        <v>2.8009476073596461E-2</v>
      </c>
      <c r="AR150">
        <f>VLOOKUP($A150,raw[],44,FALSE)*(1-interactive!$C$7)</f>
        <v>4.2988637149515362E-2</v>
      </c>
      <c r="AS150">
        <f>VLOOKUP($A150,raw[],45,FALSE)*(1-interactive!$C$7)</f>
        <v>6.4353521784876133E-2</v>
      </c>
      <c r="AT150">
        <f>VLOOKUP($A150,raw[],46,FALSE)*(1-interactive!$C$7)</f>
        <v>9.2687393607720533E-2</v>
      </c>
      <c r="AU150">
        <f>VLOOKUP($A150,raw[],47,FALSE)*(1-interactive!$C$7)</f>
        <v>0.12306702086755865</v>
      </c>
      <c r="AV150">
        <f>VLOOKUP($A150,raw[],48,FALSE)*(1-interactive!$C$7)</f>
        <v>0.14953303490317804</v>
      </c>
      <c r="AW150">
        <f>VLOOKUP($A150,raw[],49,FALSE)*(1-interactive!$C$7)</f>
        <v>0.16730598402636218</v>
      </c>
      <c r="AX150">
        <f>VLOOKUP($A150,raw[],50,FALSE)*(1-interactive!$C$7)</f>
        <v>58.237849999999995</v>
      </c>
    </row>
    <row r="151" spans="1:50" x14ac:dyDescent="0.25">
      <c r="A151" t="s">
        <v>236</v>
      </c>
      <c r="B151" t="s">
        <v>237</v>
      </c>
      <c r="C151">
        <v>64</v>
      </c>
      <c r="D151" t="s">
        <v>225</v>
      </c>
      <c r="E151" t="s">
        <v>226</v>
      </c>
      <c r="F151" t="s">
        <v>226</v>
      </c>
      <c r="G151" t="s">
        <v>212</v>
      </c>
      <c r="J151">
        <f>VLOOKUP(raw_lb[[#This Row],[setting]],raw[],10,FALSE)*(1-interactive!$C$7)</f>
        <v>0.70109999999999995</v>
      </c>
      <c r="K151">
        <f>VLOOKUP(raw_lb[[#This Row],[setting]],raw[],11,FALSE)*(1-interactive!$C$7)</f>
        <v>0.8075</v>
      </c>
      <c r="L151">
        <f>VLOOKUP(raw_lb[[#This Row],[setting]],raw[],12,FALSE)*(1-interactive!$C$7)</f>
        <v>0.91199999999999992</v>
      </c>
      <c r="M151">
        <v>2.7200000000000002E-2</v>
      </c>
      <c r="N151">
        <v>0.1482</v>
      </c>
      <c r="O151">
        <v>0.7</v>
      </c>
      <c r="P151">
        <v>0.05</v>
      </c>
      <c r="Q151">
        <v>1.0875354122099721</v>
      </c>
      <c r="R151">
        <v>8.148435412209972</v>
      </c>
      <c r="S151">
        <v>40.661847742543443</v>
      </c>
      <c r="T151">
        <v>42.375953751941978</v>
      </c>
      <c r="U151">
        <v>41.588872504011476</v>
      </c>
      <c r="V151">
        <v>3.7315264703779758</v>
      </c>
      <c r="W151">
        <v>5.4508815583358263</v>
      </c>
      <c r="X151">
        <v>3.2565029564314889</v>
      </c>
      <c r="Y151">
        <v>4.9758580443893399</v>
      </c>
      <c r="Z151">
        <v>4.97130208671161</v>
      </c>
      <c r="AA151">
        <v>3.8881343451588806</v>
      </c>
      <c r="AB151">
        <v>5.6074894331167311</v>
      </c>
      <c r="AC151">
        <f>VLOOKUP($A151,raw[],29,FALSE)*(1-interactive!$C$7)</f>
        <v>2.2866623500000061E-2</v>
      </c>
      <c r="AD151">
        <f>VLOOKUP($A151,raw[],30,FALSE)*(1-interactive!$C$7)</f>
        <v>1.3463421300958602E-3</v>
      </c>
      <c r="AE151">
        <f>VLOOKUP($A151,raw[],31,FALSE)*(1-interactive!$C$7)</f>
        <v>7.349576772924855E-4</v>
      </c>
      <c r="AF151">
        <f>VLOOKUP($A151,raw[],32,FALSE)*(1-interactive!$C$7)</f>
        <v>5.9562869806583437E-4</v>
      </c>
      <c r="AG151">
        <f>VLOOKUP($A151,raw[],33,FALSE)*(1-interactive!$C$7)</f>
        <v>8.0590931945226233E-4</v>
      </c>
      <c r="AH151">
        <f>VLOOKUP($A151,raw[],34,FALSE)*(1-interactive!$C$7)</f>
        <v>1.3124334560908047E-3</v>
      </c>
      <c r="AI151">
        <f>VLOOKUP($A151,raw[],35,FALSE)*(1-interactive!$C$7)</f>
        <v>1.89944720645092E-3</v>
      </c>
      <c r="AJ151">
        <f>VLOOKUP($A151,raw[],36,FALSE)*(1-interactive!$C$7)</f>
        <v>2.7530877717457628E-3</v>
      </c>
      <c r="AK151">
        <f>VLOOKUP($A151,raw[],37,FALSE)*(1-interactive!$C$7)</f>
        <v>3.7432510005914518E-3</v>
      </c>
      <c r="AL151">
        <f>VLOOKUP($A151,raw[],38,FALSE)*(1-interactive!$C$7)</f>
        <v>4.8946918510709148E-3</v>
      </c>
      <c r="AM151">
        <f>VLOOKUP($A151,raw[],39,FALSE)*(1-interactive!$C$7)</f>
        <v>6.3547087757053321E-3</v>
      </c>
      <c r="AN151">
        <f>VLOOKUP($A151,raw[],40,FALSE)*(1-interactive!$C$7)</f>
        <v>8.3566542175876161E-3</v>
      </c>
      <c r="AO151">
        <f>VLOOKUP($A151,raw[],41,FALSE)*(1-interactive!$C$7)</f>
        <v>1.13186137785497E-2</v>
      </c>
      <c r="AP151">
        <f>VLOOKUP($A151,raw[],42,FALSE)*(1-interactive!$C$7)</f>
        <v>1.5188009821042469E-2</v>
      </c>
      <c r="AQ151">
        <f>VLOOKUP($A151,raw[],43,FALSE)*(1-interactive!$C$7)</f>
        <v>2.1252733815658474E-2</v>
      </c>
      <c r="AR151">
        <f>VLOOKUP($A151,raw[],44,FALSE)*(1-interactive!$C$7)</f>
        <v>3.0081514124853288E-2</v>
      </c>
      <c r="AS151">
        <f>VLOOKUP($A151,raw[],45,FALSE)*(1-interactive!$C$7)</f>
        <v>4.2963623201066663E-2</v>
      </c>
      <c r="AT151">
        <f>VLOOKUP($A151,raw[],46,FALSE)*(1-interactive!$C$7)</f>
        <v>6.0659566605135246E-2</v>
      </c>
      <c r="AU151">
        <f>VLOOKUP($A151,raw[],47,FALSE)*(1-interactive!$C$7)</f>
        <v>7.9931113413177046E-2</v>
      </c>
      <c r="AV151">
        <f>VLOOKUP($A151,raw[],48,FALSE)*(1-interactive!$C$7)</f>
        <v>0.10219321371818435</v>
      </c>
      <c r="AW151">
        <f>VLOOKUP($A151,raw[],49,FALSE)*(1-interactive!$C$7)</f>
        <v>0.12395490066379476</v>
      </c>
      <c r="AX151">
        <f>VLOOKUP($A151,raw[],50,FALSE)*(1-interactive!$C$7)</f>
        <v>67.718850000000003</v>
      </c>
    </row>
    <row r="152" spans="1:50" x14ac:dyDescent="0.25">
      <c r="A152" t="s">
        <v>238</v>
      </c>
      <c r="B152" t="s">
        <v>239</v>
      </c>
      <c r="C152">
        <v>68</v>
      </c>
      <c r="D152" t="s">
        <v>215</v>
      </c>
      <c r="E152" t="s">
        <v>240</v>
      </c>
      <c r="F152" t="s">
        <v>217</v>
      </c>
      <c r="G152" t="s">
        <v>212</v>
      </c>
      <c r="J152">
        <f>VLOOKUP(raw_lb[[#This Row],[setting]],raw[],10,FALSE)*(1-interactive!$C$7)</f>
        <v>0.83314999999999995</v>
      </c>
      <c r="K152">
        <f>VLOOKUP(raw_lb[[#This Row],[setting]],raw[],11,FALSE)*(1-interactive!$C$7)</f>
        <v>0</v>
      </c>
      <c r="L152">
        <f>VLOOKUP(raw_lb[[#This Row],[setting]],raw[],12,FALSE)*(1-interactive!$C$7)</f>
        <v>0.64600000000000002</v>
      </c>
      <c r="M152">
        <v>2.3E-3</v>
      </c>
      <c r="N152">
        <v>0.16269999999999998</v>
      </c>
      <c r="O152">
        <v>0.7</v>
      </c>
      <c r="P152">
        <v>0.05</v>
      </c>
      <c r="Q152">
        <v>1.038050654582074</v>
      </c>
      <c r="R152">
        <v>8.0989506545820742</v>
      </c>
      <c r="S152">
        <v>40.403251577139912</v>
      </c>
      <c r="T152">
        <v>42.008522407474885</v>
      </c>
      <c r="U152">
        <v>41.271415973287759</v>
      </c>
      <c r="V152">
        <v>1.5176731089511064</v>
      </c>
      <c r="W152">
        <v>1.5366731089511063</v>
      </c>
      <c r="X152">
        <v>1.0418521555921541</v>
      </c>
      <c r="Y152">
        <v>1.060852155592154</v>
      </c>
      <c r="Z152">
        <v>1.0554020366726202</v>
      </c>
      <c r="AA152">
        <v>1.6767416539190478</v>
      </c>
      <c r="AB152">
        <v>1.6957416539190477</v>
      </c>
      <c r="AC152">
        <f>VLOOKUP($A152,raw[],29,FALSE)*(1-interactive!$C$7)</f>
        <v>2.822364500000003E-2</v>
      </c>
      <c r="AD152">
        <f>VLOOKUP($A152,raw[],30,FALSE)*(1-interactive!$C$7)</f>
        <v>4.6523340319897799E-3</v>
      </c>
      <c r="AE152">
        <f>VLOOKUP($A152,raw[],31,FALSE)*(1-interactive!$C$7)</f>
        <v>1.2984788802680354E-3</v>
      </c>
      <c r="AF152">
        <f>VLOOKUP($A152,raw[],32,FALSE)*(1-interactive!$C$7)</f>
        <v>7.6137923831222918E-4</v>
      </c>
      <c r="AG152">
        <f>VLOOKUP($A152,raw[],33,FALSE)*(1-interactive!$C$7)</f>
        <v>1.510775492115564E-3</v>
      </c>
      <c r="AH152">
        <f>VLOOKUP($A152,raw[],34,FALSE)*(1-interactive!$C$7)</f>
        <v>2.1058752758285849E-3</v>
      </c>
      <c r="AI152">
        <f>VLOOKUP($A152,raw[],35,FALSE)*(1-interactive!$C$7)</f>
        <v>2.2617843612816831E-3</v>
      </c>
      <c r="AJ152">
        <f>VLOOKUP($A152,raw[],36,FALSE)*(1-interactive!$C$7)</f>
        <v>2.566678974565118E-3</v>
      </c>
      <c r="AK152">
        <f>VLOOKUP($A152,raw[],37,FALSE)*(1-interactive!$C$7)</f>
        <v>3.2348115698511751E-3</v>
      </c>
      <c r="AL152">
        <f>VLOOKUP($A152,raw[],38,FALSE)*(1-interactive!$C$7)</f>
        <v>3.8212153029534243E-3</v>
      </c>
      <c r="AM152">
        <f>VLOOKUP($A152,raw[],39,FALSE)*(1-interactive!$C$7)</f>
        <v>5.1735227722607387E-3</v>
      </c>
      <c r="AN152">
        <f>VLOOKUP($A152,raw[],40,FALSE)*(1-interactive!$C$7)</f>
        <v>6.9977071216973576E-3</v>
      </c>
      <c r="AO152">
        <f>VLOOKUP($A152,raw[],41,FALSE)*(1-interactive!$C$7)</f>
        <v>9.8277476820648815E-3</v>
      </c>
      <c r="AP152">
        <f>VLOOKUP($A152,raw[],42,FALSE)*(1-interactive!$C$7)</f>
        <v>1.4509784440702255E-2</v>
      </c>
      <c r="AQ152">
        <f>VLOOKUP($A152,raw[],43,FALSE)*(1-interactive!$C$7)</f>
        <v>1.9208894688906842E-2</v>
      </c>
      <c r="AR152">
        <f>VLOOKUP($A152,raw[],44,FALSE)*(1-interactive!$C$7)</f>
        <v>2.4915136708573014E-2</v>
      </c>
      <c r="AS152">
        <f>VLOOKUP($A152,raw[],45,FALSE)*(1-interactive!$C$7)</f>
        <v>3.5822532833163494E-2</v>
      </c>
      <c r="AT152">
        <f>VLOOKUP($A152,raw[],46,FALSE)*(1-interactive!$C$7)</f>
        <v>5.0745047387093636E-2</v>
      </c>
      <c r="AU152">
        <f>VLOOKUP($A152,raw[],47,FALSE)*(1-interactive!$C$7)</f>
        <v>7.1305994384417842E-2</v>
      </c>
      <c r="AV152">
        <f>VLOOKUP($A152,raw[],48,FALSE)*(1-interactive!$C$7)</f>
        <v>9.5117117597254788E-2</v>
      </c>
      <c r="AW152">
        <f>VLOOKUP($A152,raw[],49,FALSE)*(1-interactive!$C$7)</f>
        <v>0.11828160760404921</v>
      </c>
      <c r="AX152">
        <f>VLOOKUP($A152,raw[],50,FALSE)*(1-interactive!$C$7)</f>
        <v>67.527899999999988</v>
      </c>
    </row>
    <row r="153" spans="1:50" x14ac:dyDescent="0.25">
      <c r="A153" t="s">
        <v>241</v>
      </c>
      <c r="B153" t="s">
        <v>242</v>
      </c>
      <c r="C153">
        <v>70</v>
      </c>
      <c r="D153" t="s">
        <v>201</v>
      </c>
      <c r="E153" t="s">
        <v>202</v>
      </c>
      <c r="F153" t="s">
        <v>203</v>
      </c>
      <c r="G153" t="s">
        <v>204</v>
      </c>
      <c r="J153">
        <f>VLOOKUP(raw_lb[[#This Row],[setting]],raw[],10,FALSE)*(1-interactive!$C$7)</f>
        <v>0.94714999999999994</v>
      </c>
      <c r="K153">
        <f>VLOOKUP(raw_lb[[#This Row],[setting]],raw[],11,FALSE)*(1-interactive!$C$7)</f>
        <v>0</v>
      </c>
      <c r="L153">
        <f>VLOOKUP(raw_lb[[#This Row],[setting]],raw[],12,FALSE)*(1-interactive!$C$7)</f>
        <v>0.76</v>
      </c>
      <c r="M153">
        <v>1.04E-2</v>
      </c>
      <c r="N153">
        <v>0.16329999999999997</v>
      </c>
      <c r="O153">
        <v>0.7</v>
      </c>
      <c r="P153">
        <v>0.05</v>
      </c>
      <c r="Q153">
        <v>1.7770278668925001</v>
      </c>
      <c r="R153">
        <v>8.8379278668925014</v>
      </c>
      <c r="S153">
        <v>46.360233627044195</v>
      </c>
      <c r="T153">
        <v>50.681293600090193</v>
      </c>
      <c r="U153">
        <v>48.697154196039584</v>
      </c>
      <c r="V153">
        <v>1.4656513172232668</v>
      </c>
      <c r="W153">
        <v>5.3321513172232669</v>
      </c>
      <c r="X153">
        <v>0.9900328663404836</v>
      </c>
      <c r="Y153">
        <v>4.8565328663404834</v>
      </c>
      <c r="Z153">
        <v>4.8516685029097868</v>
      </c>
      <c r="AA153">
        <v>1.6240949974076007</v>
      </c>
      <c r="AB153">
        <v>5.4905949974076007</v>
      </c>
      <c r="AC153">
        <f>VLOOKUP($A153,raw[],29,FALSE)*(1-interactive!$C$7)</f>
        <v>5.7060039999999789E-3</v>
      </c>
      <c r="AD153">
        <f>VLOOKUP($A153,raw[],30,FALSE)*(1-interactive!$C$7)</f>
        <v>1.8413535084046563E-4</v>
      </c>
      <c r="AE153">
        <f>VLOOKUP($A153,raw[],31,FALSE)*(1-interactive!$C$7)</f>
        <v>7.4875327850589806E-5</v>
      </c>
      <c r="AF153">
        <f>VLOOKUP($A153,raw[],32,FALSE)*(1-interactive!$C$7)</f>
        <v>1.352443831311537E-4</v>
      </c>
      <c r="AG153">
        <f>VLOOKUP($A153,raw[],33,FALSE)*(1-interactive!$C$7)</f>
        <v>2.2055992929357726E-4</v>
      </c>
      <c r="AH153">
        <f>VLOOKUP($A153,raw[],34,FALSE)*(1-interactive!$C$7)</f>
        <v>3.3624582040920432E-4</v>
      </c>
      <c r="AI153">
        <f>VLOOKUP($A153,raw[],35,FALSE)*(1-interactive!$C$7)</f>
        <v>3.9805484216764504E-4</v>
      </c>
      <c r="AJ153">
        <f>VLOOKUP($A153,raw[],36,FALSE)*(1-interactive!$C$7)</f>
        <v>6.0112666296527686E-4</v>
      </c>
      <c r="AK153">
        <f>VLOOKUP($A153,raw[],37,FALSE)*(1-interactive!$C$7)</f>
        <v>8.2752260877574371E-4</v>
      </c>
      <c r="AL153">
        <f>VLOOKUP($A153,raw[],38,FALSE)*(1-interactive!$C$7)</f>
        <v>1.3558534068192347E-3</v>
      </c>
      <c r="AM153">
        <f>VLOOKUP($A153,raw[],39,FALSE)*(1-interactive!$C$7)</f>
        <v>2.4539980140151343E-3</v>
      </c>
      <c r="AN153">
        <f>VLOOKUP($A153,raw[],40,FALSE)*(1-interactive!$C$7)</f>
        <v>4.331739182041815E-3</v>
      </c>
      <c r="AO153">
        <f>VLOOKUP($A153,raw[],41,FALSE)*(1-interactive!$C$7)</f>
        <v>6.9165351262308536E-3</v>
      </c>
      <c r="AP153">
        <f>VLOOKUP($A153,raw[],42,FALSE)*(1-interactive!$C$7)</f>
        <v>1.12133678106143E-2</v>
      </c>
      <c r="AQ153">
        <f>VLOOKUP($A153,raw[],43,FALSE)*(1-interactive!$C$7)</f>
        <v>1.7753488355746798E-2</v>
      </c>
      <c r="AR153">
        <f>VLOOKUP($A153,raw[],44,FALSE)*(1-interactive!$C$7)</f>
        <v>2.9194178255818048E-2</v>
      </c>
      <c r="AS153">
        <f>VLOOKUP($A153,raw[],45,FALSE)*(1-interactive!$C$7)</f>
        <v>4.7883465355911287E-2</v>
      </c>
      <c r="AT153">
        <f>VLOOKUP($A153,raw[],46,FALSE)*(1-interactive!$C$7)</f>
        <v>7.2061294417439248E-2</v>
      </c>
      <c r="AU153">
        <f>VLOOKUP($A153,raw[],47,FALSE)*(1-interactive!$C$7)</f>
        <v>0.1026378957436368</v>
      </c>
      <c r="AV153">
        <f>VLOOKUP($A153,raw[],48,FALSE)*(1-interactive!$C$7)</f>
        <v>0.13414148713923216</v>
      </c>
      <c r="AW153">
        <f>VLOOKUP($A153,raw[],49,FALSE)*(1-interactive!$C$7)</f>
        <v>0.1597935112258701</v>
      </c>
      <c r="AX153">
        <f>VLOOKUP($A153,raw[],50,FALSE)*(1-interactive!$C$7)</f>
        <v>73.3172</v>
      </c>
    </row>
    <row r="154" spans="1:50" x14ac:dyDescent="0.25">
      <c r="A154" t="s">
        <v>243</v>
      </c>
      <c r="B154" t="s">
        <v>244</v>
      </c>
      <c r="C154">
        <v>72</v>
      </c>
      <c r="D154" t="s">
        <v>207</v>
      </c>
      <c r="E154" t="s">
        <v>245</v>
      </c>
      <c r="F154" t="s">
        <v>211</v>
      </c>
      <c r="G154" t="s">
        <v>204</v>
      </c>
      <c r="J154">
        <f>VLOOKUP(raw_lb[[#This Row],[setting]],raw[],10,FALSE)*(1-interactive!$C$7)</f>
        <v>0.94714999999999994</v>
      </c>
      <c r="K154">
        <f>VLOOKUP(raw_lb[[#This Row],[setting]],raw[],11,FALSE)*(1-interactive!$C$7)</f>
        <v>0</v>
      </c>
      <c r="L154">
        <f>VLOOKUP(raw_lb[[#This Row],[setting]],raw[],12,FALSE)*(1-interactive!$C$7)</f>
        <v>0.90249999999999997</v>
      </c>
      <c r="M154">
        <v>3.5999999999999999E-3</v>
      </c>
      <c r="N154">
        <v>0.15109999999999998</v>
      </c>
      <c r="O154">
        <v>7.0000000000000007E-2</v>
      </c>
      <c r="P154">
        <v>1E-3</v>
      </c>
      <c r="Q154">
        <v>2.5959038176033902</v>
      </c>
      <c r="R154">
        <v>9.6568038176033912</v>
      </c>
      <c r="S154">
        <v>56.133765837762908</v>
      </c>
      <c r="T154">
        <v>65.115411418631481</v>
      </c>
      <c r="U154">
        <v>60.991229615698515</v>
      </c>
      <c r="V154">
        <v>3.5579890412876511</v>
      </c>
      <c r="W154">
        <v>8.1464890412876514</v>
      </c>
      <c r="X154">
        <v>3.0822801157901214</v>
      </c>
      <c r="Y154">
        <v>7.6707801157901212</v>
      </c>
      <c r="Z154">
        <v>7.6661126681412561</v>
      </c>
      <c r="AA154">
        <v>3.7167119002832032</v>
      </c>
      <c r="AB154">
        <v>8.3052119002832026</v>
      </c>
      <c r="AC154">
        <f>VLOOKUP($A154,raw[],29,FALSE)*(1-interactive!$C$7)</f>
        <v>2.8652702999999936E-2</v>
      </c>
      <c r="AD154">
        <f>VLOOKUP($A154,raw[],30,FALSE)*(1-interactive!$C$7)</f>
        <v>1.9148268446051728E-3</v>
      </c>
      <c r="AE154">
        <f>VLOOKUP($A154,raw[],31,FALSE)*(1-interactive!$C$7)</f>
        <v>4.9588771543212259E-4</v>
      </c>
      <c r="AF154">
        <f>VLOOKUP($A154,raw[],32,FALSE)*(1-interactive!$C$7)</f>
        <v>4.1648511985589362E-4</v>
      </c>
      <c r="AG154">
        <f>VLOOKUP($A154,raw[],33,FALSE)*(1-interactive!$C$7)</f>
        <v>7.458079014176169E-4</v>
      </c>
      <c r="AH154">
        <f>VLOOKUP($A154,raw[],34,FALSE)*(1-interactive!$C$7)</f>
        <v>1.3138152123476424E-3</v>
      </c>
      <c r="AI154">
        <f>VLOOKUP($A154,raw[],35,FALSE)*(1-interactive!$C$7)</f>
        <v>2.0921529555389009E-3</v>
      </c>
      <c r="AJ154">
        <f>VLOOKUP($A154,raw[],36,FALSE)*(1-interactive!$C$7)</f>
        <v>2.9812563550634524E-3</v>
      </c>
      <c r="AK154">
        <f>VLOOKUP($A154,raw[],37,FALSE)*(1-interactive!$C$7)</f>
        <v>4.2911497381733577E-3</v>
      </c>
      <c r="AL154">
        <f>VLOOKUP($A154,raw[],38,FALSE)*(1-interactive!$C$7)</f>
        <v>5.3454674600744694E-3</v>
      </c>
      <c r="AM154">
        <f>VLOOKUP($A154,raw[],39,FALSE)*(1-interactive!$C$7)</f>
        <v>6.6589530958325056E-3</v>
      </c>
      <c r="AN154">
        <f>VLOOKUP($A154,raw[],40,FALSE)*(1-interactive!$C$7)</f>
        <v>8.5145043645468259E-3</v>
      </c>
      <c r="AO154">
        <f>VLOOKUP($A154,raw[],41,FALSE)*(1-interactive!$C$7)</f>
        <v>1.0637421361858645E-2</v>
      </c>
      <c r="AP154">
        <f>VLOOKUP($A154,raw[],42,FALSE)*(1-interactive!$C$7)</f>
        <v>1.4866609975559603E-2</v>
      </c>
      <c r="AQ154">
        <f>VLOOKUP($A154,raw[],43,FALSE)*(1-interactive!$C$7)</f>
        <v>2.2320859044271869E-2</v>
      </c>
      <c r="AR154">
        <f>VLOOKUP($A154,raw[],44,FALSE)*(1-interactive!$C$7)</f>
        <v>3.4186560919546673E-2</v>
      </c>
      <c r="AS154">
        <f>VLOOKUP($A154,raw[],45,FALSE)*(1-interactive!$C$7)</f>
        <v>5.2226818976815685E-2</v>
      </c>
      <c r="AT154">
        <f>VLOOKUP($A154,raw[],46,FALSE)*(1-interactive!$C$7)</f>
        <v>8.1290084987695549E-2</v>
      </c>
      <c r="AU154">
        <f>VLOOKUP($A154,raw[],47,FALSE)*(1-interactive!$C$7)</f>
        <v>0.11951399751786188</v>
      </c>
      <c r="AV154">
        <f>VLOOKUP($A154,raw[],48,FALSE)*(1-interactive!$C$7)</f>
        <v>0.15580207754378333</v>
      </c>
      <c r="AW154">
        <f>VLOOKUP($A154,raw[],49,FALSE)*(1-interactive!$C$7)</f>
        <v>0.17329928677890458</v>
      </c>
      <c r="AX154">
        <f>VLOOKUP($A154,raw[],50,FALSE)*(1-interactive!$C$7)</f>
        <v>65.640249999999995</v>
      </c>
    </row>
    <row r="155" spans="1:50" x14ac:dyDescent="0.25">
      <c r="A155" t="s">
        <v>246</v>
      </c>
      <c r="B155" t="s">
        <v>247</v>
      </c>
      <c r="C155">
        <v>76</v>
      </c>
      <c r="D155" t="s">
        <v>215</v>
      </c>
      <c r="E155" t="s">
        <v>248</v>
      </c>
      <c r="F155" t="s">
        <v>217</v>
      </c>
      <c r="G155" t="s">
        <v>204</v>
      </c>
      <c r="J155">
        <f>VLOOKUP(raw_lb[[#This Row],[setting]],raw[],10,FALSE)*(1-interactive!$C$7)</f>
        <v>0.9414499999999999</v>
      </c>
      <c r="K155">
        <f>VLOOKUP(raw_lb[[#This Row],[setting]],raw[],11,FALSE)*(1-interactive!$C$7)</f>
        <v>0.59849999999999992</v>
      </c>
      <c r="L155">
        <f>VLOOKUP(raw_lb[[#This Row],[setting]],raw[],12,FALSE)*(1-interactive!$C$7)</f>
        <v>0.73149999999999993</v>
      </c>
      <c r="M155">
        <v>5.3E-3</v>
      </c>
      <c r="N155">
        <v>0.17010000000000003</v>
      </c>
      <c r="O155">
        <v>0.7</v>
      </c>
      <c r="P155">
        <v>0.05</v>
      </c>
      <c r="Q155">
        <v>1.0032717246484091</v>
      </c>
      <c r="R155">
        <v>8.0641717246484106</v>
      </c>
      <c r="S155">
        <v>40.962910488080126</v>
      </c>
      <c r="T155">
        <v>42.877565438305311</v>
      </c>
      <c r="U155">
        <v>41.998396355811792</v>
      </c>
      <c r="V155">
        <v>0.98303210083449188</v>
      </c>
      <c r="W155">
        <v>1.0020321008344919</v>
      </c>
      <c r="X155">
        <v>0.50668779787649854</v>
      </c>
      <c r="Y155">
        <v>0.52568779787649855</v>
      </c>
      <c r="Z155">
        <v>0.52050582245753274</v>
      </c>
      <c r="AA155">
        <v>1.1437155531366177</v>
      </c>
      <c r="AB155">
        <v>1.1627155531366176</v>
      </c>
      <c r="AC155">
        <f>VLOOKUP($A155,raw[],29,FALSE)*(1-interactive!$C$7)</f>
        <v>1.2366235500000024E-2</v>
      </c>
      <c r="AD155">
        <f>VLOOKUP($A155,raw[],30,FALSE)*(1-interactive!$C$7)</f>
        <v>5.3719965120772851E-4</v>
      </c>
      <c r="AE155">
        <f>VLOOKUP($A155,raw[],31,FALSE)*(1-interactive!$C$7)</f>
        <v>2.147524764801908E-4</v>
      </c>
      <c r="AF155">
        <f>VLOOKUP($A155,raw[],32,FALSE)*(1-interactive!$C$7)</f>
        <v>2.9505089385476277E-4</v>
      </c>
      <c r="AG155">
        <f>VLOOKUP($A155,raw[],33,FALSE)*(1-interactive!$C$7)</f>
        <v>1.0292513792218836E-3</v>
      </c>
      <c r="AH155">
        <f>VLOOKUP($A155,raw[],34,FALSE)*(1-interactive!$C$7)</f>
        <v>1.5641572111942692E-3</v>
      </c>
      <c r="AI155">
        <f>VLOOKUP($A155,raw[],35,FALSE)*(1-interactive!$C$7)</f>
        <v>1.4952274501821158E-3</v>
      </c>
      <c r="AJ155">
        <f>VLOOKUP($A155,raw[],36,FALSE)*(1-interactive!$C$7)</f>
        <v>1.7245175007047989E-3</v>
      </c>
      <c r="AK155">
        <f>VLOOKUP($A155,raw[],37,FALSE)*(1-interactive!$C$7)</f>
        <v>2.178240417094815E-3</v>
      </c>
      <c r="AL155">
        <f>VLOOKUP($A155,raw[],38,FALSE)*(1-interactive!$C$7)</f>
        <v>2.8017400176018107E-3</v>
      </c>
      <c r="AM155">
        <f>VLOOKUP($A155,raw[],39,FALSE)*(1-interactive!$C$7)</f>
        <v>4.0414131174501986E-3</v>
      </c>
      <c r="AN155">
        <f>VLOOKUP($A155,raw[],40,FALSE)*(1-interactive!$C$7)</f>
        <v>5.7617333536563722E-3</v>
      </c>
      <c r="AO155">
        <f>VLOOKUP($A155,raw[],41,FALSE)*(1-interactive!$C$7)</f>
        <v>8.1437531301908287E-3</v>
      </c>
      <c r="AP155">
        <f>VLOOKUP($A155,raw[],42,FALSE)*(1-interactive!$C$7)</f>
        <v>1.2121484616767986E-2</v>
      </c>
      <c r="AQ155">
        <f>VLOOKUP($A155,raw[],43,FALSE)*(1-interactive!$C$7)</f>
        <v>1.7951825475725752E-2</v>
      </c>
      <c r="AR155">
        <f>VLOOKUP($A155,raw[],44,FALSE)*(1-interactive!$C$7)</f>
        <v>2.5518553732218046E-2</v>
      </c>
      <c r="AS155">
        <f>VLOOKUP($A155,raw[],45,FALSE)*(1-interactive!$C$7)</f>
        <v>3.8179729857199328E-2</v>
      </c>
      <c r="AT155">
        <f>VLOOKUP($A155,raw[],46,FALSE)*(1-interactive!$C$7)</f>
        <v>5.536122338322489E-2</v>
      </c>
      <c r="AU155">
        <f>VLOOKUP($A155,raw[],47,FALSE)*(1-interactive!$C$7)</f>
        <v>7.688682189626718E-2</v>
      </c>
      <c r="AV155">
        <f>VLOOKUP($A155,raw[],48,FALSE)*(1-interactive!$C$7)</f>
        <v>0.1009762982765379</v>
      </c>
      <c r="AW155">
        <f>VLOOKUP($A155,raw[],49,FALSE)*(1-interactive!$C$7)</f>
        <v>0.13073481204058479</v>
      </c>
      <c r="AX155">
        <f>VLOOKUP($A155,raw[],50,FALSE)*(1-interactive!$C$7)</f>
        <v>71.78295</v>
      </c>
    </row>
    <row r="156" spans="1:50" x14ac:dyDescent="0.25">
      <c r="A156" t="s">
        <v>249</v>
      </c>
      <c r="B156" t="s">
        <v>250</v>
      </c>
      <c r="C156">
        <v>100</v>
      </c>
      <c r="D156" t="s">
        <v>201</v>
      </c>
      <c r="E156" t="s">
        <v>202</v>
      </c>
      <c r="F156" t="s">
        <v>203</v>
      </c>
      <c r="G156" t="s">
        <v>204</v>
      </c>
      <c r="J156">
        <f>VLOOKUP(raw_lb[[#This Row],[setting]],raw[],10,FALSE)*(1-interactive!$C$7)</f>
        <v>0.94714999999999994</v>
      </c>
      <c r="K156">
        <f>VLOOKUP(raw_lb[[#This Row],[setting]],raw[],11,FALSE)*(1-interactive!$C$7)</f>
        <v>0.93099999999999994</v>
      </c>
      <c r="L156">
        <f>VLOOKUP(raw_lb[[#This Row],[setting]],raw[],12,FALSE)*(1-interactive!$C$7)</f>
        <v>0.86449999999999994</v>
      </c>
      <c r="M156">
        <v>1.77E-2</v>
      </c>
      <c r="N156">
        <v>0.16329999999999997</v>
      </c>
      <c r="O156">
        <v>0.7</v>
      </c>
      <c r="P156">
        <v>0.05</v>
      </c>
      <c r="Q156">
        <v>2.0303765744751798</v>
      </c>
      <c r="R156">
        <v>9.0912765744751809</v>
      </c>
      <c r="S156">
        <v>52.30086220531161</v>
      </c>
      <c r="T156">
        <v>59.581952574091552</v>
      </c>
      <c r="U156">
        <v>56.238629779391744</v>
      </c>
      <c r="V156">
        <v>2.6333858612060994</v>
      </c>
      <c r="W156">
        <v>6.4998858612060992</v>
      </c>
      <c r="X156">
        <v>2.1522240098597969</v>
      </c>
      <c r="Y156">
        <v>6.0187240098597972</v>
      </c>
      <c r="Z156">
        <v>6.0099523120336311</v>
      </c>
      <c r="AA156">
        <v>2.8089348913921501</v>
      </c>
      <c r="AB156">
        <v>6.6754348913921504</v>
      </c>
      <c r="AC156">
        <f>VLOOKUP($A156,raw[],29,FALSE)*(1-interactive!$C$7)</f>
        <v>5.9728589999999459E-3</v>
      </c>
      <c r="AD156">
        <f>VLOOKUP($A156,raw[],30,FALSE)*(1-interactive!$C$7)</f>
        <v>2.7948493326212614E-4</v>
      </c>
      <c r="AE156">
        <f>VLOOKUP($A156,raw[],31,FALSE)*(1-interactive!$C$7)</f>
        <v>1.3489505849314764E-4</v>
      </c>
      <c r="AF156">
        <f>VLOOKUP($A156,raw[],32,FALSE)*(1-interactive!$C$7)</f>
        <v>1.5994969424061782E-4</v>
      </c>
      <c r="AG156">
        <f>VLOOKUP($A156,raw[],33,FALSE)*(1-interactive!$C$7)</f>
        <v>4.1915835333620078E-4</v>
      </c>
      <c r="AH156">
        <f>VLOOKUP($A156,raw[],34,FALSE)*(1-interactive!$C$7)</f>
        <v>5.5324799571204232E-4</v>
      </c>
      <c r="AI156">
        <f>VLOOKUP($A156,raw[],35,FALSE)*(1-interactive!$C$7)</f>
        <v>6.4614646294828908E-4</v>
      </c>
      <c r="AJ156">
        <f>VLOOKUP($A156,raw[],36,FALSE)*(1-interactive!$C$7)</f>
        <v>9.2824299179407885E-4</v>
      </c>
      <c r="AK156">
        <f>VLOOKUP($A156,raw[],37,FALSE)*(1-interactive!$C$7)</f>
        <v>1.3792449048633517E-3</v>
      </c>
      <c r="AL156">
        <f>VLOOKUP($A156,raw[],38,FALSE)*(1-interactive!$C$7)</f>
        <v>2.3110863909317114E-3</v>
      </c>
      <c r="AM156">
        <f>VLOOKUP($A156,raw[],39,FALSE)*(1-interactive!$C$7)</f>
        <v>4.093713030106411E-3</v>
      </c>
      <c r="AN156">
        <f>VLOOKUP($A156,raw[],40,FALSE)*(1-interactive!$C$7)</f>
        <v>6.7257189145403067E-3</v>
      </c>
      <c r="AO156">
        <f>VLOOKUP($A156,raw[],41,FALSE)*(1-interactive!$C$7)</f>
        <v>1.0347251473024994E-2</v>
      </c>
      <c r="AP156">
        <f>VLOOKUP($A156,raw[],42,FALSE)*(1-interactive!$C$7)</f>
        <v>1.4912665422376792E-2</v>
      </c>
      <c r="AQ156">
        <f>VLOOKUP($A156,raw[],43,FALSE)*(1-interactive!$C$7)</f>
        <v>2.0888633954004133E-2</v>
      </c>
      <c r="AR156">
        <f>VLOOKUP($A156,raw[],44,FALSE)*(1-interactive!$C$7)</f>
        <v>2.9750041738832788E-2</v>
      </c>
      <c r="AS156">
        <f>VLOOKUP($A156,raw[],45,FALSE)*(1-interactive!$C$7)</f>
        <v>4.5542502670418934E-2</v>
      </c>
      <c r="AT156">
        <f>VLOOKUP($A156,raw[],46,FALSE)*(1-interactive!$C$7)</f>
        <v>7.3353657172311348E-2</v>
      </c>
      <c r="AU156">
        <f>VLOOKUP($A156,raw[],47,FALSE)*(1-interactive!$C$7)</f>
        <v>0.12259507227922638</v>
      </c>
      <c r="AV156">
        <f>VLOOKUP($A156,raw[],48,FALSE)*(1-interactive!$C$7)</f>
        <v>0.14318944659129254</v>
      </c>
      <c r="AW156">
        <f>VLOOKUP($A156,raw[],49,FALSE)*(1-interactive!$C$7)</f>
        <v>0.16853348461672046</v>
      </c>
      <c r="AX156">
        <f>VLOOKUP($A156,raw[],50,FALSE)*(1-interactive!$C$7)</f>
        <v>71.104649999999992</v>
      </c>
    </row>
    <row r="157" spans="1:50" x14ac:dyDescent="0.25">
      <c r="A157" t="s">
        <v>251</v>
      </c>
      <c r="B157" t="s">
        <v>252</v>
      </c>
      <c r="C157">
        <v>854</v>
      </c>
      <c r="D157" t="s">
        <v>207</v>
      </c>
      <c r="E157" t="s">
        <v>235</v>
      </c>
      <c r="F157" t="s">
        <v>211</v>
      </c>
      <c r="G157" t="s">
        <v>198</v>
      </c>
      <c r="J157">
        <f>VLOOKUP(raw_lb[[#This Row],[setting]],raw[],10,FALSE)*(1-interactive!$C$7)</f>
        <v>0.78090000000000004</v>
      </c>
      <c r="K157">
        <f>VLOOKUP(raw_lb[[#This Row],[setting]],raw[],11,FALSE)*(1-interactive!$C$7)</f>
        <v>0</v>
      </c>
      <c r="L157">
        <f>VLOOKUP(raw_lb[[#This Row],[setting]],raw[],12,FALSE)*(1-interactive!$C$7)</f>
        <v>0.86449999999999994</v>
      </c>
      <c r="M157">
        <v>5.9800000000000006E-2</v>
      </c>
      <c r="N157">
        <v>0.155</v>
      </c>
      <c r="O157">
        <v>7.0000000000000007E-2</v>
      </c>
      <c r="P157">
        <v>1E-3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1.2379291893545998</v>
      </c>
      <c r="W157">
        <v>5.8264291893545996</v>
      </c>
      <c r="X157">
        <v>0.76696208524126797</v>
      </c>
      <c r="Y157">
        <v>5.3554620852412675</v>
      </c>
      <c r="Z157">
        <v>5.3535933449843407</v>
      </c>
      <c r="AA157">
        <v>1.3820201423646277</v>
      </c>
      <c r="AB157">
        <v>5.9705201423646272</v>
      </c>
      <c r="AC157">
        <f>VLOOKUP($A157,raw[],29,FALSE)*(1-interactive!$C$7)</f>
        <v>5.1516466999999927E-2</v>
      </c>
      <c r="AD157">
        <f>VLOOKUP($A157,raw[],30,FALSE)*(1-interactive!$C$7)</f>
        <v>7.4086161493401598E-3</v>
      </c>
      <c r="AE157">
        <f>VLOOKUP($A157,raw[],31,FALSE)*(1-interactive!$C$7)</f>
        <v>2.5743584671742209E-3</v>
      </c>
      <c r="AF157">
        <f>VLOOKUP($A157,raw[],32,FALSE)*(1-interactive!$C$7)</f>
        <v>1.5304289088295081E-3</v>
      </c>
      <c r="AG157">
        <f>VLOOKUP($A157,raw[],33,FALSE)*(1-interactive!$C$7)</f>
        <v>2.3337249424291904E-3</v>
      </c>
      <c r="AH157">
        <f>VLOOKUP($A157,raw[],34,FALSE)*(1-interactive!$C$7)</f>
        <v>3.268610361332947E-3</v>
      </c>
      <c r="AI157">
        <f>VLOOKUP($A157,raw[],35,FALSE)*(1-interactive!$C$7)</f>
        <v>3.499786666493864E-3</v>
      </c>
      <c r="AJ157">
        <f>VLOOKUP($A157,raw[],36,FALSE)*(1-interactive!$C$7)</f>
        <v>3.8652801918023687E-3</v>
      </c>
      <c r="AK157">
        <f>VLOOKUP($A157,raw[],37,FALSE)*(1-interactive!$C$7)</f>
        <v>4.4333936686953681E-3</v>
      </c>
      <c r="AL157">
        <f>VLOOKUP($A157,raw[],38,FALSE)*(1-interactive!$C$7)</f>
        <v>5.4491381323801494E-3</v>
      </c>
      <c r="AM157">
        <f>VLOOKUP($A157,raw[],39,FALSE)*(1-interactive!$C$7)</f>
        <v>6.8256458947968945E-3</v>
      </c>
      <c r="AN157">
        <f>VLOOKUP($A157,raw[],40,FALSE)*(1-interactive!$C$7)</f>
        <v>9.57524811189891E-3</v>
      </c>
      <c r="AO157">
        <f>VLOOKUP($A157,raw[],41,FALSE)*(1-interactive!$C$7)</f>
        <v>1.3608328470107142E-2</v>
      </c>
      <c r="AP157">
        <f>VLOOKUP($A157,raw[],42,FALSE)*(1-interactive!$C$7)</f>
        <v>2.1153653353260096E-2</v>
      </c>
      <c r="AQ157">
        <f>VLOOKUP($A157,raw[],43,FALSE)*(1-interactive!$C$7)</f>
        <v>3.2615037551028472E-2</v>
      </c>
      <c r="AR157">
        <f>VLOOKUP($A157,raw[],44,FALSE)*(1-interactive!$C$7)</f>
        <v>5.2280094334555487E-2</v>
      </c>
      <c r="AS157">
        <f>VLOOKUP($A157,raw[],45,FALSE)*(1-interactive!$C$7)</f>
        <v>8.0367467100935341E-2</v>
      </c>
      <c r="AT157">
        <f>VLOOKUP($A157,raw[],46,FALSE)*(1-interactive!$C$7)</f>
        <v>0.11488917142100885</v>
      </c>
      <c r="AU157">
        <f>VLOOKUP($A157,raw[],47,FALSE)*(1-interactive!$C$7)</f>
        <v>0.1462702796675269</v>
      </c>
      <c r="AV157">
        <f>VLOOKUP($A157,raw[],48,FALSE)*(1-interactive!$C$7)</f>
        <v>0.16803256157898419</v>
      </c>
      <c r="AW157">
        <f>VLOOKUP($A157,raw[],49,FALSE)*(1-interactive!$C$7)</f>
        <v>0.18431710550500716</v>
      </c>
      <c r="AX157">
        <f>VLOOKUP($A157,raw[],50,FALSE)*(1-interactive!$C$7)</f>
        <v>57.87115</v>
      </c>
    </row>
    <row r="158" spans="1:50" x14ac:dyDescent="0.25">
      <c r="A158" t="s">
        <v>253</v>
      </c>
      <c r="B158" t="s">
        <v>254</v>
      </c>
      <c r="C158">
        <v>108</v>
      </c>
      <c r="D158" t="s">
        <v>207</v>
      </c>
      <c r="E158" t="s">
        <v>255</v>
      </c>
      <c r="F158" t="s">
        <v>211</v>
      </c>
      <c r="G158" t="s">
        <v>198</v>
      </c>
      <c r="J158">
        <f>VLOOKUP(raw_lb[[#This Row],[setting]],raw[],10,FALSE)*(1-interactive!$C$7)</f>
        <v>0.79705000000000004</v>
      </c>
      <c r="K158">
        <f>VLOOKUP(raw_lb[[#This Row],[setting]],raw[],11,FALSE)*(1-interactive!$C$7)</f>
        <v>0</v>
      </c>
      <c r="L158">
        <f>VLOOKUP(raw_lb[[#This Row],[setting]],raw[],12,FALSE)*(1-interactive!$C$7)</f>
        <v>0.88349999999999995</v>
      </c>
      <c r="M158">
        <v>3.4300000000000004E-2</v>
      </c>
      <c r="N158">
        <v>0.15560000000000002</v>
      </c>
      <c r="O158">
        <v>7.0000000000000007E-2</v>
      </c>
      <c r="P158">
        <v>1E-3</v>
      </c>
      <c r="Q158">
        <v>0.55320958904109607</v>
      </c>
      <c r="R158">
        <v>7.6141095890410959</v>
      </c>
      <c r="S158">
        <v>37.00029337693573</v>
      </c>
      <c r="T158">
        <v>37.086786230220802</v>
      </c>
      <c r="U158">
        <v>37.047070540218307</v>
      </c>
      <c r="V158">
        <v>1.0368268395713491</v>
      </c>
      <c r="W158">
        <v>5.6253268395713487</v>
      </c>
      <c r="X158">
        <v>0.56803729125112046</v>
      </c>
      <c r="Y158">
        <v>5.1565372912511203</v>
      </c>
      <c r="Z158">
        <v>5.1560123037698062</v>
      </c>
      <c r="AA158">
        <v>1.1741984775626582</v>
      </c>
      <c r="AB158">
        <v>5.7626984775626582</v>
      </c>
      <c r="AC158">
        <f>VLOOKUP($A158,raw[],29,FALSE)*(1-interactive!$C$7)</f>
        <v>4.0330558999999995E-2</v>
      </c>
      <c r="AD158">
        <f>VLOOKUP($A158,raw[],30,FALSE)*(1-interactive!$C$7)</f>
        <v>4.9769035827158256E-3</v>
      </c>
      <c r="AE158">
        <f>VLOOKUP($A158,raw[],31,FALSE)*(1-interactive!$C$7)</f>
        <v>3.8061509767952483E-3</v>
      </c>
      <c r="AF158">
        <f>VLOOKUP($A158,raw[],32,FALSE)*(1-interactive!$C$7)</f>
        <v>2.3742320747320157E-3</v>
      </c>
      <c r="AG158">
        <f>VLOOKUP($A158,raw[],33,FALSE)*(1-interactive!$C$7)</f>
        <v>2.7966066702600567E-3</v>
      </c>
      <c r="AH158">
        <f>VLOOKUP($A158,raw[],34,FALSE)*(1-interactive!$C$7)</f>
        <v>3.6529316986229866E-3</v>
      </c>
      <c r="AI158">
        <f>VLOOKUP($A158,raw[],35,FALSE)*(1-interactive!$C$7)</f>
        <v>4.3734828096253153E-3</v>
      </c>
      <c r="AJ158">
        <f>VLOOKUP($A158,raw[],36,FALSE)*(1-interactive!$C$7)</f>
        <v>5.3849930206267393E-3</v>
      </c>
      <c r="AK158">
        <f>VLOOKUP($A158,raw[],37,FALSE)*(1-interactive!$C$7)</f>
        <v>6.7501342421619065E-3</v>
      </c>
      <c r="AL158">
        <f>VLOOKUP($A158,raw[],38,FALSE)*(1-interactive!$C$7)</f>
        <v>7.499486582626177E-3</v>
      </c>
      <c r="AM158">
        <f>VLOOKUP($A158,raw[],39,FALSE)*(1-interactive!$C$7)</f>
        <v>8.1638004169218743E-3</v>
      </c>
      <c r="AN158">
        <f>VLOOKUP($A158,raw[],40,FALSE)*(1-interactive!$C$7)</f>
        <v>1.029509249178069E-2</v>
      </c>
      <c r="AO158">
        <f>VLOOKUP($A158,raw[],41,FALSE)*(1-interactive!$C$7)</f>
        <v>1.3489753618917051E-2</v>
      </c>
      <c r="AP158">
        <f>VLOOKUP($A158,raw[],42,FALSE)*(1-interactive!$C$7)</f>
        <v>1.9944978108700231E-2</v>
      </c>
      <c r="AQ158">
        <f>VLOOKUP($A158,raw[],43,FALSE)*(1-interactive!$C$7)</f>
        <v>3.0109631617629203E-2</v>
      </c>
      <c r="AR158">
        <f>VLOOKUP($A158,raw[],44,FALSE)*(1-interactive!$C$7)</f>
        <v>4.5767817231231724E-2</v>
      </c>
      <c r="AS158">
        <f>VLOOKUP($A158,raw[],45,FALSE)*(1-interactive!$C$7)</f>
        <v>6.7515287236016477E-2</v>
      </c>
      <c r="AT158">
        <f>VLOOKUP($A158,raw[],46,FALSE)*(1-interactive!$C$7)</f>
        <v>9.5990687151886037E-2</v>
      </c>
      <c r="AU158">
        <f>VLOOKUP($A158,raw[],47,FALSE)*(1-interactive!$C$7)</f>
        <v>0.12608348175792108</v>
      </c>
      <c r="AV158">
        <f>VLOOKUP($A158,raw[],48,FALSE)*(1-interactive!$C$7)</f>
        <v>0.15113367349845433</v>
      </c>
      <c r="AW158">
        <f>VLOOKUP($A158,raw[],49,FALSE)*(1-interactive!$C$7)</f>
        <v>0.16822572624016791</v>
      </c>
      <c r="AX158">
        <f>VLOOKUP($A158,raw[],50,FALSE)*(1-interactive!$C$7)</f>
        <v>57.973749999999995</v>
      </c>
    </row>
    <row r="159" spans="1:50" x14ac:dyDescent="0.25">
      <c r="A159" t="s">
        <v>256</v>
      </c>
      <c r="B159" t="s">
        <v>257</v>
      </c>
      <c r="C159">
        <v>132</v>
      </c>
      <c r="D159" t="s">
        <v>207</v>
      </c>
      <c r="E159" t="s">
        <v>235</v>
      </c>
      <c r="F159" t="s">
        <v>211</v>
      </c>
      <c r="G159" t="s">
        <v>212</v>
      </c>
      <c r="J159">
        <f>VLOOKUP(raw_lb[[#This Row],[setting]],raw[],10,FALSE)*(1-interactive!$C$7)</f>
        <v>0.71819999999999984</v>
      </c>
      <c r="K159">
        <f>VLOOKUP(raw_lb[[#This Row],[setting]],raw[],11,FALSE)*(1-interactive!$C$7)</f>
        <v>0.91199999999999992</v>
      </c>
      <c r="L159">
        <f>VLOOKUP(raw_lb[[#This Row],[setting]],raw[],12,FALSE)*(1-interactive!$C$7)</f>
        <v>0.8929999999999999</v>
      </c>
      <c r="M159">
        <v>4.9699999999999994E-2</v>
      </c>
      <c r="N159">
        <v>0.155</v>
      </c>
      <c r="O159">
        <v>7.0000000000000007E-2</v>
      </c>
      <c r="P159">
        <v>1E-3</v>
      </c>
      <c r="Q159">
        <v>1.2154846153846151</v>
      </c>
      <c r="R159">
        <v>8.2763846153846163</v>
      </c>
      <c r="S159">
        <v>41.097311989537182</v>
      </c>
      <c r="T159">
        <v>42.97146883123991</v>
      </c>
      <c r="U159">
        <v>42.110895624158935</v>
      </c>
      <c r="V159">
        <v>4.2066512869506631</v>
      </c>
      <c r="W159">
        <v>8.7951512869506629</v>
      </c>
      <c r="X159">
        <v>3.7311959073565988</v>
      </c>
      <c r="Y159">
        <v>8.3196959073565981</v>
      </c>
      <c r="Z159">
        <v>8.3146405784970892</v>
      </c>
      <c r="AA159">
        <v>4.3645917757298065</v>
      </c>
      <c r="AB159">
        <v>8.9530917757298063</v>
      </c>
      <c r="AC159">
        <f>VLOOKUP($A159,raw[],29,FALSE)*(1-interactive!$C$7)</f>
        <v>1.6046763500000016E-2</v>
      </c>
      <c r="AD159">
        <f>VLOOKUP($A159,raw[],30,FALSE)*(1-interactive!$C$7)</f>
        <v>8.3933078832476452E-4</v>
      </c>
      <c r="AE159">
        <f>VLOOKUP($A159,raw[],31,FALSE)*(1-interactive!$C$7)</f>
        <v>3.4218002198656337E-4</v>
      </c>
      <c r="AF159">
        <f>VLOOKUP($A159,raw[],32,FALSE)*(1-interactive!$C$7)</f>
        <v>3.0157861360866317E-4</v>
      </c>
      <c r="AG159">
        <f>VLOOKUP($A159,raw[],33,FALSE)*(1-interactive!$C$7)</f>
        <v>6.8281004853807704E-4</v>
      </c>
      <c r="AH159">
        <f>VLOOKUP($A159,raw[],34,FALSE)*(1-interactive!$C$7)</f>
        <v>9.3792852373092905E-4</v>
      </c>
      <c r="AI159">
        <f>VLOOKUP($A159,raw[],35,FALSE)*(1-interactive!$C$7)</f>
        <v>1.0021680936689752E-3</v>
      </c>
      <c r="AJ159">
        <f>VLOOKUP($A159,raw[],36,FALSE)*(1-interactive!$C$7)</f>
        <v>1.2175671181234968E-3</v>
      </c>
      <c r="AK159">
        <f>VLOOKUP($A159,raw[],37,FALSE)*(1-interactive!$C$7)</f>
        <v>1.6784164372098992E-3</v>
      </c>
      <c r="AL159">
        <f>VLOOKUP($A159,raw[],38,FALSE)*(1-interactive!$C$7)</f>
        <v>2.5003971404202355E-3</v>
      </c>
      <c r="AM159">
        <f>VLOOKUP($A159,raw[],39,FALSE)*(1-interactive!$C$7)</f>
        <v>3.9216813945665736E-3</v>
      </c>
      <c r="AN159">
        <f>VLOOKUP($A159,raw[],40,FALSE)*(1-interactive!$C$7)</f>
        <v>6.0591907414042122E-3</v>
      </c>
      <c r="AO159">
        <f>VLOOKUP($A159,raw[],41,FALSE)*(1-interactive!$C$7)</f>
        <v>9.3399514201864785E-3</v>
      </c>
      <c r="AP159">
        <f>VLOOKUP($A159,raw[],42,FALSE)*(1-interactive!$C$7)</f>
        <v>1.4609960595368227E-2</v>
      </c>
      <c r="AQ159">
        <f>VLOOKUP($A159,raw[],43,FALSE)*(1-interactive!$C$7)</f>
        <v>2.2651124723536985E-2</v>
      </c>
      <c r="AR159">
        <f>VLOOKUP($A159,raw[],44,FALSE)*(1-interactive!$C$7)</f>
        <v>3.5369441269833109E-2</v>
      </c>
      <c r="AS159">
        <f>VLOOKUP($A159,raw[],45,FALSE)*(1-interactive!$C$7)</f>
        <v>5.6473990276213075E-2</v>
      </c>
      <c r="AT159">
        <f>VLOOKUP($A159,raw[],46,FALSE)*(1-interactive!$C$7)</f>
        <v>8.4386901753798718E-2</v>
      </c>
      <c r="AU159">
        <f>VLOOKUP($A159,raw[],47,FALSE)*(1-interactive!$C$7)</f>
        <v>0.11385368890157387</v>
      </c>
      <c r="AV159">
        <f>VLOOKUP($A159,raw[],48,FALSE)*(1-interactive!$C$7)</f>
        <v>0.14248344437278479</v>
      </c>
      <c r="AW159">
        <f>VLOOKUP($A159,raw[],49,FALSE)*(1-interactive!$C$7)</f>
        <v>0.16415774141720935</v>
      </c>
      <c r="AX159">
        <f>VLOOKUP($A159,raw[],50,FALSE)*(1-interactive!$C$7)</f>
        <v>69.067849999999993</v>
      </c>
    </row>
    <row r="160" spans="1:50" x14ac:dyDescent="0.25">
      <c r="A160" t="s">
        <v>258</v>
      </c>
      <c r="B160" t="s">
        <v>259</v>
      </c>
      <c r="C160">
        <v>116</v>
      </c>
      <c r="D160" t="s">
        <v>260</v>
      </c>
      <c r="E160" t="s">
        <v>261</v>
      </c>
      <c r="F160" t="s">
        <v>262</v>
      </c>
      <c r="G160" t="s">
        <v>212</v>
      </c>
      <c r="J160">
        <f>VLOOKUP(raw_lb[[#This Row],[setting]],raw[],10,FALSE)*(1-interactive!$C$7)</f>
        <v>0.79039999999999999</v>
      </c>
      <c r="K160">
        <f>VLOOKUP(raw_lb[[#This Row],[setting]],raw[],11,FALSE)*(1-interactive!$C$7)</f>
        <v>0.8929999999999999</v>
      </c>
      <c r="L160">
        <f>VLOOKUP(raw_lb[[#This Row],[setting]],raw[],12,FALSE)*(1-interactive!$C$7)</f>
        <v>0.874</v>
      </c>
      <c r="M160">
        <v>3.56E-2</v>
      </c>
      <c r="N160">
        <v>0.18100000000000002</v>
      </c>
      <c r="O160">
        <v>0.7</v>
      </c>
      <c r="P160">
        <v>0.05</v>
      </c>
      <c r="Q160">
        <v>0.71706611909650908</v>
      </c>
      <c r="R160">
        <v>7.7779661190965097</v>
      </c>
      <c r="S160">
        <v>37.985626266980347</v>
      </c>
      <c r="T160">
        <v>38.499668854098417</v>
      </c>
      <c r="U160">
        <v>38.263631363569878</v>
      </c>
      <c r="V160">
        <v>1.5692850559696687</v>
      </c>
      <c r="W160">
        <v>2.1677850559696688</v>
      </c>
      <c r="X160">
        <v>1.0976740067795436</v>
      </c>
      <c r="Y160">
        <v>1.6961740067795437</v>
      </c>
      <c r="Z160">
        <v>1.693794646773283</v>
      </c>
      <c r="AA160">
        <v>1.7153630395023722</v>
      </c>
      <c r="AB160">
        <v>2.313863039502372</v>
      </c>
      <c r="AC160">
        <f>VLOOKUP($A160,raw[],29,FALSE)*(1-interactive!$C$7)</f>
        <v>2.2584264499999975E-2</v>
      </c>
      <c r="AD160">
        <f>VLOOKUP($A160,raw[],30,FALSE)*(1-interactive!$C$7)</f>
        <v>9.2552850587254406E-4</v>
      </c>
      <c r="AE160">
        <f>VLOOKUP($A160,raw[],31,FALSE)*(1-interactive!$C$7)</f>
        <v>1.5881588210856067E-3</v>
      </c>
      <c r="AF160">
        <f>VLOOKUP($A160,raw[],32,FALSE)*(1-interactive!$C$7)</f>
        <v>1.1347042249694262E-3</v>
      </c>
      <c r="AG160">
        <f>VLOOKUP($A160,raw[],33,FALSE)*(1-interactive!$C$7)</f>
        <v>1.0538591751505708E-3</v>
      </c>
      <c r="AH160">
        <f>VLOOKUP($A160,raw[],34,FALSE)*(1-interactive!$C$7)</f>
        <v>1.2701880413590555E-3</v>
      </c>
      <c r="AI160">
        <f>VLOOKUP($A160,raw[],35,FALSE)*(1-interactive!$C$7)</f>
        <v>1.7362232376912179E-3</v>
      </c>
      <c r="AJ160">
        <f>VLOOKUP($A160,raw[],36,FALSE)*(1-interactive!$C$7)</f>
        <v>2.2818183730947145E-3</v>
      </c>
      <c r="AK160">
        <f>VLOOKUP($A160,raw[],37,FALSE)*(1-interactive!$C$7)</f>
        <v>3.0072237084055164E-3</v>
      </c>
      <c r="AL160">
        <f>VLOOKUP($A160,raw[],38,FALSE)*(1-interactive!$C$7)</f>
        <v>3.863665377620641E-3</v>
      </c>
      <c r="AM160">
        <f>VLOOKUP($A160,raw[],39,FALSE)*(1-interactive!$C$7)</f>
        <v>4.8589691576379065E-3</v>
      </c>
      <c r="AN160">
        <f>VLOOKUP($A160,raw[],40,FALSE)*(1-interactive!$C$7)</f>
        <v>6.3261434348231005E-3</v>
      </c>
      <c r="AO160">
        <f>VLOOKUP($A160,raw[],41,FALSE)*(1-interactive!$C$7)</f>
        <v>9.7492990030998671E-3</v>
      </c>
      <c r="AP160">
        <f>VLOOKUP($A160,raw[],42,FALSE)*(1-interactive!$C$7)</f>
        <v>1.7010495440021773E-2</v>
      </c>
      <c r="AQ160">
        <f>VLOOKUP($A160,raw[],43,FALSE)*(1-interactive!$C$7)</f>
        <v>2.6535459546630794E-2</v>
      </c>
      <c r="AR160">
        <f>VLOOKUP($A160,raw[],44,FALSE)*(1-interactive!$C$7)</f>
        <v>4.2173260355046815E-2</v>
      </c>
      <c r="AS160">
        <f>VLOOKUP($A160,raw[],45,FALSE)*(1-interactive!$C$7)</f>
        <v>6.4350845901298775E-2</v>
      </c>
      <c r="AT160">
        <f>VLOOKUP($A160,raw[],46,FALSE)*(1-interactive!$C$7)</f>
        <v>9.1079441814630568E-2</v>
      </c>
      <c r="AU160">
        <f>VLOOKUP($A160,raw[],47,FALSE)*(1-interactive!$C$7)</f>
        <v>0.11933552847926461</v>
      </c>
      <c r="AV160">
        <f>VLOOKUP($A160,raw[],48,FALSE)*(1-interactive!$C$7)</f>
        <v>0.14527734807002129</v>
      </c>
      <c r="AW160">
        <f>VLOOKUP($A160,raw[],49,FALSE)*(1-interactive!$C$7)</f>
        <v>0.16885194869267275</v>
      </c>
      <c r="AX160">
        <f>VLOOKUP($A160,raw[],50,FALSE)*(1-interactive!$C$7)</f>
        <v>65.963250000000002</v>
      </c>
    </row>
    <row r="161" spans="1:50" x14ac:dyDescent="0.25">
      <c r="A161" t="s">
        <v>263</v>
      </c>
      <c r="B161" t="s">
        <v>264</v>
      </c>
      <c r="C161">
        <v>120</v>
      </c>
      <c r="D161" t="s">
        <v>207</v>
      </c>
      <c r="E161" t="s">
        <v>235</v>
      </c>
      <c r="F161" t="s">
        <v>211</v>
      </c>
      <c r="G161" t="s">
        <v>212</v>
      </c>
      <c r="J161">
        <f>VLOOKUP(raw_lb[[#This Row],[setting]],raw[],10,FALSE)*(1-interactive!$C$7)</f>
        <v>0.63649999999999995</v>
      </c>
      <c r="K161">
        <f>VLOOKUP(raw_lb[[#This Row],[setting]],raw[],11,FALSE)*(1-interactive!$C$7)</f>
        <v>0</v>
      </c>
      <c r="L161">
        <f>VLOOKUP(raw_lb[[#This Row],[setting]],raw[],12,FALSE)*(1-interactive!$C$7)</f>
        <v>0.65549999999999997</v>
      </c>
      <c r="M161">
        <v>6.0100000000000001E-2</v>
      </c>
      <c r="N161">
        <v>0.155</v>
      </c>
      <c r="O161">
        <v>7.0000000000000007E-2</v>
      </c>
      <c r="P161">
        <v>1E-3</v>
      </c>
      <c r="Q161">
        <v>0.84144556574923501</v>
      </c>
      <c r="R161">
        <v>7.9023455657492363</v>
      </c>
      <c r="S161">
        <v>38.440388113928698</v>
      </c>
      <c r="T161">
        <v>39.126383193156634</v>
      </c>
      <c r="U161">
        <v>38.811388752863898</v>
      </c>
      <c r="V161">
        <v>1.0243333533586754</v>
      </c>
      <c r="W161">
        <v>5.6128333533586749</v>
      </c>
      <c r="X161">
        <v>0.55220088759660646</v>
      </c>
      <c r="Y161">
        <v>5.1407008875966067</v>
      </c>
      <c r="Z161">
        <v>5.1375645374413477</v>
      </c>
      <c r="AA161">
        <v>1.1720202794562342</v>
      </c>
      <c r="AB161">
        <v>5.7605202794562338</v>
      </c>
      <c r="AC161">
        <f>VLOOKUP($A161,raw[],29,FALSE)*(1-interactive!$C$7)</f>
        <v>5.8134689500000052E-2</v>
      </c>
      <c r="AD161">
        <f>VLOOKUP($A161,raw[],30,FALSE)*(1-interactive!$C$7)</f>
        <v>6.8567445630569818E-3</v>
      </c>
      <c r="AE161">
        <f>VLOOKUP($A161,raw[],31,FALSE)*(1-interactive!$C$7)</f>
        <v>2.4961807687557368E-3</v>
      </c>
      <c r="AF161">
        <f>VLOOKUP($A161,raw[],32,FALSE)*(1-interactive!$C$7)</f>
        <v>1.7028439997797051E-3</v>
      </c>
      <c r="AG161">
        <f>VLOOKUP($A161,raw[],33,FALSE)*(1-interactive!$C$7)</f>
        <v>2.5411864754521811E-3</v>
      </c>
      <c r="AH161">
        <f>VLOOKUP($A161,raw[],34,FALSE)*(1-interactive!$C$7)</f>
        <v>3.6491301082612697E-3</v>
      </c>
      <c r="AI161">
        <f>VLOOKUP($A161,raw[],35,FALSE)*(1-interactive!$C$7)</f>
        <v>4.3298506967617851E-3</v>
      </c>
      <c r="AJ161">
        <f>VLOOKUP($A161,raw[],36,FALSE)*(1-interactive!$C$7)</f>
        <v>5.0887038176600265E-3</v>
      </c>
      <c r="AK161">
        <f>VLOOKUP($A161,raw[],37,FALSE)*(1-interactive!$C$7)</f>
        <v>6.1610732616617665E-3</v>
      </c>
      <c r="AL161">
        <f>VLOOKUP($A161,raw[],38,FALSE)*(1-interactive!$C$7)</f>
        <v>7.5313444898546748E-3</v>
      </c>
      <c r="AM161">
        <f>VLOOKUP($A161,raw[],39,FALSE)*(1-interactive!$C$7)</f>
        <v>9.1412855770493882E-3</v>
      </c>
      <c r="AN161">
        <f>VLOOKUP($A161,raw[],40,FALSE)*(1-interactive!$C$7)</f>
        <v>1.2334585714053275E-2</v>
      </c>
      <c r="AO161">
        <f>VLOOKUP($A161,raw[],41,FALSE)*(1-interactive!$C$7)</f>
        <v>1.6082741767519521E-2</v>
      </c>
      <c r="AP161">
        <f>VLOOKUP($A161,raw[],42,FALSE)*(1-interactive!$C$7)</f>
        <v>2.3405232132211351E-2</v>
      </c>
      <c r="AQ161">
        <f>VLOOKUP($A161,raw[],43,FALSE)*(1-interactive!$C$7)</f>
        <v>3.5029520600241171E-2</v>
      </c>
      <c r="AR161">
        <f>VLOOKUP($A161,raw[],44,FALSE)*(1-interactive!$C$7)</f>
        <v>5.2971208565649547E-2</v>
      </c>
      <c r="AS161">
        <f>VLOOKUP($A161,raw[],45,FALSE)*(1-interactive!$C$7)</f>
        <v>7.8478972028606001E-2</v>
      </c>
      <c r="AT161">
        <f>VLOOKUP($A161,raw[],46,FALSE)*(1-interactive!$C$7)</f>
        <v>0.1128472748735915</v>
      </c>
      <c r="AU161">
        <f>VLOOKUP($A161,raw[],47,FALSE)*(1-interactive!$C$7)</f>
        <v>0.14891680406145888</v>
      </c>
      <c r="AV161">
        <f>VLOOKUP($A161,raw[],48,FALSE)*(1-interactive!$C$7)</f>
        <v>0.17467684381389592</v>
      </c>
      <c r="AW161">
        <f>VLOOKUP($A161,raw[],49,FALSE)*(1-interactive!$C$7)</f>
        <v>0.18045379942982312</v>
      </c>
      <c r="AX161">
        <f>VLOOKUP($A161,raw[],50,FALSE)*(1-interactive!$C$7)</f>
        <v>55.833399999999997</v>
      </c>
    </row>
    <row r="162" spans="1:50" x14ac:dyDescent="0.25">
      <c r="A162" t="s">
        <v>265</v>
      </c>
      <c r="B162" t="s">
        <v>266</v>
      </c>
      <c r="C162">
        <v>140</v>
      </c>
      <c r="D162" t="s">
        <v>207</v>
      </c>
      <c r="E162" t="s">
        <v>210</v>
      </c>
      <c r="F162" t="s">
        <v>211</v>
      </c>
      <c r="G162" t="s">
        <v>198</v>
      </c>
      <c r="J162">
        <f>VLOOKUP(raw_lb[[#This Row],[setting]],raw[],10,FALSE)*(1-interactive!$C$7)</f>
        <v>0.49874999999999997</v>
      </c>
      <c r="K162">
        <f>VLOOKUP(raw_lb[[#This Row],[setting]],raw[],11,FALSE)*(1-interactive!$C$7)</f>
        <v>0</v>
      </c>
      <c r="L162">
        <f>VLOOKUP(raw_lb[[#This Row],[setting]],raw[],12,FALSE)*(1-interactive!$C$7)</f>
        <v>0.39899999999999997</v>
      </c>
      <c r="M162">
        <v>6.6699999999999995E-2</v>
      </c>
      <c r="N162">
        <v>0.15279999999999999</v>
      </c>
      <c r="O162">
        <v>7.0000000000000007E-2</v>
      </c>
      <c r="P162">
        <v>1E-3</v>
      </c>
      <c r="Q162">
        <v>0.65536890756302502</v>
      </c>
      <c r="R162">
        <v>7.7162689075630251</v>
      </c>
      <c r="S162">
        <v>37.434358723808742</v>
      </c>
      <c r="T162">
        <v>37.693597064354023</v>
      </c>
      <c r="U162">
        <v>37.574560297976078</v>
      </c>
      <c r="V162">
        <v>0.59598787953064203</v>
      </c>
      <c r="W162">
        <v>5.1844878795306419</v>
      </c>
      <c r="X162">
        <v>0.12624343240364569</v>
      </c>
      <c r="Y162">
        <v>4.7147434324036457</v>
      </c>
      <c r="Z162">
        <v>4.7135789017927605</v>
      </c>
      <c r="AA162">
        <v>0.73630606241140573</v>
      </c>
      <c r="AB162">
        <v>5.3248060624114055</v>
      </c>
      <c r="AC162">
        <f>VLOOKUP($A162,raw[],29,FALSE)*(1-interactive!$C$7)</f>
        <v>7.782679299999995E-2</v>
      </c>
      <c r="AD162">
        <f>VLOOKUP($A162,raw[],30,FALSE)*(1-interactive!$C$7)</f>
        <v>1.0334291682443304E-2</v>
      </c>
      <c r="AE162">
        <f>VLOOKUP($A162,raw[],31,FALSE)*(1-interactive!$C$7)</f>
        <v>3.0365936574577126E-3</v>
      </c>
      <c r="AF162">
        <f>VLOOKUP($A162,raw[],32,FALSE)*(1-interactive!$C$7)</f>
        <v>2.1735466635176286E-3</v>
      </c>
      <c r="AG162">
        <f>VLOOKUP($A162,raw[],33,FALSE)*(1-interactive!$C$7)</f>
        <v>3.1299333396651238E-3</v>
      </c>
      <c r="AH162">
        <f>VLOOKUP($A162,raw[],34,FALSE)*(1-interactive!$C$7)</f>
        <v>4.7682644260981233E-3</v>
      </c>
      <c r="AI162">
        <f>VLOOKUP($A162,raw[],35,FALSE)*(1-interactive!$C$7)</f>
        <v>6.5010903924326109E-3</v>
      </c>
      <c r="AJ162">
        <f>VLOOKUP($A162,raw[],36,FALSE)*(1-interactive!$C$7)</f>
        <v>8.2401130841282446E-3</v>
      </c>
      <c r="AK162">
        <f>VLOOKUP($A162,raw[],37,FALSE)*(1-interactive!$C$7)</f>
        <v>1.0509819159104317E-2</v>
      </c>
      <c r="AL162">
        <f>VLOOKUP($A162,raw[],38,FALSE)*(1-interactive!$C$7)</f>
        <v>1.2290208503106139E-2</v>
      </c>
      <c r="AM162">
        <f>VLOOKUP($A162,raw[],39,FALSE)*(1-interactive!$C$7)</f>
        <v>1.4234394814264731E-2</v>
      </c>
      <c r="AN162">
        <f>VLOOKUP($A162,raw[],40,FALSE)*(1-interactive!$C$7)</f>
        <v>1.7379047281289126E-2</v>
      </c>
      <c r="AO162">
        <f>VLOOKUP($A162,raw[],41,FALSE)*(1-interactive!$C$7)</f>
        <v>2.1183760146336206E-2</v>
      </c>
      <c r="AP162">
        <f>VLOOKUP($A162,raw[],42,FALSE)*(1-interactive!$C$7)</f>
        <v>2.8297186330264606E-2</v>
      </c>
      <c r="AQ162">
        <f>VLOOKUP($A162,raw[],43,FALSE)*(1-interactive!$C$7)</f>
        <v>3.9442769157412044E-2</v>
      </c>
      <c r="AR162">
        <f>VLOOKUP($A162,raw[],44,FALSE)*(1-interactive!$C$7)</f>
        <v>5.6465411683298744E-2</v>
      </c>
      <c r="AS162">
        <f>VLOOKUP($A162,raw[],45,FALSE)*(1-interactive!$C$7)</f>
        <v>7.9879078516143301E-2</v>
      </c>
      <c r="AT162">
        <f>VLOOKUP($A162,raw[],46,FALSE)*(1-interactive!$C$7)</f>
        <v>0.11211322135547955</v>
      </c>
      <c r="AU162">
        <f>VLOOKUP($A162,raw[],47,FALSE)*(1-interactive!$C$7)</f>
        <v>0.14618258590800071</v>
      </c>
      <c r="AV162">
        <f>VLOOKUP($A162,raw[],48,FALSE)*(1-interactive!$C$7)</f>
        <v>0.17050667664699753</v>
      </c>
      <c r="AW162">
        <f>VLOOKUP($A162,raw[],49,FALSE)*(1-interactive!$C$7)</f>
        <v>0.17834655196363908</v>
      </c>
      <c r="AX162">
        <f>VLOOKUP($A162,raw[],50,FALSE)*(1-interactive!$C$7)</f>
        <v>50.034599999999998</v>
      </c>
    </row>
    <row r="163" spans="1:50" x14ac:dyDescent="0.25">
      <c r="A163" t="s">
        <v>267</v>
      </c>
      <c r="B163" t="s">
        <v>268</v>
      </c>
      <c r="C163">
        <v>148</v>
      </c>
      <c r="D163" t="s">
        <v>207</v>
      </c>
      <c r="E163" t="s">
        <v>235</v>
      </c>
      <c r="F163" t="s">
        <v>211</v>
      </c>
      <c r="G163" t="s">
        <v>198</v>
      </c>
      <c r="J163">
        <f>VLOOKUP(raw_lb[[#This Row],[setting]],raw[],10,FALSE)*(1-interactive!$C$7)</f>
        <v>0.20615</v>
      </c>
      <c r="K163">
        <f>VLOOKUP(raw_lb[[#This Row],[setting]],raw[],11,FALSE)*(1-interactive!$C$7)</f>
        <v>0</v>
      </c>
      <c r="L163">
        <f>VLOOKUP(raw_lb[[#This Row],[setting]],raw[],12,FALSE)*(1-interactive!$C$7)</f>
        <v>0.49399999999999999</v>
      </c>
      <c r="M163">
        <v>0.16839999999999999</v>
      </c>
      <c r="N163">
        <v>0.155</v>
      </c>
      <c r="O163">
        <v>7.0000000000000007E-2</v>
      </c>
      <c r="P163">
        <v>1E-3</v>
      </c>
      <c r="Q163">
        <v>0.73673865546218509</v>
      </c>
      <c r="R163">
        <v>7.797638655462185</v>
      </c>
      <c r="S163">
        <v>37.919931256888596</v>
      </c>
      <c r="T163">
        <v>38.38954301976927</v>
      </c>
      <c r="U163">
        <v>38.173907224582564</v>
      </c>
      <c r="V163">
        <v>0.55611636608018133</v>
      </c>
      <c r="W163">
        <v>5.1446163660801814</v>
      </c>
      <c r="X163">
        <v>8.5815012726904019E-2</v>
      </c>
      <c r="Y163">
        <v>4.674315012726904</v>
      </c>
      <c r="Z163">
        <v>4.6728301752827299</v>
      </c>
      <c r="AA163">
        <v>0.69815300245918277</v>
      </c>
      <c r="AB163">
        <v>5.2866530024591825</v>
      </c>
      <c r="AC163">
        <f>VLOOKUP($A163,raw[],29,FALSE)*(1-interactive!$C$7)</f>
        <v>7.0798389000000003E-2</v>
      </c>
      <c r="AD163">
        <f>VLOOKUP($A163,raw[],30,FALSE)*(1-interactive!$C$7)</f>
        <v>1.2428973799389452E-2</v>
      </c>
      <c r="AE163">
        <f>VLOOKUP($A163,raw[],31,FALSE)*(1-interactive!$C$7)</f>
        <v>4.9140477640478419E-3</v>
      </c>
      <c r="AF163">
        <f>VLOOKUP($A163,raw[],32,FALSE)*(1-interactive!$C$7)</f>
        <v>3.187978925969821E-3</v>
      </c>
      <c r="AG163">
        <f>VLOOKUP($A163,raw[],33,FALSE)*(1-interactive!$C$7)</f>
        <v>3.6663730879068252E-3</v>
      </c>
      <c r="AH163">
        <f>VLOOKUP($A163,raw[],34,FALSE)*(1-interactive!$C$7)</f>
        <v>4.8437924283801911E-3</v>
      </c>
      <c r="AI163">
        <f>VLOOKUP($A163,raw[],35,FALSE)*(1-interactive!$C$7)</f>
        <v>6.360729221149595E-3</v>
      </c>
      <c r="AJ163">
        <f>VLOOKUP($A163,raw[],36,FALSE)*(1-interactive!$C$7)</f>
        <v>8.0484805638482079E-3</v>
      </c>
      <c r="AK163">
        <f>VLOOKUP($A163,raw[],37,FALSE)*(1-interactive!$C$7)</f>
        <v>9.8913296600556515E-3</v>
      </c>
      <c r="AL163">
        <f>VLOOKUP($A163,raw[],38,FALSE)*(1-interactive!$C$7)</f>
        <v>1.0526143776467265E-2</v>
      </c>
      <c r="AM163">
        <f>VLOOKUP($A163,raw[],39,FALSE)*(1-interactive!$C$7)</f>
        <v>1.0981358656635241E-2</v>
      </c>
      <c r="AN163">
        <f>VLOOKUP($A163,raw[],40,FALSE)*(1-interactive!$C$7)</f>
        <v>1.2278298968967736E-2</v>
      </c>
      <c r="AO163">
        <f>VLOOKUP($A163,raw[],41,FALSE)*(1-interactive!$C$7)</f>
        <v>1.5531681254449883E-2</v>
      </c>
      <c r="AP163">
        <f>VLOOKUP($A163,raw[],42,FALSE)*(1-interactive!$C$7)</f>
        <v>2.2235440929184669E-2</v>
      </c>
      <c r="AQ163">
        <f>VLOOKUP($A163,raw[],43,FALSE)*(1-interactive!$C$7)</f>
        <v>3.2947151127633738E-2</v>
      </c>
      <c r="AR163">
        <f>VLOOKUP($A163,raw[],44,FALSE)*(1-interactive!$C$7)</f>
        <v>4.9511916209015773E-2</v>
      </c>
      <c r="AS163">
        <f>VLOOKUP($A163,raw[],45,FALSE)*(1-interactive!$C$7)</f>
        <v>7.1939499347785582E-2</v>
      </c>
      <c r="AT163">
        <f>VLOOKUP($A163,raw[],46,FALSE)*(1-interactive!$C$7)</f>
        <v>0.10060626541573015</v>
      </c>
      <c r="AU163">
        <f>VLOOKUP($A163,raw[],47,FALSE)*(1-interactive!$C$7)</f>
        <v>0.13011385387199886</v>
      </c>
      <c r="AV163">
        <f>VLOOKUP($A163,raw[],48,FALSE)*(1-interactive!$C$7)</f>
        <v>0.15408274809008637</v>
      </c>
      <c r="AW163">
        <f>VLOOKUP($A163,raw[],49,FALSE)*(1-interactive!$C$7)</f>
        <v>0.16978698347619295</v>
      </c>
      <c r="AX163">
        <f>VLOOKUP($A163,raw[],50,FALSE)*(1-interactive!$C$7)</f>
        <v>51.109049999999996</v>
      </c>
    </row>
    <row r="164" spans="1:50" x14ac:dyDescent="0.25">
      <c r="A164" t="s">
        <v>269</v>
      </c>
      <c r="B164" t="s">
        <v>270</v>
      </c>
      <c r="C164">
        <v>156</v>
      </c>
      <c r="D164" t="s">
        <v>260</v>
      </c>
      <c r="E164" t="s">
        <v>271</v>
      </c>
      <c r="F164" t="s">
        <v>262</v>
      </c>
      <c r="G164" t="s">
        <v>204</v>
      </c>
      <c r="J164">
        <f>VLOOKUP(raw_lb[[#This Row],[setting]],raw[],10,FALSE)*(1-interactive!$C$7)</f>
        <v>0.94904999999999995</v>
      </c>
      <c r="K164">
        <f>VLOOKUP(raw_lb[[#This Row],[setting]],raw[],11,FALSE)*(1-interactive!$C$7)</f>
        <v>0.90249999999999997</v>
      </c>
      <c r="L164">
        <f>VLOOKUP(raw_lb[[#This Row],[setting]],raw[],12,FALSE)*(1-interactive!$C$7)</f>
        <v>0.9405</v>
      </c>
      <c r="M164">
        <v>5.5099999999999996E-2</v>
      </c>
      <c r="N164">
        <v>0.18350000000000002</v>
      </c>
      <c r="O164">
        <v>0.7</v>
      </c>
      <c r="P164">
        <v>0.05</v>
      </c>
      <c r="Q164">
        <v>1.59176115897557</v>
      </c>
      <c r="R164">
        <v>8.6526611589755706</v>
      </c>
      <c r="S164">
        <v>44.850925946671587</v>
      </c>
      <c r="T164">
        <v>48.482868870305694</v>
      </c>
      <c r="U164">
        <v>46.815157449266252</v>
      </c>
      <c r="V164">
        <v>1.0678062989047363</v>
      </c>
      <c r="W164">
        <v>1.6663062989047361</v>
      </c>
      <c r="X164">
        <v>0.58626050262370111</v>
      </c>
      <c r="Y164">
        <v>1.1847605026237011</v>
      </c>
      <c r="Z164">
        <v>1.1757969812837414</v>
      </c>
      <c r="AA164">
        <v>1.2445400734608194</v>
      </c>
      <c r="AB164">
        <v>1.8430400734608194</v>
      </c>
      <c r="AC164">
        <f>VLOOKUP($A164,raw[],29,FALSE)*(1-interactive!$C$7)</f>
        <v>9.3994615000000115E-3</v>
      </c>
      <c r="AD164">
        <f>VLOOKUP($A164,raw[],30,FALSE)*(1-interactive!$C$7)</f>
        <v>3.9281659416144188E-4</v>
      </c>
      <c r="AE164">
        <f>VLOOKUP($A164,raw[],31,FALSE)*(1-interactive!$C$7)</f>
        <v>2.963287955142556E-4</v>
      </c>
      <c r="AF164">
        <f>VLOOKUP($A164,raw[],32,FALSE)*(1-interactive!$C$7)</f>
        <v>2.2117876062090083E-4</v>
      </c>
      <c r="AG164">
        <f>VLOOKUP($A164,raw[],33,FALSE)*(1-interactive!$C$7)</f>
        <v>3.214653737707117E-4</v>
      </c>
      <c r="AH164">
        <f>VLOOKUP($A164,raw[],34,FALSE)*(1-interactive!$C$7)</f>
        <v>4.5137532156597671E-4</v>
      </c>
      <c r="AI164">
        <f>VLOOKUP($A164,raw[],35,FALSE)*(1-interactive!$C$7)</f>
        <v>6.0381589231406298E-4</v>
      </c>
      <c r="AJ164">
        <f>VLOOKUP($A164,raw[],36,FALSE)*(1-interactive!$C$7)</f>
        <v>7.6363291956651742E-4</v>
      </c>
      <c r="AK164">
        <f>VLOOKUP($A164,raw[],37,FALSE)*(1-interactive!$C$7)</f>
        <v>9.6736558532992058E-4</v>
      </c>
      <c r="AL164">
        <f>VLOOKUP($A164,raw[],38,FALSE)*(1-interactive!$C$7)</f>
        <v>1.3695297071101148E-3</v>
      </c>
      <c r="AM164">
        <f>VLOOKUP($A164,raw[],39,FALSE)*(1-interactive!$C$7)</f>
        <v>2.0115177746647191E-3</v>
      </c>
      <c r="AN164">
        <f>VLOOKUP($A164,raw[],40,FALSE)*(1-interactive!$C$7)</f>
        <v>3.3369398107084931E-3</v>
      </c>
      <c r="AO164">
        <f>VLOOKUP($A164,raw[],41,FALSE)*(1-interactive!$C$7)</f>
        <v>5.5889783075949032E-3</v>
      </c>
      <c r="AP164">
        <f>VLOOKUP($A164,raw[],42,FALSE)*(1-interactive!$C$7)</f>
        <v>1.0407860711278792E-2</v>
      </c>
      <c r="AQ164">
        <f>VLOOKUP($A164,raw[],43,FALSE)*(1-interactive!$C$7)</f>
        <v>1.8467018727160337E-2</v>
      </c>
      <c r="AR164">
        <f>VLOOKUP($A164,raw[],44,FALSE)*(1-interactive!$C$7)</f>
        <v>3.2544025929692168E-2</v>
      </c>
      <c r="AS164">
        <f>VLOOKUP($A164,raw[],45,FALSE)*(1-interactive!$C$7)</f>
        <v>5.1710371630160318E-2</v>
      </c>
      <c r="AT164">
        <f>VLOOKUP($A164,raw[],46,FALSE)*(1-interactive!$C$7)</f>
        <v>7.3546197547558312E-2</v>
      </c>
      <c r="AU164">
        <f>VLOOKUP($A164,raw[],47,FALSE)*(1-interactive!$C$7)</f>
        <v>0.1018240690255698</v>
      </c>
      <c r="AV164">
        <f>VLOOKUP($A164,raw[],48,FALSE)*(1-interactive!$C$7)</f>
        <v>0.12660324325641278</v>
      </c>
      <c r="AW164">
        <f>VLOOKUP($A164,raw[],49,FALSE)*(1-interactive!$C$7)</f>
        <v>0.14692695333826819</v>
      </c>
      <c r="AX164">
        <f>VLOOKUP($A164,raw[],50,FALSE)*(1-interactive!$C$7)</f>
        <v>72.791849999999997</v>
      </c>
    </row>
    <row r="165" spans="1:50" x14ac:dyDescent="0.25">
      <c r="A165" t="s">
        <v>272</v>
      </c>
      <c r="B165" t="s">
        <v>273</v>
      </c>
      <c r="C165">
        <v>170</v>
      </c>
      <c r="D165" t="s">
        <v>215</v>
      </c>
      <c r="E165" t="s">
        <v>274</v>
      </c>
      <c r="F165" t="s">
        <v>217</v>
      </c>
      <c r="G165" t="s">
        <v>204</v>
      </c>
      <c r="J165">
        <f>VLOOKUP(raw_lb[[#This Row],[setting]],raw[],10,FALSE)*(1-interactive!$C$7)</f>
        <v>0.9423999999999999</v>
      </c>
      <c r="K165">
        <f>VLOOKUP(raw_lb[[#This Row],[setting]],raw[],11,FALSE)*(1-interactive!$C$7)</f>
        <v>0.83599999999999997</v>
      </c>
      <c r="L165">
        <f>VLOOKUP(raw_lb[[#This Row],[setting]],raw[],12,FALSE)*(1-interactive!$C$7)</f>
        <v>0.83599999999999997</v>
      </c>
      <c r="M165">
        <v>1.01E-2</v>
      </c>
      <c r="N165">
        <v>0.16440000000000002</v>
      </c>
      <c r="O165">
        <v>0.7</v>
      </c>
      <c r="P165">
        <v>0.05</v>
      </c>
      <c r="Q165">
        <v>3.52539096070256</v>
      </c>
      <c r="R165">
        <v>10.586290960702561</v>
      </c>
      <c r="S165">
        <v>50.828822586845789</v>
      </c>
      <c r="T165">
        <v>56.565665048124991</v>
      </c>
      <c r="U165">
        <v>53.931428251307096</v>
      </c>
      <c r="V165">
        <v>1.6294791959888455</v>
      </c>
      <c r="W165">
        <v>1.6484791959888454</v>
      </c>
      <c r="X165">
        <v>1.1543005597320006</v>
      </c>
      <c r="Y165">
        <v>1.1733005597320005</v>
      </c>
      <c r="Z165">
        <v>1.1683170207214821</v>
      </c>
      <c r="AA165">
        <v>1.7865657338988559</v>
      </c>
      <c r="AB165">
        <v>1.8055657338988558</v>
      </c>
      <c r="AC165">
        <f>VLOOKUP($A165,raw[],29,FALSE)*(1-interactive!$C$7)</f>
        <v>1.2005482500000005E-2</v>
      </c>
      <c r="AD165">
        <f>VLOOKUP($A165,raw[],30,FALSE)*(1-interactive!$C$7)</f>
        <v>5.1171952878711208E-4</v>
      </c>
      <c r="AE165">
        <f>VLOOKUP($A165,raw[],31,FALSE)*(1-interactive!$C$7)</f>
        <v>3.8046658642255888E-4</v>
      </c>
      <c r="AF165">
        <f>VLOOKUP($A165,raw[],32,FALSE)*(1-interactive!$C$7)</f>
        <v>3.5007868398258263E-4</v>
      </c>
      <c r="AG165">
        <f>VLOOKUP($A165,raw[],33,FALSE)*(1-interactive!$C$7)</f>
        <v>8.8872003453665117E-4</v>
      </c>
      <c r="AH165">
        <f>VLOOKUP($A165,raw[],34,FALSE)*(1-interactive!$C$7)</f>
        <v>1.7094534703995738E-3</v>
      </c>
      <c r="AI165">
        <f>VLOOKUP($A165,raw[],35,FALSE)*(1-interactive!$C$7)</f>
        <v>1.7710213339090957E-3</v>
      </c>
      <c r="AJ165">
        <f>VLOOKUP($A165,raw[],36,FALSE)*(1-interactive!$C$7)</f>
        <v>1.7342951028567969E-3</v>
      </c>
      <c r="AK165">
        <f>VLOOKUP($A165,raw[],37,FALSE)*(1-interactive!$C$7)</f>
        <v>1.889108464338052E-3</v>
      </c>
      <c r="AL165">
        <f>VLOOKUP($A165,raw[],38,FALSE)*(1-interactive!$C$7)</f>
        <v>2.1401725272512549E-3</v>
      </c>
      <c r="AM165">
        <f>VLOOKUP($A165,raw[],39,FALSE)*(1-interactive!$C$7)</f>
        <v>2.7039515569651077E-3</v>
      </c>
      <c r="AN165">
        <f>VLOOKUP($A165,raw[],40,FALSE)*(1-interactive!$C$7)</f>
        <v>4.1573164090282352E-3</v>
      </c>
      <c r="AO165">
        <f>VLOOKUP($A165,raw[],41,FALSE)*(1-interactive!$C$7)</f>
        <v>6.2057267595634997E-3</v>
      </c>
      <c r="AP165">
        <f>VLOOKUP($A165,raw[],42,FALSE)*(1-interactive!$C$7)</f>
        <v>9.5876526724842249E-3</v>
      </c>
      <c r="AQ165">
        <f>VLOOKUP($A165,raw[],43,FALSE)*(1-interactive!$C$7)</f>
        <v>1.4817057876972827E-2</v>
      </c>
      <c r="AR165">
        <f>VLOOKUP($A165,raw[],44,FALSE)*(1-interactive!$C$7)</f>
        <v>2.2646613246656615E-2</v>
      </c>
      <c r="AS165">
        <f>VLOOKUP($A165,raw[],45,FALSE)*(1-interactive!$C$7)</f>
        <v>3.4028266088053753E-2</v>
      </c>
      <c r="AT165">
        <f>VLOOKUP($A165,raw[],46,FALSE)*(1-interactive!$C$7)</f>
        <v>5.3238560193241996E-2</v>
      </c>
      <c r="AU165">
        <f>VLOOKUP($A165,raw[],47,FALSE)*(1-interactive!$C$7)</f>
        <v>8.3218965191032446E-2</v>
      </c>
      <c r="AV165">
        <f>VLOOKUP($A165,raw[],48,FALSE)*(1-interactive!$C$7)</f>
        <v>9.8766006968099784E-2</v>
      </c>
      <c r="AW165">
        <f>VLOOKUP($A165,raw[],49,FALSE)*(1-interactive!$C$7)</f>
        <v>0.1449092027204569</v>
      </c>
      <c r="AX165">
        <f>VLOOKUP($A165,raw[],50,FALSE)*(1-interactive!$C$7)</f>
        <v>73.16995</v>
      </c>
    </row>
    <row r="166" spans="1:50" x14ac:dyDescent="0.25">
      <c r="A166" t="s">
        <v>275</v>
      </c>
      <c r="B166" t="s">
        <v>276</v>
      </c>
      <c r="C166">
        <v>174</v>
      </c>
      <c r="D166" t="s">
        <v>207</v>
      </c>
      <c r="E166" t="s">
        <v>255</v>
      </c>
      <c r="F166" t="s">
        <v>211</v>
      </c>
      <c r="G166" t="s">
        <v>212</v>
      </c>
      <c r="J166">
        <f>VLOOKUP(raw_lb[[#This Row],[setting]],raw[],10,FALSE)*(1-interactive!$C$7)</f>
        <v>0.72294999999999987</v>
      </c>
      <c r="K166">
        <f>VLOOKUP(raw_lb[[#This Row],[setting]],raw[],11,FALSE)*(1-interactive!$C$7)</f>
        <v>0</v>
      </c>
      <c r="L166">
        <f>VLOOKUP(raw_lb[[#This Row],[setting]],raw[],12,FALSE)*(1-interactive!$C$7)</f>
        <v>0.82650000000000001</v>
      </c>
      <c r="M166">
        <v>6.7000000000000002E-3</v>
      </c>
      <c r="N166">
        <v>0.15560000000000002</v>
      </c>
      <c r="O166">
        <v>7.0000000000000007E-2</v>
      </c>
      <c r="P166">
        <v>1E-3</v>
      </c>
      <c r="Q166">
        <v>0.73525839493136202</v>
      </c>
      <c r="R166">
        <v>7.7961583949313624</v>
      </c>
      <c r="S166">
        <v>37.783619261527143</v>
      </c>
      <c r="T166">
        <v>38.183055818952319</v>
      </c>
      <c r="U166">
        <v>37.999642994795906</v>
      </c>
      <c r="V166">
        <v>2.5271715538384663</v>
      </c>
      <c r="W166">
        <v>7.1156715538384656</v>
      </c>
      <c r="X166">
        <v>2.0557958290553069</v>
      </c>
      <c r="Y166">
        <v>6.6442958290553067</v>
      </c>
      <c r="Z166">
        <v>6.6420248550879109</v>
      </c>
      <c r="AA166">
        <v>2.6725233934868173</v>
      </c>
      <c r="AB166">
        <v>7.2610233934868171</v>
      </c>
      <c r="AC166">
        <f>VLOOKUP($A166,raw[],29,FALSE)*(1-interactive!$C$7)</f>
        <v>5.0461701000000019E-2</v>
      </c>
      <c r="AD166">
        <f>VLOOKUP($A166,raw[],30,FALSE)*(1-interactive!$C$7)</f>
        <v>4.2496584475610064E-3</v>
      </c>
      <c r="AE166">
        <f>VLOOKUP($A166,raw[],31,FALSE)*(1-interactive!$C$7)</f>
        <v>1.2995700355024114E-3</v>
      </c>
      <c r="AF166">
        <f>VLOOKUP($A166,raw[],32,FALSE)*(1-interactive!$C$7)</f>
        <v>1.0195082081398083E-3</v>
      </c>
      <c r="AG166">
        <f>VLOOKUP($A166,raw[],33,FALSE)*(1-interactive!$C$7)</f>
        <v>1.6355224486175751E-3</v>
      </c>
      <c r="AH166">
        <f>VLOOKUP($A166,raw[],34,FALSE)*(1-interactive!$C$7)</f>
        <v>2.2775282523972008E-3</v>
      </c>
      <c r="AI166">
        <f>VLOOKUP($A166,raw[],35,FALSE)*(1-interactive!$C$7)</f>
        <v>2.483280653043709E-3</v>
      </c>
      <c r="AJ166">
        <f>VLOOKUP($A166,raw[],36,FALSE)*(1-interactive!$C$7)</f>
        <v>2.844189141233498E-3</v>
      </c>
      <c r="AK166">
        <f>VLOOKUP($A166,raw[],37,FALSE)*(1-interactive!$C$7)</f>
        <v>3.513126336674948E-3</v>
      </c>
      <c r="AL166">
        <f>VLOOKUP($A166,raw[],38,FALSE)*(1-interactive!$C$7)</f>
        <v>4.6166201925469143E-3</v>
      </c>
      <c r="AM166">
        <f>VLOOKUP($A166,raw[],39,FALSE)*(1-interactive!$C$7)</f>
        <v>6.4263002013538306E-3</v>
      </c>
      <c r="AN166">
        <f>VLOOKUP($A166,raw[],40,FALSE)*(1-interactive!$C$7)</f>
        <v>9.3201854999544528E-3</v>
      </c>
      <c r="AO166">
        <f>VLOOKUP($A166,raw[],41,FALSE)*(1-interactive!$C$7)</f>
        <v>1.3684400155686843E-2</v>
      </c>
      <c r="AP166">
        <f>VLOOKUP($A166,raw[],42,FALSE)*(1-interactive!$C$7)</f>
        <v>2.0598433991632272E-2</v>
      </c>
      <c r="AQ166">
        <f>VLOOKUP($A166,raw[],43,FALSE)*(1-interactive!$C$7)</f>
        <v>3.1082688893418427E-2</v>
      </c>
      <c r="AR166">
        <f>VLOOKUP($A166,raw[],44,FALSE)*(1-interactive!$C$7)</f>
        <v>4.7292943063005764E-2</v>
      </c>
      <c r="AS166">
        <f>VLOOKUP($A166,raw[],45,FALSE)*(1-interactive!$C$7)</f>
        <v>7.0166438000714246E-2</v>
      </c>
      <c r="AT166">
        <f>VLOOKUP($A166,raw[],46,FALSE)*(1-interactive!$C$7)</f>
        <v>9.9604681307013498E-2</v>
      </c>
      <c r="AU166">
        <f>VLOOKUP($A166,raw[],47,FALSE)*(1-interactive!$C$7)</f>
        <v>0.1302687430753518</v>
      </c>
      <c r="AV166">
        <f>VLOOKUP($A166,raw[],48,FALSE)*(1-interactive!$C$7)</f>
        <v>0.15495278763566037</v>
      </c>
      <c r="AW166">
        <f>VLOOKUP($A166,raw[],49,FALSE)*(1-interactive!$C$7)</f>
        <v>0.17070931668297665</v>
      </c>
      <c r="AX166">
        <f>VLOOKUP($A166,raw[],50,FALSE)*(1-interactive!$C$7)</f>
        <v>60.783849999999994</v>
      </c>
    </row>
    <row r="167" spans="1:50" x14ac:dyDescent="0.25">
      <c r="A167" t="s">
        <v>277</v>
      </c>
      <c r="B167" t="s">
        <v>278</v>
      </c>
      <c r="C167">
        <v>180</v>
      </c>
      <c r="D167" t="s">
        <v>207</v>
      </c>
      <c r="E167" t="s">
        <v>210</v>
      </c>
      <c r="F167" t="s">
        <v>211</v>
      </c>
      <c r="G167" t="s">
        <v>198</v>
      </c>
      <c r="J167">
        <f>VLOOKUP(raw_lb[[#This Row],[setting]],raw[],10,FALSE)*(1-interactive!$C$7)</f>
        <v>0.77424999999999988</v>
      </c>
      <c r="K167">
        <f>VLOOKUP(raw_lb[[#This Row],[setting]],raw[],11,FALSE)*(1-interactive!$C$7)</f>
        <v>0</v>
      </c>
      <c r="L167">
        <f>VLOOKUP(raw_lb[[#This Row],[setting]],raw[],12,FALSE)*(1-interactive!$C$7)</f>
        <v>0.54149999999999998</v>
      </c>
      <c r="M167">
        <v>8.5699999999999998E-2</v>
      </c>
      <c r="N167">
        <v>0.15279999999999999</v>
      </c>
      <c r="O167">
        <v>7.0000000000000007E-2</v>
      </c>
      <c r="P167">
        <v>1E-3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0.80236537414464393</v>
      </c>
      <c r="W167">
        <v>5.390865374144644</v>
      </c>
      <c r="X167">
        <v>0.33251489982364679</v>
      </c>
      <c r="Y167">
        <v>4.9210148998236463</v>
      </c>
      <c r="Z167">
        <v>4.9198449447934474</v>
      </c>
      <c r="AA167">
        <v>0.94301072665260999</v>
      </c>
      <c r="AB167">
        <v>5.53151072665261</v>
      </c>
      <c r="AC167">
        <f>VLOOKUP($A167,raw[],29,FALSE)*(1-interactive!$C$7)</f>
        <v>6.1685893999999936E-2</v>
      </c>
      <c r="AD167">
        <f>VLOOKUP($A167,raw[],30,FALSE)*(1-interactive!$C$7)</f>
        <v>9.0303861011186235E-3</v>
      </c>
      <c r="AE167">
        <f>VLOOKUP($A167,raw[],31,FALSE)*(1-interactive!$C$7)</f>
        <v>3.2690211025243792E-3</v>
      </c>
      <c r="AF167">
        <f>VLOOKUP($A167,raw[],32,FALSE)*(1-interactive!$C$7)</f>
        <v>1.9314018943364898E-3</v>
      </c>
      <c r="AG167">
        <f>VLOOKUP($A167,raw[],33,FALSE)*(1-interactive!$C$7)</f>
        <v>2.5837849680857396E-3</v>
      </c>
      <c r="AH167">
        <f>VLOOKUP($A167,raw[],34,FALSE)*(1-interactive!$C$7)</f>
        <v>3.4803801318392608E-3</v>
      </c>
      <c r="AI167">
        <f>VLOOKUP($A167,raw[],35,FALSE)*(1-interactive!$C$7)</f>
        <v>3.8125365821258896E-3</v>
      </c>
      <c r="AJ167">
        <f>VLOOKUP($A167,raw[],36,FALSE)*(1-interactive!$C$7)</f>
        <v>4.1861390237627619E-3</v>
      </c>
      <c r="AK167">
        <f>VLOOKUP($A167,raw[],37,FALSE)*(1-interactive!$C$7)</f>
        <v>4.7393921514607504E-3</v>
      </c>
      <c r="AL167">
        <f>VLOOKUP($A167,raw[],38,FALSE)*(1-interactive!$C$7)</f>
        <v>5.8093776796178612E-3</v>
      </c>
      <c r="AM167">
        <f>VLOOKUP($A167,raw[],39,FALSE)*(1-interactive!$C$7)</f>
        <v>6.9922878577889248E-3</v>
      </c>
      <c r="AN167">
        <f>VLOOKUP($A167,raw[],40,FALSE)*(1-interactive!$C$7)</f>
        <v>9.6319553593586654E-3</v>
      </c>
      <c r="AO167">
        <f>VLOOKUP($A167,raw[],41,FALSE)*(1-interactive!$C$7)</f>
        <v>1.2769024751046486E-2</v>
      </c>
      <c r="AP167">
        <f>VLOOKUP($A167,raw[],42,FALSE)*(1-interactive!$C$7)</f>
        <v>1.9033623997684865E-2</v>
      </c>
      <c r="AQ167">
        <f>VLOOKUP($A167,raw[],43,FALSE)*(1-interactive!$C$7)</f>
        <v>2.8856519201277589E-2</v>
      </c>
      <c r="AR167">
        <f>VLOOKUP($A167,raw[],44,FALSE)*(1-interactive!$C$7)</f>
        <v>4.4035019714278451E-2</v>
      </c>
      <c r="AS167">
        <f>VLOOKUP($A167,raw[],45,FALSE)*(1-interactive!$C$7)</f>
        <v>6.5471344430903522E-2</v>
      </c>
      <c r="AT167">
        <f>VLOOKUP($A167,raw[],46,FALSE)*(1-interactive!$C$7)</f>
        <v>9.3734955127636896E-2</v>
      </c>
      <c r="AU167">
        <f>VLOOKUP($A167,raw[],47,FALSE)*(1-interactive!$C$7)</f>
        <v>0.1241443797886278</v>
      </c>
      <c r="AV167">
        <f>VLOOKUP($A167,raw[],48,FALSE)*(1-interactive!$C$7)</f>
        <v>0.1499546530036289</v>
      </c>
      <c r="AW167">
        <f>VLOOKUP($A167,raw[],49,FALSE)*(1-interactive!$C$7)</f>
        <v>0.16783387968599636</v>
      </c>
      <c r="AX167">
        <f>VLOOKUP($A167,raw[],50,FALSE)*(1-interactive!$C$7)</f>
        <v>57.200449999999996</v>
      </c>
    </row>
    <row r="168" spans="1:50" x14ac:dyDescent="0.25">
      <c r="A168" t="s">
        <v>279</v>
      </c>
      <c r="B168" t="s">
        <v>280</v>
      </c>
      <c r="C168">
        <v>178</v>
      </c>
      <c r="D168" t="s">
        <v>207</v>
      </c>
      <c r="E168" t="s">
        <v>210</v>
      </c>
      <c r="F168" t="s">
        <v>211</v>
      </c>
      <c r="G168" t="s">
        <v>212</v>
      </c>
      <c r="J168">
        <f>VLOOKUP(raw_lb[[#This Row],[setting]],raw[],10,FALSE)*(1-interactive!$C$7)</f>
        <v>0.86924999999999997</v>
      </c>
      <c r="K168">
        <f>VLOOKUP(raw_lb[[#This Row],[setting]],raw[],11,FALSE)*(1-interactive!$C$7)</f>
        <v>0</v>
      </c>
      <c r="L168">
        <f>VLOOKUP(raw_lb[[#This Row],[setting]],raw[],12,FALSE)*(1-interactive!$C$7)</f>
        <v>0.69350000000000001</v>
      </c>
      <c r="M168">
        <v>7.2700000000000001E-2</v>
      </c>
      <c r="N168">
        <v>0.15279999999999999</v>
      </c>
      <c r="O168">
        <v>7.0000000000000007E-2</v>
      </c>
      <c r="P168">
        <v>1E-3</v>
      </c>
      <c r="Q168">
        <v>1.2493580042065899</v>
      </c>
      <c r="R168">
        <v>8.3102580042065899</v>
      </c>
      <c r="S168">
        <v>41.178845780573234</v>
      </c>
      <c r="T168">
        <v>43.07780819584265</v>
      </c>
      <c r="U168">
        <v>42.20584479370288</v>
      </c>
      <c r="V168">
        <v>1.2721313146698667</v>
      </c>
      <c r="W168">
        <v>5.8606313146698668</v>
      </c>
      <c r="X168">
        <v>0.79981192366201315</v>
      </c>
      <c r="Y168">
        <v>5.3883119236620125</v>
      </c>
      <c r="Z168">
        <v>5.3854807616612721</v>
      </c>
      <c r="AA168">
        <v>1.4203950386687039</v>
      </c>
      <c r="AB168">
        <v>6.0088950386687037</v>
      </c>
      <c r="AC168">
        <f>VLOOKUP($A168,raw[],29,FALSE)*(1-interactive!$C$7)</f>
        <v>3.3540709499999953E-2</v>
      </c>
      <c r="AD168">
        <f>VLOOKUP($A168,raw[],30,FALSE)*(1-interactive!$C$7)</f>
        <v>3.0131446138687151E-3</v>
      </c>
      <c r="AE168">
        <f>VLOOKUP($A168,raw[],31,FALSE)*(1-interactive!$C$7)</f>
        <v>1.2780133578805567E-3</v>
      </c>
      <c r="AF168">
        <f>VLOOKUP($A168,raw[],32,FALSE)*(1-interactive!$C$7)</f>
        <v>9.4422757922080203E-4</v>
      </c>
      <c r="AG168">
        <f>VLOOKUP($A168,raw[],33,FALSE)*(1-interactive!$C$7)</f>
        <v>1.5400414922486158E-3</v>
      </c>
      <c r="AH168">
        <f>VLOOKUP($A168,raw[],34,FALSE)*(1-interactive!$C$7)</f>
        <v>2.4317892777857356E-3</v>
      </c>
      <c r="AI168">
        <f>VLOOKUP($A168,raw[],35,FALSE)*(1-interactive!$C$7)</f>
        <v>3.2680329059545741E-3</v>
      </c>
      <c r="AJ168">
        <f>VLOOKUP($A168,raw[],36,FALSE)*(1-interactive!$C$7)</f>
        <v>4.1550294037467957E-3</v>
      </c>
      <c r="AK168">
        <f>VLOOKUP($A168,raw[],37,FALSE)*(1-interactive!$C$7)</f>
        <v>5.3925817646291166E-3</v>
      </c>
      <c r="AL168">
        <f>VLOOKUP($A168,raw[],38,FALSE)*(1-interactive!$C$7)</f>
        <v>6.6433749155469079E-3</v>
      </c>
      <c r="AM168">
        <f>VLOOKUP($A168,raw[],39,FALSE)*(1-interactive!$C$7)</f>
        <v>8.167543754324505E-3</v>
      </c>
      <c r="AN168">
        <f>VLOOKUP($A168,raw[],40,FALSE)*(1-interactive!$C$7)</f>
        <v>1.0879270261936105E-2</v>
      </c>
      <c r="AO168">
        <f>VLOOKUP($A168,raw[],41,FALSE)*(1-interactive!$C$7)</f>
        <v>1.4077463119211722E-2</v>
      </c>
      <c r="AP168">
        <f>VLOOKUP($A168,raw[],42,FALSE)*(1-interactive!$C$7)</f>
        <v>2.0237176645869531E-2</v>
      </c>
      <c r="AQ168">
        <f>VLOOKUP($A168,raw[],43,FALSE)*(1-interactive!$C$7)</f>
        <v>3.0272068325915807E-2</v>
      </c>
      <c r="AR168">
        <f>VLOOKUP($A168,raw[],44,FALSE)*(1-interactive!$C$7)</f>
        <v>4.6121614299446091E-2</v>
      </c>
      <c r="AS168">
        <f>VLOOKUP($A168,raw[],45,FALSE)*(1-interactive!$C$7)</f>
        <v>6.9698871849460775E-2</v>
      </c>
      <c r="AT168">
        <f>VLOOKUP($A168,raw[],46,FALSE)*(1-interactive!$C$7)</f>
        <v>0.10384638221937378</v>
      </c>
      <c r="AU168">
        <f>VLOOKUP($A168,raw[],47,FALSE)*(1-interactive!$C$7)</f>
        <v>0.14252044369482056</v>
      </c>
      <c r="AV168">
        <f>VLOOKUP($A168,raw[],48,FALSE)*(1-interactive!$C$7)</f>
        <v>0.17200254887311406</v>
      </c>
      <c r="AW168">
        <f>VLOOKUP($A168,raw[],49,FALSE)*(1-interactive!$C$7)</f>
        <v>0.18019895264774627</v>
      </c>
      <c r="AX168">
        <f>VLOOKUP($A168,raw[],50,FALSE)*(1-interactive!$C$7)</f>
        <v>60.949149999999996</v>
      </c>
    </row>
    <row r="169" spans="1:50" x14ac:dyDescent="0.25">
      <c r="A169" t="s">
        <v>281</v>
      </c>
      <c r="B169" t="s">
        <v>282</v>
      </c>
      <c r="C169">
        <v>188</v>
      </c>
      <c r="D169" t="s">
        <v>215</v>
      </c>
      <c r="E169" t="s">
        <v>274</v>
      </c>
      <c r="F169" t="s">
        <v>217</v>
      </c>
      <c r="G169" t="s">
        <v>204</v>
      </c>
      <c r="J169">
        <f>VLOOKUP(raw_lb[[#This Row],[setting]],raw[],10,FALSE)*(1-interactive!$C$7)</f>
        <v>0.92909999999999993</v>
      </c>
      <c r="K169">
        <f>VLOOKUP(raw_lb[[#This Row],[setting]],raw[],11,FALSE)*(1-interactive!$C$7)</f>
        <v>0.82650000000000001</v>
      </c>
      <c r="L169">
        <f>VLOOKUP(raw_lb[[#This Row],[setting]],raw[],12,FALSE)*(1-interactive!$C$7)</f>
        <v>0.93099999999999994</v>
      </c>
      <c r="M169">
        <v>2.0999999999999999E-3</v>
      </c>
      <c r="N169">
        <v>0.16440000000000002</v>
      </c>
      <c r="O169">
        <v>0.7</v>
      </c>
      <c r="P169">
        <v>0.05</v>
      </c>
      <c r="Q169">
        <v>2.5369449345279103</v>
      </c>
      <c r="R169">
        <v>9.5978449345279113</v>
      </c>
      <c r="S169">
        <v>54.764236576081657</v>
      </c>
      <c r="T169">
        <v>63.063776080824518</v>
      </c>
      <c r="U169">
        <v>59.252802970162797</v>
      </c>
      <c r="V169">
        <v>3.0625217223994969</v>
      </c>
      <c r="W169">
        <v>3.0815217223994971</v>
      </c>
      <c r="X169">
        <v>2.5786463987970896</v>
      </c>
      <c r="Y169">
        <v>2.5976463987970897</v>
      </c>
      <c r="Z169">
        <v>2.5870663259266573</v>
      </c>
      <c r="AA169">
        <v>3.2464437526900993</v>
      </c>
      <c r="AB169">
        <v>3.2654437526900995</v>
      </c>
      <c r="AC169">
        <f>VLOOKUP($A169,raw[],29,FALSE)*(1-interactive!$C$7)</f>
        <v>6.9522234999999481E-3</v>
      </c>
      <c r="AD169">
        <f>VLOOKUP($A169,raw[],30,FALSE)*(1-interactive!$C$7)</f>
        <v>4.3835304960291877E-4</v>
      </c>
      <c r="AE169">
        <f>VLOOKUP($A169,raw[],31,FALSE)*(1-interactive!$C$7)</f>
        <v>1.7972968412321126E-4</v>
      </c>
      <c r="AF169">
        <f>VLOOKUP($A169,raw[],32,FALSE)*(1-interactive!$C$7)</f>
        <v>2.3971101119363319E-4</v>
      </c>
      <c r="AG169">
        <f>VLOOKUP($A169,raw[],33,FALSE)*(1-interactive!$C$7)</f>
        <v>4.9563831365551992E-4</v>
      </c>
      <c r="AH169">
        <f>VLOOKUP($A169,raw[],34,FALSE)*(1-interactive!$C$7)</f>
        <v>7.5132014811349075E-4</v>
      </c>
      <c r="AI169">
        <f>VLOOKUP($A169,raw[],35,FALSE)*(1-interactive!$C$7)</f>
        <v>8.7351993535556992E-4</v>
      </c>
      <c r="AJ169">
        <f>VLOOKUP($A169,raw[],36,FALSE)*(1-interactive!$C$7)</f>
        <v>1.0313937663007967E-3</v>
      </c>
      <c r="AK169">
        <f>VLOOKUP($A169,raw[],37,FALSE)*(1-interactive!$C$7)</f>
        <v>1.2653641276133489E-3</v>
      </c>
      <c r="AL169">
        <f>VLOOKUP($A169,raw[],38,FALSE)*(1-interactive!$C$7)</f>
        <v>1.6609837189487829E-3</v>
      </c>
      <c r="AM169">
        <f>VLOOKUP($A169,raw[],39,FALSE)*(1-interactive!$C$7)</f>
        <v>2.3452975809470184E-3</v>
      </c>
      <c r="AN169">
        <f>VLOOKUP($A169,raw[],40,FALSE)*(1-interactive!$C$7)</f>
        <v>3.4384467982634275E-3</v>
      </c>
      <c r="AO169">
        <f>VLOOKUP($A169,raw[],41,FALSE)*(1-interactive!$C$7)</f>
        <v>5.2165397122086029E-3</v>
      </c>
      <c r="AP169">
        <f>VLOOKUP($A169,raw[],42,FALSE)*(1-interactive!$C$7)</f>
        <v>8.0341507205963746E-3</v>
      </c>
      <c r="AQ169">
        <f>VLOOKUP($A169,raw[],43,FALSE)*(1-interactive!$C$7)</f>
        <v>1.2579823792196441E-2</v>
      </c>
      <c r="AR169">
        <f>VLOOKUP($A169,raw[],44,FALSE)*(1-interactive!$C$7)</f>
        <v>1.9461975891206643E-2</v>
      </c>
      <c r="AS169">
        <f>VLOOKUP($A169,raw[],45,FALSE)*(1-interactive!$C$7)</f>
        <v>3.0850476321261287E-2</v>
      </c>
      <c r="AT169">
        <f>VLOOKUP($A169,raw[],46,FALSE)*(1-interactive!$C$7)</f>
        <v>4.7928361100921107E-2</v>
      </c>
      <c r="AU169">
        <f>VLOOKUP($A169,raw[],47,FALSE)*(1-interactive!$C$7)</f>
        <v>7.1354030290854353E-2</v>
      </c>
      <c r="AV169">
        <f>VLOOKUP($A169,raw[],48,FALSE)*(1-interactive!$C$7)</f>
        <v>0.10130551236350765</v>
      </c>
      <c r="AW169">
        <f>VLOOKUP($A169,raw[],49,FALSE)*(1-interactive!$C$7)</f>
        <v>0.13459442558339335</v>
      </c>
      <c r="AX169">
        <f>VLOOKUP($A169,raw[],50,FALSE)*(1-interactive!$C$7)</f>
        <v>76.002849999999995</v>
      </c>
    </row>
    <row r="170" spans="1:50" x14ac:dyDescent="0.25">
      <c r="A170" t="s">
        <v>283</v>
      </c>
      <c r="B170" t="s">
        <v>284</v>
      </c>
      <c r="C170">
        <v>384</v>
      </c>
      <c r="D170" t="s">
        <v>207</v>
      </c>
      <c r="E170" t="s">
        <v>235</v>
      </c>
      <c r="F170" t="s">
        <v>211</v>
      </c>
      <c r="G170" t="s">
        <v>212</v>
      </c>
      <c r="J170">
        <f>VLOOKUP(raw_lb[[#This Row],[setting]],raw[],10,FALSE)*(1-interactive!$C$7)</f>
        <v>0.66309999999999991</v>
      </c>
      <c r="K170">
        <f>VLOOKUP(raw_lb[[#This Row],[setting]],raw[],11,FALSE)*(1-interactive!$C$7)</f>
        <v>0.58899999999999997</v>
      </c>
      <c r="L170">
        <f>VLOOKUP(raw_lb[[#This Row],[setting]],raw[],12,FALSE)*(1-interactive!$C$7)</f>
        <v>0.76</v>
      </c>
      <c r="M170">
        <v>9.6699999999999994E-2</v>
      </c>
      <c r="N170">
        <v>0.155</v>
      </c>
      <c r="O170">
        <v>7.0000000000000007E-2</v>
      </c>
      <c r="P170">
        <v>1E-3</v>
      </c>
      <c r="Q170">
        <v>0.78467471264367805</v>
      </c>
      <c r="R170">
        <v>7.8455747126436783</v>
      </c>
      <c r="S170">
        <v>38.391448882082202</v>
      </c>
      <c r="T170">
        <v>39.081520046451338</v>
      </c>
      <c r="U170">
        <v>38.764653954019231</v>
      </c>
      <c r="V170">
        <v>1.151406124654156</v>
      </c>
      <c r="W170">
        <v>5.7399061246541558</v>
      </c>
      <c r="X170">
        <v>0.67787334129983046</v>
      </c>
      <c r="Y170">
        <v>5.2663733412998299</v>
      </c>
      <c r="Z170">
        <v>5.2626968957500413</v>
      </c>
      <c r="AA170">
        <v>1.3034140307506787</v>
      </c>
      <c r="AB170">
        <v>5.8919140307506783</v>
      </c>
      <c r="AC170">
        <f>VLOOKUP($A170,raw[],29,FALSE)*(1-interactive!$C$7)</f>
        <v>5.7436809999999956E-2</v>
      </c>
      <c r="AD170">
        <f>VLOOKUP($A170,raw[],30,FALSE)*(1-interactive!$C$7)</f>
        <v>6.7311622216910099E-3</v>
      </c>
      <c r="AE170">
        <f>VLOOKUP($A170,raw[],31,FALSE)*(1-interactive!$C$7)</f>
        <v>2.4544830169830208E-3</v>
      </c>
      <c r="AF170">
        <f>VLOOKUP($A170,raw[],32,FALSE)*(1-interactive!$C$7)</f>
        <v>1.7669548972848977E-3</v>
      </c>
      <c r="AG170">
        <f>VLOOKUP($A170,raw[],33,FALSE)*(1-interactive!$C$7)</f>
        <v>2.633009300786188E-3</v>
      </c>
      <c r="AH170">
        <f>VLOOKUP($A170,raw[],34,FALSE)*(1-interactive!$C$7)</f>
        <v>3.8932230977901374E-3</v>
      </c>
      <c r="AI170">
        <f>VLOOKUP($A170,raw[],35,FALSE)*(1-interactive!$C$7)</f>
        <v>4.9669379749717078E-3</v>
      </c>
      <c r="AJ170">
        <f>VLOOKUP($A170,raw[],36,FALSE)*(1-interactive!$C$7)</f>
        <v>6.091994007227465E-3</v>
      </c>
      <c r="AK170">
        <f>VLOOKUP($A170,raw[],37,FALSE)*(1-interactive!$C$7)</f>
        <v>7.6366738926449936E-3</v>
      </c>
      <c r="AL170">
        <f>VLOOKUP($A170,raw[],38,FALSE)*(1-interactive!$C$7)</f>
        <v>9.2628183987660141E-3</v>
      </c>
      <c r="AM170">
        <f>VLOOKUP($A170,raw[],39,FALSE)*(1-interactive!$C$7)</f>
        <v>1.114428337727919E-2</v>
      </c>
      <c r="AN170">
        <f>VLOOKUP($A170,raw[],40,FALSE)*(1-interactive!$C$7)</f>
        <v>1.4545397602173339E-2</v>
      </c>
      <c r="AO170">
        <f>VLOOKUP($A170,raw[],41,FALSE)*(1-interactive!$C$7)</f>
        <v>1.8562625595993646E-2</v>
      </c>
      <c r="AP170">
        <f>VLOOKUP($A170,raw[],42,FALSE)*(1-interactive!$C$7)</f>
        <v>2.6155582740175296E-2</v>
      </c>
      <c r="AQ170">
        <f>VLOOKUP($A170,raw[],43,FALSE)*(1-interactive!$C$7)</f>
        <v>3.8051817182223835E-2</v>
      </c>
      <c r="AR170">
        <f>VLOOKUP($A170,raw[],44,FALSE)*(1-interactive!$C$7)</f>
        <v>5.604327306476331E-2</v>
      </c>
      <c r="AS170">
        <f>VLOOKUP($A170,raw[],45,FALSE)*(1-interactive!$C$7)</f>
        <v>8.1095758449669861E-2</v>
      </c>
      <c r="AT170">
        <f>VLOOKUP($A170,raw[],46,FALSE)*(1-interactive!$C$7)</f>
        <v>0.11465624429238873</v>
      </c>
      <c r="AU170">
        <f>VLOOKUP($A170,raw[],47,FALSE)*(1-interactive!$C$7)</f>
        <v>0.14953448764497962</v>
      </c>
      <c r="AV170">
        <f>VLOOKUP($A170,raw[],48,FALSE)*(1-interactive!$C$7)</f>
        <v>0.17406658606916689</v>
      </c>
      <c r="AW170">
        <f>VLOOKUP($A170,raw[],49,FALSE)*(1-interactive!$C$7)</f>
        <v>0.18008540237702172</v>
      </c>
      <c r="AX170">
        <f>VLOOKUP($A170,raw[],50,FALSE)*(1-interactive!$C$7)</f>
        <v>54.382749999999994</v>
      </c>
    </row>
    <row r="171" spans="1:50" x14ac:dyDescent="0.25">
      <c r="A171" t="s">
        <v>285</v>
      </c>
      <c r="B171" t="s">
        <v>286</v>
      </c>
      <c r="C171">
        <v>192</v>
      </c>
      <c r="D171" t="s">
        <v>215</v>
      </c>
      <c r="E171" t="s">
        <v>232</v>
      </c>
      <c r="F171" t="s">
        <v>217</v>
      </c>
      <c r="G171" t="s">
        <v>204</v>
      </c>
      <c r="J171">
        <f>VLOOKUP(raw_lb[[#This Row],[setting]],raw[],10,FALSE)*(1-interactive!$C$7)</f>
        <v>0.94904999999999995</v>
      </c>
      <c r="K171">
        <f>VLOOKUP(raw_lb[[#This Row],[setting]],raw[],11,FALSE)*(1-interactive!$C$7)</f>
        <v>0.9405</v>
      </c>
      <c r="L171">
        <f>VLOOKUP(raw_lb[[#This Row],[setting]],raw[],12,FALSE)*(1-interactive!$C$7)</f>
        <v>0.9405</v>
      </c>
      <c r="M171">
        <v>3.5999999999999999E-3</v>
      </c>
      <c r="N171">
        <v>0.16309999999999999</v>
      </c>
      <c r="O171">
        <v>0.7</v>
      </c>
      <c r="P171">
        <v>0.05</v>
      </c>
      <c r="Q171">
        <v>2.1631135610246099</v>
      </c>
      <c r="R171">
        <v>9.224013561024611</v>
      </c>
      <c r="S171">
        <v>47.240188849824222</v>
      </c>
      <c r="T171">
        <v>51.818290651224743</v>
      </c>
      <c r="U171">
        <v>49.716123072765832</v>
      </c>
      <c r="V171">
        <v>2.9101751799600399</v>
      </c>
      <c r="W171">
        <v>2.9291751799600401</v>
      </c>
      <c r="X171">
        <v>2.4296197267738795</v>
      </c>
      <c r="Y171">
        <v>2.4486197267738796</v>
      </c>
      <c r="Z171">
        <v>2.4401111055055922</v>
      </c>
      <c r="AA171">
        <v>3.0838530386805094</v>
      </c>
      <c r="AB171">
        <v>3.1028530386805095</v>
      </c>
      <c r="AC171">
        <f>VLOOKUP($A171,raw[],29,FALSE)*(1-interactive!$C$7)</f>
        <v>4.2617094999999536E-3</v>
      </c>
      <c r="AD171">
        <f>VLOOKUP($A171,raw[],30,FALSE)*(1-interactive!$C$7)</f>
        <v>2.5922086740338659E-4</v>
      </c>
      <c r="AE171">
        <f>VLOOKUP($A171,raw[],31,FALSE)*(1-interactive!$C$7)</f>
        <v>1.5255562690985123E-4</v>
      </c>
      <c r="AF171">
        <f>VLOOKUP($A171,raw[],32,FALSE)*(1-interactive!$C$7)</f>
        <v>1.9398327130111775E-4</v>
      </c>
      <c r="AG171">
        <f>VLOOKUP($A171,raw[],33,FALSE)*(1-interactive!$C$7)</f>
        <v>4.0713307316923744E-4</v>
      </c>
      <c r="AH171">
        <f>VLOOKUP($A171,raw[],34,FALSE)*(1-interactive!$C$7)</f>
        <v>5.4512174883087619E-4</v>
      </c>
      <c r="AI171">
        <f>VLOOKUP($A171,raw[],35,FALSE)*(1-interactive!$C$7)</f>
        <v>6.0277188247360796E-4</v>
      </c>
      <c r="AJ171">
        <f>VLOOKUP($A171,raw[],36,FALSE)*(1-interactive!$C$7)</f>
        <v>7.508947982051245E-4</v>
      </c>
      <c r="AK171">
        <f>VLOOKUP($A171,raw[],37,FALSE)*(1-interactive!$C$7)</f>
        <v>1.0150690030173543E-3</v>
      </c>
      <c r="AL171">
        <f>VLOOKUP($A171,raw[],38,FALSE)*(1-interactive!$C$7)</f>
        <v>1.6131469713317956E-3</v>
      </c>
      <c r="AM171">
        <f>VLOOKUP($A171,raw[],39,FALSE)*(1-interactive!$C$7)</f>
        <v>2.690406630874271E-3</v>
      </c>
      <c r="AN171">
        <f>VLOOKUP($A171,raw[],40,FALSE)*(1-interactive!$C$7)</f>
        <v>4.3341034414632875E-3</v>
      </c>
      <c r="AO171">
        <f>VLOOKUP($A171,raw[],41,FALSE)*(1-interactive!$C$7)</f>
        <v>6.6826513778109704E-3</v>
      </c>
      <c r="AP171">
        <f>VLOOKUP($A171,raw[],42,FALSE)*(1-interactive!$C$7)</f>
        <v>1.058758481271857E-2</v>
      </c>
      <c r="AQ171">
        <f>VLOOKUP($A171,raw[],43,FALSE)*(1-interactive!$C$7)</f>
        <v>1.6154627282920477E-2</v>
      </c>
      <c r="AR171">
        <f>VLOOKUP($A171,raw[],44,FALSE)*(1-interactive!$C$7)</f>
        <v>2.3550811319083025E-2</v>
      </c>
      <c r="AS171">
        <f>VLOOKUP($A171,raw[],45,FALSE)*(1-interactive!$C$7)</f>
        <v>3.5690001815783801E-2</v>
      </c>
      <c r="AT171">
        <f>VLOOKUP($A171,raw[],46,FALSE)*(1-interactive!$C$7)</f>
        <v>5.7388382594142195E-2</v>
      </c>
      <c r="AU171">
        <f>VLOOKUP($A171,raw[],47,FALSE)*(1-interactive!$C$7)</f>
        <v>8.1381136623540642E-2</v>
      </c>
      <c r="AV171">
        <f>VLOOKUP($A171,raw[],48,FALSE)*(1-interactive!$C$7)</f>
        <v>0.10817690764570455</v>
      </c>
      <c r="AW171">
        <f>VLOOKUP($A171,raw[],49,FALSE)*(1-interactive!$C$7)</f>
        <v>0.13586817565820736</v>
      </c>
      <c r="AX171">
        <f>VLOOKUP($A171,raw[],50,FALSE)*(1-interactive!$C$7)</f>
        <v>74.750749999999996</v>
      </c>
    </row>
    <row r="172" spans="1:50" x14ac:dyDescent="0.25">
      <c r="A172" t="s">
        <v>287</v>
      </c>
      <c r="B172" t="s">
        <v>288</v>
      </c>
      <c r="C172">
        <v>262</v>
      </c>
      <c r="D172" t="s">
        <v>196</v>
      </c>
      <c r="E172" t="s">
        <v>255</v>
      </c>
      <c r="F172" t="s">
        <v>211</v>
      </c>
      <c r="G172" t="s">
        <v>212</v>
      </c>
      <c r="J172">
        <f>VLOOKUP(raw_lb[[#This Row],[setting]],raw[],10,FALSE)*(1-interactive!$C$7)</f>
        <v>0.82364999999999999</v>
      </c>
      <c r="K172">
        <f>VLOOKUP(raw_lb[[#This Row],[setting]],raw[],11,FALSE)*(1-interactive!$C$7)</f>
        <v>0.73149999999999993</v>
      </c>
      <c r="L172">
        <f>VLOOKUP(raw_lb[[#This Row],[setting]],raw[],12,FALSE)*(1-interactive!$C$7)</f>
        <v>0.66499999999999992</v>
      </c>
      <c r="M172">
        <v>9.0000000000000011E-3</v>
      </c>
      <c r="N172">
        <v>0.15560000000000002</v>
      </c>
      <c r="O172">
        <v>7.0000000000000007E-2</v>
      </c>
      <c r="P172">
        <v>1E-3</v>
      </c>
      <c r="Q172">
        <v>0.89909631675874802</v>
      </c>
      <c r="R172">
        <v>7.9599963167587493</v>
      </c>
      <c r="S172">
        <v>38.9071948398838</v>
      </c>
      <c r="T172">
        <v>39.8061413036001</v>
      </c>
      <c r="U172">
        <v>39.393364088769147</v>
      </c>
      <c r="V172">
        <v>2.1985628497893606</v>
      </c>
      <c r="W172">
        <v>6.7870628497893604</v>
      </c>
      <c r="X172">
        <v>1.7224562384381858</v>
      </c>
      <c r="Y172">
        <v>6.3109562384381857</v>
      </c>
      <c r="Z172">
        <v>6.3056394892145518</v>
      </c>
      <c r="AA172">
        <v>2.3585128537047311</v>
      </c>
      <c r="AB172">
        <v>6.9470128537047309</v>
      </c>
      <c r="AC172">
        <f>VLOOKUP($A172,raw[],29,FALSE)*(1-interactive!$C$7)</f>
        <v>3.1969447500000012E-2</v>
      </c>
      <c r="AD172">
        <f>VLOOKUP($A172,raw[],30,FALSE)*(1-interactive!$C$7)</f>
        <v>4.3022601227642602E-3</v>
      </c>
      <c r="AE172">
        <f>VLOOKUP($A172,raw[],31,FALSE)*(1-interactive!$C$7)</f>
        <v>1.6881904469799472E-3</v>
      </c>
      <c r="AF172">
        <f>VLOOKUP($A172,raw[],32,FALSE)*(1-interactive!$C$7)</f>
        <v>1.1533724417199832E-3</v>
      </c>
      <c r="AG172">
        <f>VLOOKUP($A172,raw[],33,FALSE)*(1-interactive!$C$7)</f>
        <v>1.5410290990263036E-3</v>
      </c>
      <c r="AH172">
        <f>VLOOKUP($A172,raw[],34,FALSE)*(1-interactive!$C$7)</f>
        <v>2.0607955135501259E-3</v>
      </c>
      <c r="AI172">
        <f>VLOOKUP($A172,raw[],35,FALSE)*(1-interactive!$C$7)</f>
        <v>2.4831613087347337E-3</v>
      </c>
      <c r="AJ172">
        <f>VLOOKUP($A172,raw[],36,FALSE)*(1-interactive!$C$7)</f>
        <v>3.1336021777406712E-3</v>
      </c>
      <c r="AK172">
        <f>VLOOKUP($A172,raw[],37,FALSE)*(1-interactive!$C$7)</f>
        <v>4.2435307959932155E-3</v>
      </c>
      <c r="AL172">
        <f>VLOOKUP($A172,raw[],38,FALSE)*(1-interactive!$C$7)</f>
        <v>5.2386483541278228E-3</v>
      </c>
      <c r="AM172">
        <f>VLOOKUP($A172,raw[],39,FALSE)*(1-interactive!$C$7)</f>
        <v>6.2883559880270931E-3</v>
      </c>
      <c r="AN172">
        <f>VLOOKUP($A172,raw[],40,FALSE)*(1-interactive!$C$7)</f>
        <v>8.226972971980091E-3</v>
      </c>
      <c r="AO172">
        <f>VLOOKUP($A172,raw[],41,FALSE)*(1-interactive!$C$7)</f>
        <v>1.0761214925120423E-2</v>
      </c>
      <c r="AP172">
        <f>VLOOKUP($A172,raw[],42,FALSE)*(1-interactive!$C$7)</f>
        <v>1.621948502401515E-2</v>
      </c>
      <c r="AQ172">
        <f>VLOOKUP($A172,raw[],43,FALSE)*(1-interactive!$C$7)</f>
        <v>2.5010644568960294E-2</v>
      </c>
      <c r="AR172">
        <f>VLOOKUP($A172,raw[],44,FALSE)*(1-interactive!$C$7)</f>
        <v>3.8940205357370423E-2</v>
      </c>
      <c r="AS172">
        <f>VLOOKUP($A172,raw[],45,FALSE)*(1-interactive!$C$7)</f>
        <v>5.9350214718177308E-2</v>
      </c>
      <c r="AT172">
        <f>VLOOKUP($A172,raw[],46,FALSE)*(1-interactive!$C$7)</f>
        <v>8.7105315335773981E-2</v>
      </c>
      <c r="AU172">
        <f>VLOOKUP($A172,raw[],47,FALSE)*(1-interactive!$C$7)</f>
        <v>0.11833312994274543</v>
      </c>
      <c r="AV172">
        <f>VLOOKUP($A172,raw[],48,FALSE)*(1-interactive!$C$7)</f>
        <v>0.14584669757808072</v>
      </c>
      <c r="AW172">
        <f>VLOOKUP($A172,raw[],49,FALSE)*(1-interactive!$C$7)</f>
        <v>0.16582569402878344</v>
      </c>
      <c r="AX172">
        <f>VLOOKUP($A172,raw[],50,FALSE)*(1-interactive!$C$7)</f>
        <v>63.213000000000001</v>
      </c>
    </row>
    <row r="173" spans="1:50" x14ac:dyDescent="0.25">
      <c r="A173" t="s">
        <v>289</v>
      </c>
      <c r="B173" t="s">
        <v>290</v>
      </c>
      <c r="C173">
        <v>212</v>
      </c>
      <c r="D173" t="s">
        <v>215</v>
      </c>
      <c r="E173" t="s">
        <v>232</v>
      </c>
      <c r="F173" t="s">
        <v>217</v>
      </c>
      <c r="G173" t="s">
        <v>204</v>
      </c>
      <c r="J173">
        <f>VLOOKUP(raw_lb[[#This Row],[setting]],raw[],10,FALSE)*(1-interactive!$C$7)</f>
        <v>0</v>
      </c>
      <c r="K173">
        <f>VLOOKUP(raw_lb[[#This Row],[setting]],raw[],11,FALSE)*(1-interactive!$C$7)</f>
        <v>0.9405</v>
      </c>
      <c r="L173">
        <f>VLOOKUP(raw_lb[[#This Row],[setting]],raw[],12,FALSE)*(1-interactive!$C$7)</f>
        <v>0.92149999999999999</v>
      </c>
      <c r="M173">
        <v>4.8999999999999998E-3</v>
      </c>
      <c r="N173">
        <v>0</v>
      </c>
      <c r="O173">
        <v>0.7</v>
      </c>
      <c r="P173">
        <v>0.05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5.0440883008331765</v>
      </c>
      <c r="W173">
        <v>5.0630883008331766</v>
      </c>
      <c r="X173">
        <v>4.567541327287489</v>
      </c>
      <c r="Y173">
        <v>4.5865413272874891</v>
      </c>
      <c r="Z173">
        <v>4.5812774758703032</v>
      </c>
      <c r="AA173">
        <v>5.2053971366630432</v>
      </c>
      <c r="AB173">
        <v>5.2243971366630433</v>
      </c>
      <c r="AC173">
        <f>VLOOKUP($A173,raw[],29,FALSE)*(1-interactive!$C$7)</f>
        <v>0</v>
      </c>
      <c r="AD173">
        <f>VLOOKUP($A173,raw[],30,FALSE)*(1-interactive!$C$7)</f>
        <v>0</v>
      </c>
      <c r="AE173">
        <f>VLOOKUP($A173,raw[],31,FALSE)*(1-interactive!$C$7)</f>
        <v>0</v>
      </c>
      <c r="AF173">
        <f>VLOOKUP($A173,raw[],32,FALSE)*(1-interactive!$C$7)</f>
        <v>0</v>
      </c>
      <c r="AG173">
        <f>VLOOKUP($A173,raw[],33,FALSE)*(1-interactive!$C$7)</f>
        <v>0</v>
      </c>
      <c r="AH173">
        <f>VLOOKUP($A173,raw[],34,FALSE)*(1-interactive!$C$7)</f>
        <v>0</v>
      </c>
      <c r="AI173">
        <f>VLOOKUP($A173,raw[],35,FALSE)*(1-interactive!$C$7)</f>
        <v>0</v>
      </c>
      <c r="AJ173">
        <f>VLOOKUP($A173,raw[],36,FALSE)*(1-interactive!$C$7)</f>
        <v>0</v>
      </c>
      <c r="AK173">
        <f>VLOOKUP($A173,raw[],37,FALSE)*(1-interactive!$C$7)</f>
        <v>0</v>
      </c>
      <c r="AL173">
        <f>VLOOKUP($A173,raw[],38,FALSE)*(1-interactive!$C$7)</f>
        <v>0</v>
      </c>
      <c r="AM173">
        <f>VLOOKUP($A173,raw[],39,FALSE)*(1-interactive!$C$7)</f>
        <v>0</v>
      </c>
      <c r="AN173">
        <f>VLOOKUP($A173,raw[],40,FALSE)*(1-interactive!$C$7)</f>
        <v>0</v>
      </c>
      <c r="AO173">
        <f>VLOOKUP($A173,raw[],41,FALSE)*(1-interactive!$C$7)</f>
        <v>0</v>
      </c>
      <c r="AP173">
        <f>VLOOKUP($A173,raw[],42,FALSE)*(1-interactive!$C$7)</f>
        <v>0</v>
      </c>
      <c r="AQ173">
        <f>VLOOKUP($A173,raw[],43,FALSE)*(1-interactive!$C$7)</f>
        <v>0</v>
      </c>
      <c r="AR173">
        <f>VLOOKUP($A173,raw[],44,FALSE)*(1-interactive!$C$7)</f>
        <v>0</v>
      </c>
      <c r="AS173">
        <f>VLOOKUP($A173,raw[],45,FALSE)*(1-interactive!$C$7)</f>
        <v>0</v>
      </c>
      <c r="AT173">
        <f>VLOOKUP($A173,raw[],46,FALSE)*(1-interactive!$C$7)</f>
        <v>0</v>
      </c>
      <c r="AU173">
        <f>VLOOKUP($A173,raw[],47,FALSE)*(1-interactive!$C$7)</f>
        <v>0</v>
      </c>
      <c r="AV173">
        <f>VLOOKUP($A173,raw[],48,FALSE)*(1-interactive!$C$7)</f>
        <v>0</v>
      </c>
      <c r="AW173">
        <f>VLOOKUP($A173,raw[],49,FALSE)*(1-interactive!$C$7)</f>
        <v>0</v>
      </c>
      <c r="AX173">
        <f>VLOOKUP($A173,raw[],50,FALSE)*(1-interactive!$C$7)</f>
        <v>0</v>
      </c>
    </row>
    <row r="174" spans="1:50" x14ac:dyDescent="0.25">
      <c r="A174" t="s">
        <v>291</v>
      </c>
      <c r="B174" t="s">
        <v>292</v>
      </c>
      <c r="C174">
        <v>214</v>
      </c>
      <c r="D174" t="s">
        <v>215</v>
      </c>
      <c r="E174" t="s">
        <v>232</v>
      </c>
      <c r="F174" t="s">
        <v>217</v>
      </c>
      <c r="G174" t="s">
        <v>204</v>
      </c>
      <c r="J174">
        <f>VLOOKUP(raw_lb[[#This Row],[setting]],raw[],10,FALSE)*(1-interactive!$C$7)</f>
        <v>0.93005000000000004</v>
      </c>
      <c r="K174">
        <f>VLOOKUP(raw_lb[[#This Row],[setting]],raw[],11,FALSE)*(1-interactive!$C$7)</f>
        <v>0.627</v>
      </c>
      <c r="L174">
        <f>VLOOKUP(raw_lb[[#This Row],[setting]],raw[],12,FALSE)*(1-interactive!$C$7)</f>
        <v>0.76949999999999996</v>
      </c>
      <c r="M174">
        <v>3.8E-3</v>
      </c>
      <c r="N174">
        <v>0.16309999999999999</v>
      </c>
      <c r="O174">
        <v>0.7</v>
      </c>
      <c r="P174">
        <v>0.05</v>
      </c>
      <c r="Q174">
        <v>1.7761168264881502</v>
      </c>
      <c r="R174">
        <v>8.837016826488151</v>
      </c>
      <c r="S174">
        <v>47.16513968987271</v>
      </c>
      <c r="T174">
        <v>51.905599300919</v>
      </c>
      <c r="U174">
        <v>49.728880448077646</v>
      </c>
      <c r="V174">
        <v>2.4598690267022949</v>
      </c>
      <c r="W174">
        <v>2.478869026702295</v>
      </c>
      <c r="X174">
        <v>1.982256930739912</v>
      </c>
      <c r="Y174">
        <v>2.001256930739912</v>
      </c>
      <c r="Z174">
        <v>1.9947366296161702</v>
      </c>
      <c r="AA174">
        <v>2.6244645259893944</v>
      </c>
      <c r="AB174">
        <v>2.6434645259893945</v>
      </c>
      <c r="AC174">
        <f>VLOOKUP($A174,raw[],29,FALSE)*(1-interactive!$C$7)</f>
        <v>2.4569973499999946E-2</v>
      </c>
      <c r="AD174">
        <f>VLOOKUP($A174,raw[],30,FALSE)*(1-interactive!$C$7)</f>
        <v>7.3489583142461812E-4</v>
      </c>
      <c r="AE174">
        <f>VLOOKUP($A174,raw[],31,FALSE)*(1-interactive!$C$7)</f>
        <v>3.53282994340754E-4</v>
      </c>
      <c r="AF174">
        <f>VLOOKUP($A174,raw[],32,FALSE)*(1-interactive!$C$7)</f>
        <v>3.5403911399834289E-4</v>
      </c>
      <c r="AG174">
        <f>VLOOKUP($A174,raw[],33,FALSE)*(1-interactive!$C$7)</f>
        <v>8.9216923611967964E-4</v>
      </c>
      <c r="AH174">
        <f>VLOOKUP($A174,raw[],34,FALSE)*(1-interactive!$C$7)</f>
        <v>1.5766090376971693E-3</v>
      </c>
      <c r="AI174">
        <f>VLOOKUP($A174,raw[],35,FALSE)*(1-interactive!$C$7)</f>
        <v>1.9941348325666431E-3</v>
      </c>
      <c r="AJ174">
        <f>VLOOKUP($A174,raw[],36,FALSE)*(1-interactive!$C$7)</f>
        <v>2.4312495435624918E-3</v>
      </c>
      <c r="AK174">
        <f>VLOOKUP($A174,raw[],37,FALSE)*(1-interactive!$C$7)</f>
        <v>2.7005141090420634E-3</v>
      </c>
      <c r="AL174">
        <f>VLOOKUP($A174,raw[],38,FALSE)*(1-interactive!$C$7)</f>
        <v>3.3928944065910521E-3</v>
      </c>
      <c r="AM174">
        <f>VLOOKUP($A174,raw[],39,FALSE)*(1-interactive!$C$7)</f>
        <v>4.5272895516323252E-3</v>
      </c>
      <c r="AN174">
        <f>VLOOKUP($A174,raw[],40,FALSE)*(1-interactive!$C$7)</f>
        <v>5.9932348365053911E-3</v>
      </c>
      <c r="AO174">
        <f>VLOOKUP($A174,raw[],41,FALSE)*(1-interactive!$C$7)</f>
        <v>8.6917426455350357E-3</v>
      </c>
      <c r="AP174">
        <f>VLOOKUP($A174,raw[],42,FALSE)*(1-interactive!$C$7)</f>
        <v>1.2821746606886841E-2</v>
      </c>
      <c r="AQ174">
        <f>VLOOKUP($A174,raw[],43,FALSE)*(1-interactive!$C$7)</f>
        <v>1.8872461897233399E-2</v>
      </c>
      <c r="AR174">
        <f>VLOOKUP($A174,raw[],44,FALSE)*(1-interactive!$C$7)</f>
        <v>2.7365621001182817E-2</v>
      </c>
      <c r="AS174">
        <f>VLOOKUP($A174,raw[],45,FALSE)*(1-interactive!$C$7)</f>
        <v>3.9682877766530657E-2</v>
      </c>
      <c r="AT174">
        <f>VLOOKUP($A174,raw[],46,FALSE)*(1-interactive!$C$7)</f>
        <v>5.4862468989533467E-2</v>
      </c>
      <c r="AU174">
        <f>VLOOKUP($A174,raw[],47,FALSE)*(1-interactive!$C$7)</f>
        <v>7.2394293508525234E-2</v>
      </c>
      <c r="AV174">
        <f>VLOOKUP($A174,raw[],48,FALSE)*(1-interactive!$C$7)</f>
        <v>9.1059541550266548E-2</v>
      </c>
      <c r="AW174">
        <f>VLOOKUP($A174,raw[],49,FALSE)*(1-interactive!$C$7)</f>
        <v>0.10944282173746935</v>
      </c>
      <c r="AX174">
        <f>VLOOKUP($A174,raw[],50,FALSE)*(1-interactive!$C$7)</f>
        <v>70.120450000000005</v>
      </c>
    </row>
    <row r="175" spans="1:50" x14ac:dyDescent="0.25">
      <c r="A175" t="s">
        <v>293</v>
      </c>
      <c r="B175" t="s">
        <v>294</v>
      </c>
      <c r="C175">
        <v>218</v>
      </c>
      <c r="D175" t="s">
        <v>215</v>
      </c>
      <c r="E175" t="s">
        <v>240</v>
      </c>
      <c r="F175" t="s">
        <v>217</v>
      </c>
      <c r="G175" t="s">
        <v>204</v>
      </c>
      <c r="J175">
        <f>VLOOKUP(raw_lb[[#This Row],[setting]],raw[],10,FALSE)*(1-interactive!$C$7)</f>
        <v>0.88634999999999986</v>
      </c>
      <c r="K175">
        <f>VLOOKUP(raw_lb[[#This Row],[setting]],raw[],11,FALSE)*(1-interactive!$C$7)</f>
        <v>0.58899999999999997</v>
      </c>
      <c r="L175">
        <f>VLOOKUP(raw_lb[[#This Row],[setting]],raw[],12,FALSE)*(1-interactive!$C$7)</f>
        <v>0.66499999999999992</v>
      </c>
      <c r="M175">
        <v>4.1999999999999997E-3</v>
      </c>
      <c r="N175">
        <v>0.16269999999999998</v>
      </c>
      <c r="O175">
        <v>0.7</v>
      </c>
      <c r="P175">
        <v>0.05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1.6091070127880149</v>
      </c>
      <c r="W175">
        <v>1.6281070127880148</v>
      </c>
      <c r="X175">
        <v>1.1338296284373943</v>
      </c>
      <c r="Y175">
        <v>1.1528296284373942</v>
      </c>
      <c r="Z175">
        <v>1.1479716747680859</v>
      </c>
      <c r="AA175">
        <v>1.7664982591016756</v>
      </c>
      <c r="AB175">
        <v>1.7854982591016755</v>
      </c>
      <c r="AC175">
        <f>VLOOKUP($A175,raw[],29,FALSE)*(1-interactive!$C$7)</f>
        <v>1.2923799999999945E-2</v>
      </c>
      <c r="AD175">
        <f>VLOOKUP($A175,raw[],30,FALSE)*(1-interactive!$C$7)</f>
        <v>6.5328656036723806E-4</v>
      </c>
      <c r="AE175">
        <f>VLOOKUP($A175,raw[],31,FALSE)*(1-interactive!$C$7)</f>
        <v>3.7401896469180587E-4</v>
      </c>
      <c r="AF175">
        <f>VLOOKUP($A175,raw[],32,FALSE)*(1-interactive!$C$7)</f>
        <v>4.7050310368360824E-4</v>
      </c>
      <c r="AG175">
        <f>VLOOKUP($A175,raw[],33,FALSE)*(1-interactive!$C$7)</f>
        <v>9.7780478667330709E-4</v>
      </c>
      <c r="AH175">
        <f>VLOOKUP($A175,raw[],34,FALSE)*(1-interactive!$C$7)</f>
        <v>1.5409950033425897E-3</v>
      </c>
      <c r="AI175">
        <f>VLOOKUP($A175,raw[],35,FALSE)*(1-interactive!$C$7)</f>
        <v>1.8534081016670435E-3</v>
      </c>
      <c r="AJ175">
        <f>VLOOKUP($A175,raw[],36,FALSE)*(1-interactive!$C$7)</f>
        <v>1.9231592522342242E-3</v>
      </c>
      <c r="AK175">
        <f>VLOOKUP($A175,raw[],37,FALSE)*(1-interactive!$C$7)</f>
        <v>2.0600022006615703E-3</v>
      </c>
      <c r="AL175">
        <f>VLOOKUP($A175,raw[],38,FALSE)*(1-interactive!$C$7)</f>
        <v>2.5751877596852119E-3</v>
      </c>
      <c r="AM175">
        <f>VLOOKUP($A175,raw[],39,FALSE)*(1-interactive!$C$7)</f>
        <v>3.2782186365680611E-3</v>
      </c>
      <c r="AN175">
        <f>VLOOKUP($A175,raw[],40,FALSE)*(1-interactive!$C$7)</f>
        <v>4.7784204154738318E-3</v>
      </c>
      <c r="AO175">
        <f>VLOOKUP($A175,raw[],41,FALSE)*(1-interactive!$C$7)</f>
        <v>6.515383065888369E-3</v>
      </c>
      <c r="AP175">
        <f>VLOOKUP($A175,raw[],42,FALSE)*(1-interactive!$C$7)</f>
        <v>9.4734881439116434E-3</v>
      </c>
      <c r="AQ175">
        <f>VLOOKUP($A175,raw[],43,FALSE)*(1-interactive!$C$7)</f>
        <v>1.3282573798368644E-2</v>
      </c>
      <c r="AR175">
        <f>VLOOKUP($A175,raw[],44,FALSE)*(1-interactive!$C$7)</f>
        <v>2.1675092761499894E-2</v>
      </c>
      <c r="AS175">
        <f>VLOOKUP($A175,raw[],45,FALSE)*(1-interactive!$C$7)</f>
        <v>3.4696168861791263E-2</v>
      </c>
      <c r="AT175">
        <f>VLOOKUP($A175,raw[],46,FALSE)*(1-interactive!$C$7)</f>
        <v>5.3129074960459544E-2</v>
      </c>
      <c r="AU175">
        <f>VLOOKUP($A175,raw[],47,FALSE)*(1-interactive!$C$7)</f>
        <v>8.0870584271451162E-2</v>
      </c>
      <c r="AV175">
        <f>VLOOKUP($A175,raw[],48,FALSE)*(1-interactive!$C$7)</f>
        <v>0.10356603485342179</v>
      </c>
      <c r="AW175">
        <f>VLOOKUP($A175,raw[],49,FALSE)*(1-interactive!$C$7)</f>
        <v>0.13273362241408837</v>
      </c>
      <c r="AX175">
        <f>VLOOKUP($A175,raw[],50,FALSE)*(1-interactive!$C$7)</f>
        <v>72.866900000000001</v>
      </c>
    </row>
    <row r="176" spans="1:50" x14ac:dyDescent="0.25">
      <c r="A176" t="s">
        <v>295</v>
      </c>
      <c r="B176" t="s">
        <v>296</v>
      </c>
      <c r="C176">
        <v>818</v>
      </c>
      <c r="D176" t="s">
        <v>196</v>
      </c>
      <c r="E176" t="s">
        <v>197</v>
      </c>
      <c r="F176" t="s">
        <v>197</v>
      </c>
      <c r="G176" t="s">
        <v>212</v>
      </c>
      <c r="J176">
        <f>VLOOKUP(raw_lb[[#This Row],[setting]],raw[],10,FALSE)*(1-interactive!$C$7)</f>
        <v>0.82364999999999999</v>
      </c>
      <c r="K176">
        <f>VLOOKUP(raw_lb[[#This Row],[setting]],raw[],11,FALSE)*(1-interactive!$C$7)</f>
        <v>0.874</v>
      </c>
      <c r="L176">
        <f>VLOOKUP(raw_lb[[#This Row],[setting]],raw[],12,FALSE)*(1-interactive!$C$7)</f>
        <v>0.8929999999999999</v>
      </c>
      <c r="M176">
        <v>1.3899999999999999E-2</v>
      </c>
      <c r="N176">
        <v>0.14980000000000002</v>
      </c>
      <c r="O176">
        <v>0.7</v>
      </c>
      <c r="P176">
        <v>0.05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1.3025830421532136</v>
      </c>
      <c r="W176">
        <v>1.7585830421532136</v>
      </c>
      <c r="X176">
        <v>0.82621199865221717</v>
      </c>
      <c r="Y176">
        <v>1.2822119986522171</v>
      </c>
      <c r="Z176">
        <v>1.2767836422985388</v>
      </c>
      <c r="AA176">
        <v>1.4633490081308915</v>
      </c>
      <c r="AB176">
        <v>1.9193490081308915</v>
      </c>
      <c r="AC176">
        <f>VLOOKUP($A176,raw[],29,FALSE)*(1-interactive!$C$7)</f>
        <v>1.4822850000000026E-2</v>
      </c>
      <c r="AD176">
        <f>VLOOKUP($A176,raw[],30,FALSE)*(1-interactive!$C$7)</f>
        <v>1.043044117363202E-3</v>
      </c>
      <c r="AE176">
        <f>VLOOKUP($A176,raw[],31,FALSE)*(1-interactive!$C$7)</f>
        <v>3.819294172308191E-4</v>
      </c>
      <c r="AF176">
        <f>VLOOKUP($A176,raw[],32,FALSE)*(1-interactive!$C$7)</f>
        <v>3.2037054232063528E-4</v>
      </c>
      <c r="AG176">
        <f>VLOOKUP($A176,raw[],33,FALSE)*(1-interactive!$C$7)</f>
        <v>4.6500511513891045E-4</v>
      </c>
      <c r="AH176">
        <f>VLOOKUP($A176,raw[],34,FALSE)*(1-interactive!$C$7)</f>
        <v>6.9787400661752415E-4</v>
      </c>
      <c r="AI176">
        <f>VLOOKUP($A176,raw[],35,FALSE)*(1-interactive!$C$7)</f>
        <v>8.6135671549360205E-4</v>
      </c>
      <c r="AJ176">
        <f>VLOOKUP($A176,raw[],36,FALSE)*(1-interactive!$C$7)</f>
        <v>1.1354090665291153E-3</v>
      </c>
      <c r="AK176">
        <f>VLOOKUP($A176,raw[],37,FALSE)*(1-interactive!$C$7)</f>
        <v>1.3682965484051821E-3</v>
      </c>
      <c r="AL176">
        <f>VLOOKUP($A176,raw[],38,FALSE)*(1-interactive!$C$7)</f>
        <v>2.0493292472760815E-3</v>
      </c>
      <c r="AM176">
        <f>VLOOKUP($A176,raw[],39,FALSE)*(1-interactive!$C$7)</f>
        <v>4.2721438453650288E-3</v>
      </c>
      <c r="AN176">
        <f>VLOOKUP($A176,raw[],40,FALSE)*(1-interactive!$C$7)</f>
        <v>7.8463580161288685E-3</v>
      </c>
      <c r="AO176">
        <f>VLOOKUP($A176,raw[],41,FALSE)*(1-interactive!$C$7)</f>
        <v>1.0827562446868763E-2</v>
      </c>
      <c r="AP176">
        <f>VLOOKUP($A176,raw[],42,FALSE)*(1-interactive!$C$7)</f>
        <v>1.7413991981186684E-2</v>
      </c>
      <c r="AQ176">
        <f>VLOOKUP($A176,raw[],43,FALSE)*(1-interactive!$C$7)</f>
        <v>2.6701482569325426E-2</v>
      </c>
      <c r="AR176">
        <f>VLOOKUP($A176,raw[],44,FALSE)*(1-interactive!$C$7)</f>
        <v>4.1779184070834176E-2</v>
      </c>
      <c r="AS176">
        <f>VLOOKUP($A176,raw[],45,FALSE)*(1-interactive!$C$7)</f>
        <v>6.4005042657846026E-2</v>
      </c>
      <c r="AT176">
        <f>VLOOKUP($A176,raw[],46,FALSE)*(1-interactive!$C$7)</f>
        <v>9.0078666046402009E-2</v>
      </c>
      <c r="AU176">
        <f>VLOOKUP($A176,raw[],47,FALSE)*(1-interactive!$C$7)</f>
        <v>0.11838969599872376</v>
      </c>
      <c r="AV176">
        <f>VLOOKUP($A176,raw[],48,FALSE)*(1-interactive!$C$7)</f>
        <v>0.14217502798510454</v>
      </c>
      <c r="AW176">
        <f>VLOOKUP($A176,raw[],49,FALSE)*(1-interactive!$C$7)</f>
        <v>0.16307010765946897</v>
      </c>
      <c r="AX176">
        <f>VLOOKUP($A176,raw[],50,FALSE)*(1-interactive!$C$7)</f>
        <v>68.15679999999999</v>
      </c>
    </row>
    <row r="177" spans="1:50" x14ac:dyDescent="0.25">
      <c r="A177" t="s">
        <v>297</v>
      </c>
      <c r="B177" t="s">
        <v>298</v>
      </c>
      <c r="C177">
        <v>222</v>
      </c>
      <c r="D177" t="s">
        <v>215</v>
      </c>
      <c r="E177" t="s">
        <v>274</v>
      </c>
      <c r="F177" t="s">
        <v>217</v>
      </c>
      <c r="G177" t="s">
        <v>212</v>
      </c>
      <c r="J177">
        <f>VLOOKUP(raw_lb[[#This Row],[setting]],raw[],10,FALSE)*(1-interactive!$C$7)</f>
        <v>0.92624999999999991</v>
      </c>
      <c r="K177">
        <f>VLOOKUP(raw_lb[[#This Row],[setting]],raw[],11,FALSE)*(1-interactive!$C$7)</f>
        <v>0.71249999999999991</v>
      </c>
      <c r="L177">
        <f>VLOOKUP(raw_lb[[#This Row],[setting]],raw[],12,FALSE)*(1-interactive!$C$7)</f>
        <v>0.68399999999999994</v>
      </c>
      <c r="M177">
        <v>1.4000000000000002E-3</v>
      </c>
      <c r="N177">
        <v>0.16440000000000002</v>
      </c>
      <c r="O177">
        <v>0.7</v>
      </c>
      <c r="P177">
        <v>0.05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1.6039856264775478</v>
      </c>
      <c r="W177">
        <v>1.6229856264775477</v>
      </c>
      <c r="X177">
        <v>1.1265734011959432</v>
      </c>
      <c r="Y177">
        <v>1.1455734011959431</v>
      </c>
      <c r="Z177">
        <v>1.1390825120755985</v>
      </c>
      <c r="AA177">
        <v>1.7679643819496735</v>
      </c>
      <c r="AB177">
        <v>1.7869643819496734</v>
      </c>
      <c r="AC177">
        <f>VLOOKUP($A177,raw[],29,FALSE)*(1-interactive!$C$7)</f>
        <v>1.3845395000000031E-2</v>
      </c>
      <c r="AD177">
        <f>VLOOKUP($A177,raw[],30,FALSE)*(1-interactive!$C$7)</f>
        <v>5.584790799592202E-4</v>
      </c>
      <c r="AE177">
        <f>VLOOKUP($A177,raw[],31,FALSE)*(1-interactive!$C$7)</f>
        <v>2.5991368522960083E-4</v>
      </c>
      <c r="AF177">
        <f>VLOOKUP($A177,raw[],32,FALSE)*(1-interactive!$C$7)</f>
        <v>5.3784870581194888E-4</v>
      </c>
      <c r="AG177">
        <f>VLOOKUP($A177,raw[],33,FALSE)*(1-interactive!$C$7)</f>
        <v>1.4693692953268653E-3</v>
      </c>
      <c r="AH177">
        <f>VLOOKUP($A177,raw[],34,FALSE)*(1-interactive!$C$7)</f>
        <v>2.4394862843497467E-3</v>
      </c>
      <c r="AI177">
        <f>VLOOKUP($A177,raw[],35,FALSE)*(1-interactive!$C$7)</f>
        <v>3.033201855350289E-3</v>
      </c>
      <c r="AJ177">
        <f>VLOOKUP($A177,raw[],36,FALSE)*(1-interactive!$C$7)</f>
        <v>3.1770343570390134E-3</v>
      </c>
      <c r="AK177">
        <f>VLOOKUP($A177,raw[],37,FALSE)*(1-interactive!$C$7)</f>
        <v>3.3283619325216104E-3</v>
      </c>
      <c r="AL177">
        <f>VLOOKUP($A177,raw[],38,FALSE)*(1-interactive!$C$7)</f>
        <v>3.967907063797892E-3</v>
      </c>
      <c r="AM177">
        <f>VLOOKUP($A177,raw[],39,FALSE)*(1-interactive!$C$7)</f>
        <v>5.0622467417907454E-3</v>
      </c>
      <c r="AN177">
        <f>VLOOKUP($A177,raw[],40,FALSE)*(1-interactive!$C$7)</f>
        <v>6.6521647077467756E-3</v>
      </c>
      <c r="AO177">
        <f>VLOOKUP($A177,raw[],41,FALSE)*(1-interactive!$C$7)</f>
        <v>8.7736311221198026E-3</v>
      </c>
      <c r="AP177">
        <f>VLOOKUP($A177,raw[],42,FALSE)*(1-interactive!$C$7)</f>
        <v>1.1966738167851883E-2</v>
      </c>
      <c r="AQ177">
        <f>VLOOKUP($A177,raw[],43,FALSE)*(1-interactive!$C$7)</f>
        <v>1.7027246670130135E-2</v>
      </c>
      <c r="AR177">
        <f>VLOOKUP($A177,raw[],44,FALSE)*(1-interactive!$C$7)</f>
        <v>2.4682481279554792E-2</v>
      </c>
      <c r="AS177">
        <f>VLOOKUP($A177,raw[],45,FALSE)*(1-interactive!$C$7)</f>
        <v>3.8057973537868453E-2</v>
      </c>
      <c r="AT177">
        <f>VLOOKUP($A177,raw[],46,FALSE)*(1-interactive!$C$7)</f>
        <v>6.1627719901173356E-2</v>
      </c>
      <c r="AU177">
        <f>VLOOKUP($A177,raw[],47,FALSE)*(1-interactive!$C$7)</f>
        <v>9.2865141078845539E-2</v>
      </c>
      <c r="AV177">
        <f>VLOOKUP($A177,raw[],48,FALSE)*(1-interactive!$C$7)</f>
        <v>0.12664967345353384</v>
      </c>
      <c r="AW177">
        <f>VLOOKUP($A177,raw[],49,FALSE)*(1-interactive!$C$7)</f>
        <v>0.15622839786801912</v>
      </c>
      <c r="AX177">
        <f>VLOOKUP($A177,raw[],50,FALSE)*(1-interactive!$C$7)</f>
        <v>69.336700000000008</v>
      </c>
    </row>
    <row r="178" spans="1:50" x14ac:dyDescent="0.25">
      <c r="A178" t="s">
        <v>299</v>
      </c>
      <c r="B178" t="s">
        <v>300</v>
      </c>
      <c r="C178">
        <v>226</v>
      </c>
      <c r="D178" t="s">
        <v>207</v>
      </c>
      <c r="E178" t="s">
        <v>210</v>
      </c>
      <c r="F178" t="s">
        <v>211</v>
      </c>
      <c r="G178" t="s">
        <v>204</v>
      </c>
      <c r="J178">
        <f>VLOOKUP(raw_lb[[#This Row],[setting]],raw[],10,FALSE)*(1-interactive!$C$7)</f>
        <v>0.63934999999999986</v>
      </c>
      <c r="K178">
        <f>VLOOKUP(raw_lb[[#This Row],[setting]],raw[],11,FALSE)*(1-interactive!$C$7)</f>
        <v>0</v>
      </c>
      <c r="L178">
        <f>VLOOKUP(raw_lb[[#This Row],[setting]],raw[],12,FALSE)*(1-interactive!$C$7)</f>
        <v>0.50349999999999995</v>
      </c>
      <c r="M178">
        <v>7.4299999999999991E-2</v>
      </c>
      <c r="N178">
        <v>0.15279999999999999</v>
      </c>
      <c r="O178">
        <v>7.0000000000000007E-2</v>
      </c>
      <c r="P178">
        <v>1E-3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0.58339579179422818</v>
      </c>
      <c r="W178">
        <v>5.1718957917942276</v>
      </c>
      <c r="X178">
        <v>0.10610538079399043</v>
      </c>
      <c r="Y178">
        <v>4.6946053807939903</v>
      </c>
      <c r="Z178">
        <v>4.6884192857380116</v>
      </c>
      <c r="AA178">
        <v>0.74699866319813646</v>
      </c>
      <c r="AB178">
        <v>5.3354986631981358</v>
      </c>
      <c r="AC178">
        <f>VLOOKUP($A178,raw[],29,FALSE)*(1-interactive!$C$7)</f>
        <v>6.2843972499999984E-2</v>
      </c>
      <c r="AD178">
        <f>VLOOKUP($A178,raw[],30,FALSE)*(1-interactive!$C$7)</f>
        <v>7.0325014995741616E-3</v>
      </c>
      <c r="AE178">
        <f>VLOOKUP($A178,raw[],31,FALSE)*(1-interactive!$C$7)</f>
        <v>2.0720160424331745E-3</v>
      </c>
      <c r="AF178">
        <f>VLOOKUP($A178,raw[],32,FALSE)*(1-interactive!$C$7)</f>
        <v>1.4784362864852687E-3</v>
      </c>
      <c r="AG178">
        <f>VLOOKUP($A178,raw[],33,FALSE)*(1-interactive!$C$7)</f>
        <v>2.1975923557773142E-3</v>
      </c>
      <c r="AH178">
        <f>VLOOKUP($A178,raw[],34,FALSE)*(1-interactive!$C$7)</f>
        <v>3.3062223560631492E-3</v>
      </c>
      <c r="AI178">
        <f>VLOOKUP($A178,raw[],35,FALSE)*(1-interactive!$C$7)</f>
        <v>4.3245213329453237E-3</v>
      </c>
      <c r="AJ178">
        <f>VLOOKUP($A178,raw[],36,FALSE)*(1-interactive!$C$7)</f>
        <v>5.460672839493726E-3</v>
      </c>
      <c r="AK178">
        <f>VLOOKUP($A178,raw[],37,FALSE)*(1-interactive!$C$7)</f>
        <v>7.0529338480466372E-3</v>
      </c>
      <c r="AL178">
        <f>VLOOKUP($A178,raw[],38,FALSE)*(1-interactive!$C$7)</f>
        <v>8.5941830062900432E-3</v>
      </c>
      <c r="AM178">
        <f>VLOOKUP($A178,raw[],39,FALSE)*(1-interactive!$C$7)</f>
        <v>1.031868511665863E-2</v>
      </c>
      <c r="AN178">
        <f>VLOOKUP($A178,raw[],40,FALSE)*(1-interactive!$C$7)</f>
        <v>1.3291550160942842E-2</v>
      </c>
      <c r="AO178">
        <f>VLOOKUP($A178,raw[],41,FALSE)*(1-interactive!$C$7)</f>
        <v>1.6868396220487771E-2</v>
      </c>
      <c r="AP178">
        <f>VLOOKUP($A178,raw[],42,FALSE)*(1-interactive!$C$7)</f>
        <v>2.3743236138277043E-2</v>
      </c>
      <c r="AQ178">
        <f>VLOOKUP($A178,raw[],43,FALSE)*(1-interactive!$C$7)</f>
        <v>3.4743070910664253E-2</v>
      </c>
      <c r="AR178">
        <f>VLOOKUP($A178,raw[],44,FALSE)*(1-interactive!$C$7)</f>
        <v>5.1841381128399672E-2</v>
      </c>
      <c r="AS178">
        <f>VLOOKUP($A178,raw[],45,FALSE)*(1-interactive!$C$7)</f>
        <v>7.6238218589578785E-2</v>
      </c>
      <c r="AT178">
        <f>VLOOKUP($A178,raw[],46,FALSE)*(1-interactive!$C$7)</f>
        <v>0.11013495151816302</v>
      </c>
      <c r="AU178">
        <f>VLOOKUP($A178,raw[],47,FALSE)*(1-interactive!$C$7)</f>
        <v>0.14639352450765597</v>
      </c>
      <c r="AV178">
        <f>VLOOKUP($A178,raw[],48,FALSE)*(1-interactive!$C$7)</f>
        <v>0.17255950588916485</v>
      </c>
      <c r="AW178">
        <f>VLOOKUP($A178,raw[],49,FALSE)*(1-interactive!$C$7)</f>
        <v>0.17972686429455786</v>
      </c>
      <c r="AX178">
        <f>VLOOKUP($A178,raw[],50,FALSE)*(1-interactive!$C$7)</f>
        <v>55.3337</v>
      </c>
    </row>
    <row r="179" spans="1:50" x14ac:dyDescent="0.25">
      <c r="A179" t="s">
        <v>301</v>
      </c>
      <c r="B179" t="s">
        <v>302</v>
      </c>
      <c r="C179">
        <v>232</v>
      </c>
      <c r="D179" t="s">
        <v>207</v>
      </c>
      <c r="E179" t="s">
        <v>255</v>
      </c>
      <c r="F179" t="s">
        <v>211</v>
      </c>
      <c r="G179" t="s">
        <v>198</v>
      </c>
      <c r="J179">
        <f>VLOOKUP(raw_lb[[#This Row],[setting]],raw[],10,FALSE)*(1-interactive!$C$7)</f>
        <v>0.32014999999999999</v>
      </c>
      <c r="K179">
        <f>VLOOKUP(raw_lb[[#This Row],[setting]],raw[],11,FALSE)*(1-interactive!$C$7)</f>
        <v>0</v>
      </c>
      <c r="L179">
        <f>VLOOKUP(raw_lb[[#This Row],[setting]],raw[],12,FALSE)*(1-interactive!$C$7)</f>
        <v>0.90249999999999997</v>
      </c>
      <c r="M179">
        <v>2.6099999999999998E-2</v>
      </c>
      <c r="N179">
        <v>0.15560000000000002</v>
      </c>
      <c r="O179">
        <v>7.0000000000000007E-2</v>
      </c>
      <c r="P179">
        <v>1E-3</v>
      </c>
      <c r="Q179">
        <v>0.55798235294117704</v>
      </c>
      <c r="R179">
        <v>7.6188823529411778</v>
      </c>
      <c r="S179">
        <v>37.013160313507775</v>
      </c>
      <c r="T179">
        <v>37.103865900767993</v>
      </c>
      <c r="U179">
        <v>37.062215812369963</v>
      </c>
      <c r="V179">
        <v>1.6482717984470623</v>
      </c>
      <c r="W179">
        <v>6.2367717984470623</v>
      </c>
      <c r="X179">
        <v>1.1780859729427162</v>
      </c>
      <c r="Y179">
        <v>5.7665859729427158</v>
      </c>
      <c r="Z179">
        <v>5.7652183214178603</v>
      </c>
      <c r="AA179">
        <v>1.7899519488922189</v>
      </c>
      <c r="AB179">
        <v>6.3784519488922182</v>
      </c>
      <c r="AC179">
        <f>VLOOKUP($A179,raw[],29,FALSE)*(1-interactive!$C$7)</f>
        <v>3.2987572000000034E-2</v>
      </c>
      <c r="AD179">
        <f>VLOOKUP($A179,raw[],30,FALSE)*(1-interactive!$C$7)</f>
        <v>2.354196426714068E-3</v>
      </c>
      <c r="AE179">
        <f>VLOOKUP($A179,raw[],31,FALSE)*(1-interactive!$C$7)</f>
        <v>7.9958970314396142E-4</v>
      </c>
      <c r="AF179">
        <f>VLOOKUP($A179,raw[],32,FALSE)*(1-interactive!$C$7)</f>
        <v>6.0446120225821716E-4</v>
      </c>
      <c r="AG179">
        <f>VLOOKUP($A179,raw[],33,FALSE)*(1-interactive!$C$7)</f>
        <v>1.1665954907118922E-3</v>
      </c>
      <c r="AH179">
        <f>VLOOKUP($A179,raw[],34,FALSE)*(1-interactive!$C$7)</f>
        <v>1.6585412495618913E-3</v>
      </c>
      <c r="AI179">
        <f>VLOOKUP($A179,raw[],35,FALSE)*(1-interactive!$C$7)</f>
        <v>2.1936643721107629E-3</v>
      </c>
      <c r="AJ179">
        <f>VLOOKUP($A179,raw[],36,FALSE)*(1-interactive!$C$7)</f>
        <v>2.9384925047704984E-3</v>
      </c>
      <c r="AK179">
        <f>VLOOKUP($A179,raw[],37,FALSE)*(1-interactive!$C$7)</f>
        <v>3.8138668748455484E-3</v>
      </c>
      <c r="AL179">
        <f>VLOOKUP($A179,raw[],38,FALSE)*(1-interactive!$C$7)</f>
        <v>5.5136604780383737E-3</v>
      </c>
      <c r="AM179">
        <f>VLOOKUP($A179,raw[],39,FALSE)*(1-interactive!$C$7)</f>
        <v>7.4586259146776444E-3</v>
      </c>
      <c r="AN179">
        <f>VLOOKUP($A179,raw[],40,FALSE)*(1-interactive!$C$7)</f>
        <v>1.1021435694162324E-2</v>
      </c>
      <c r="AO179">
        <f>VLOOKUP($A179,raw[],41,FALSE)*(1-interactive!$C$7)</f>
        <v>1.597840245787617E-2</v>
      </c>
      <c r="AP179">
        <f>VLOOKUP($A179,raw[],42,FALSE)*(1-interactive!$C$7)</f>
        <v>2.2889156730975253E-2</v>
      </c>
      <c r="AQ179">
        <f>VLOOKUP($A179,raw[],43,FALSE)*(1-interactive!$C$7)</f>
        <v>3.22200495428175E-2</v>
      </c>
      <c r="AR179">
        <f>VLOOKUP($A179,raw[],44,FALSE)*(1-interactive!$C$7)</f>
        <v>4.7625655228462363E-2</v>
      </c>
      <c r="AS179">
        <f>VLOOKUP($A179,raw[],45,FALSE)*(1-interactive!$C$7)</f>
        <v>6.532748028156532E-2</v>
      </c>
      <c r="AT179">
        <f>VLOOKUP($A179,raw[],46,FALSE)*(1-interactive!$C$7)</f>
        <v>9.0879935661726877E-2</v>
      </c>
      <c r="AU179">
        <f>VLOOKUP($A179,raw[],47,FALSE)*(1-interactive!$C$7)</f>
        <v>0.11577903657424811</v>
      </c>
      <c r="AV179">
        <f>VLOOKUP($A179,raw[],48,FALSE)*(1-interactive!$C$7)</f>
        <v>0.13632632460170516</v>
      </c>
      <c r="AW179">
        <f>VLOOKUP($A179,raw[],49,FALSE)*(1-interactive!$C$7)</f>
        <v>0.1532700360640826</v>
      </c>
      <c r="AX179">
        <f>VLOOKUP($A179,raw[],50,FALSE)*(1-interactive!$C$7)</f>
        <v>62.455849999999991</v>
      </c>
    </row>
    <row r="180" spans="1:50" x14ac:dyDescent="0.25">
      <c r="A180" t="s">
        <v>303</v>
      </c>
      <c r="B180" t="s">
        <v>304</v>
      </c>
      <c r="C180">
        <v>748</v>
      </c>
      <c r="D180" t="s">
        <v>207</v>
      </c>
      <c r="E180" t="s">
        <v>245</v>
      </c>
      <c r="F180" t="s">
        <v>211</v>
      </c>
      <c r="G180" t="s">
        <v>212</v>
      </c>
      <c r="J180">
        <f>VLOOKUP(raw_lb[[#This Row],[setting]],raw[],10,FALSE)*(1-interactive!$C$7)</f>
        <v>0.83314999999999995</v>
      </c>
      <c r="K180">
        <f>VLOOKUP(raw_lb[[#This Row],[setting]],raw[],11,FALSE)*(1-interactive!$C$7)</f>
        <v>0</v>
      </c>
      <c r="L180">
        <f>VLOOKUP(raw_lb[[#This Row],[setting]],raw[],12,FALSE)*(1-interactive!$C$7)</f>
        <v>0.78849999999999998</v>
      </c>
      <c r="M180">
        <v>3.4999999999999996E-3</v>
      </c>
      <c r="N180">
        <v>0.15109999999999998</v>
      </c>
      <c r="O180">
        <v>7.0000000000000007E-2</v>
      </c>
      <c r="P180">
        <v>1E-3</v>
      </c>
      <c r="Q180">
        <v>1.363417358892439</v>
      </c>
      <c r="R180">
        <v>8.4243173588924396</v>
      </c>
      <c r="S180">
        <v>42.178197859136688</v>
      </c>
      <c r="T180">
        <v>44.537924195187848</v>
      </c>
      <c r="U180">
        <v>43.454387739933651</v>
      </c>
      <c r="V180">
        <v>3.0017711756914398</v>
      </c>
      <c r="W180">
        <v>7.5902711756914396</v>
      </c>
      <c r="X180">
        <v>2.5259361948511736</v>
      </c>
      <c r="Y180">
        <v>7.114436194851173</v>
      </c>
      <c r="Z180">
        <v>7.1095052633559828</v>
      </c>
      <c r="AA180">
        <v>3.1608830054588641</v>
      </c>
      <c r="AB180">
        <v>7.7493830054588635</v>
      </c>
      <c r="AC180">
        <f>VLOOKUP($A180,raw[],29,FALSE)*(1-interactive!$C$7)</f>
        <v>3.9296541000000018E-2</v>
      </c>
      <c r="AD180">
        <f>VLOOKUP($A180,raw[],30,FALSE)*(1-interactive!$C$7)</f>
        <v>3.2356439501565501E-3</v>
      </c>
      <c r="AE180">
        <f>VLOOKUP($A180,raw[],31,FALSE)*(1-interactive!$C$7)</f>
        <v>9.3129185945059663E-4</v>
      </c>
      <c r="AF180">
        <f>VLOOKUP($A180,raw[],32,FALSE)*(1-interactive!$C$7)</f>
        <v>8.246725724544592E-4</v>
      </c>
      <c r="AG180">
        <f>VLOOKUP($A180,raw[],33,FALSE)*(1-interactive!$C$7)</f>
        <v>1.3738338004683525E-3</v>
      </c>
      <c r="AH180">
        <f>VLOOKUP($A180,raw[],34,FALSE)*(1-interactive!$C$7)</f>
        <v>2.5788590094942888E-3</v>
      </c>
      <c r="AI180">
        <f>VLOOKUP($A180,raw[],35,FALSE)*(1-interactive!$C$7)</f>
        <v>4.8579968408584773E-3</v>
      </c>
      <c r="AJ180">
        <f>VLOOKUP($A180,raw[],36,FALSE)*(1-interactive!$C$7)</f>
        <v>7.4965187087157065E-3</v>
      </c>
      <c r="AK180">
        <f>VLOOKUP($A180,raw[],37,FALSE)*(1-interactive!$C$7)</f>
        <v>1.1251743117868637E-2</v>
      </c>
      <c r="AL180">
        <f>VLOOKUP($A180,raw[],38,FALSE)*(1-interactive!$C$7)</f>
        <v>1.3085864766131525E-2</v>
      </c>
      <c r="AM180">
        <f>VLOOKUP($A180,raw[],39,FALSE)*(1-interactive!$C$7)</f>
        <v>1.565022910591805E-2</v>
      </c>
      <c r="AN180">
        <f>VLOOKUP($A180,raw[],40,FALSE)*(1-interactive!$C$7)</f>
        <v>1.8232453880625457E-2</v>
      </c>
      <c r="AO180">
        <f>VLOOKUP($A180,raw[],41,FALSE)*(1-interactive!$C$7)</f>
        <v>2.1267433992478435E-2</v>
      </c>
      <c r="AP180">
        <f>VLOOKUP($A180,raw[],42,FALSE)*(1-interactive!$C$7)</f>
        <v>2.5764581718567808E-2</v>
      </c>
      <c r="AQ180">
        <f>VLOOKUP($A180,raw[],43,FALSE)*(1-interactive!$C$7)</f>
        <v>3.3179558993921422E-2</v>
      </c>
      <c r="AR180">
        <f>VLOOKUP($A180,raw[],44,FALSE)*(1-interactive!$C$7)</f>
        <v>4.5345093314553109E-2</v>
      </c>
      <c r="AS180">
        <f>VLOOKUP($A180,raw[],45,FALSE)*(1-interactive!$C$7)</f>
        <v>6.3244428377568371E-2</v>
      </c>
      <c r="AT180">
        <f>VLOOKUP($A180,raw[],46,FALSE)*(1-interactive!$C$7)</f>
        <v>9.2618213730883553E-2</v>
      </c>
      <c r="AU180">
        <f>VLOOKUP($A180,raw[],47,FALSE)*(1-interactive!$C$7)</f>
        <v>0.13046748184065479</v>
      </c>
      <c r="AV180">
        <f>VLOOKUP($A180,raw[],48,FALSE)*(1-interactive!$C$7)</f>
        <v>0.1610155702387864</v>
      </c>
      <c r="AW180">
        <f>VLOOKUP($A180,raw[],49,FALSE)*(1-interactive!$C$7)</f>
        <v>0.17383584076451813</v>
      </c>
      <c r="AX180">
        <f>VLOOKUP($A180,raw[],50,FALSE)*(1-interactive!$C$7)</f>
        <v>56.348299999999995</v>
      </c>
    </row>
    <row r="181" spans="1:50" x14ac:dyDescent="0.25">
      <c r="A181" t="s">
        <v>305</v>
      </c>
      <c r="B181" t="s">
        <v>306</v>
      </c>
      <c r="C181">
        <v>231</v>
      </c>
      <c r="D181" t="s">
        <v>207</v>
      </c>
      <c r="E181" t="s">
        <v>255</v>
      </c>
      <c r="F181" t="s">
        <v>211</v>
      </c>
      <c r="G181" t="s">
        <v>198</v>
      </c>
      <c r="J181">
        <f>VLOOKUP(raw_lb[[#This Row],[setting]],raw[],10,FALSE)*(1-interactive!$C$7)</f>
        <v>0.45124999999999998</v>
      </c>
      <c r="K181">
        <f>VLOOKUP(raw_lb[[#This Row],[setting]],raw[],11,FALSE)*(1-interactive!$C$7)</f>
        <v>0</v>
      </c>
      <c r="L181">
        <f>VLOOKUP(raw_lb[[#This Row],[setting]],raw[],12,FALSE)*(1-interactive!$C$7)</f>
        <v>0.67449999999999999</v>
      </c>
      <c r="M181">
        <v>4.4299999999999999E-2</v>
      </c>
      <c r="N181">
        <v>0.15560000000000002</v>
      </c>
      <c r="O181">
        <v>7.0000000000000007E-2</v>
      </c>
      <c r="P181">
        <v>1E-3</v>
      </c>
      <c r="Q181">
        <v>0.59239518855656703</v>
      </c>
      <c r="R181">
        <v>7.6532951885565677</v>
      </c>
      <c r="S181">
        <v>37.192150480675082</v>
      </c>
      <c r="T181">
        <v>37.358103515864435</v>
      </c>
      <c r="U181">
        <v>37.281901389905769</v>
      </c>
      <c r="V181">
        <v>0.70270446674397824</v>
      </c>
      <c r="W181">
        <v>5.2912044667439782</v>
      </c>
      <c r="X181">
        <v>0.23145436605854927</v>
      </c>
      <c r="Y181">
        <v>4.8199543660585489</v>
      </c>
      <c r="Z181">
        <v>4.8179051942175457</v>
      </c>
      <c r="AA181">
        <v>0.84766866631933357</v>
      </c>
      <c r="AB181">
        <v>5.4361686663193334</v>
      </c>
      <c r="AC181">
        <f>VLOOKUP($A181,raw[],29,FALSE)*(1-interactive!$C$7)</f>
        <v>3.5162103000000049E-2</v>
      </c>
      <c r="AD181">
        <f>VLOOKUP($A181,raw[],30,FALSE)*(1-interactive!$C$7)</f>
        <v>4.4093999748241446E-3</v>
      </c>
      <c r="AE181">
        <f>VLOOKUP($A181,raw[],31,FALSE)*(1-interactive!$C$7)</f>
        <v>1.8938733745861643E-3</v>
      </c>
      <c r="AF181">
        <f>VLOOKUP($A181,raw[],32,FALSE)*(1-interactive!$C$7)</f>
        <v>1.4681948499645611E-3</v>
      </c>
      <c r="AG181">
        <f>VLOOKUP($A181,raw[],33,FALSE)*(1-interactive!$C$7)</f>
        <v>1.8098240463444058E-3</v>
      </c>
      <c r="AH181">
        <f>VLOOKUP($A181,raw[],34,FALSE)*(1-interactive!$C$7)</f>
        <v>2.23033264524364E-3</v>
      </c>
      <c r="AI181">
        <f>VLOOKUP($A181,raw[],35,FALSE)*(1-interactive!$C$7)</f>
        <v>2.5742652555131289E-3</v>
      </c>
      <c r="AJ181">
        <f>VLOOKUP($A181,raw[],36,FALSE)*(1-interactive!$C$7)</f>
        <v>3.257865104175783E-3</v>
      </c>
      <c r="AK181">
        <f>VLOOKUP($A181,raw[],37,FALSE)*(1-interactive!$C$7)</f>
        <v>4.5089541624591242E-3</v>
      </c>
      <c r="AL181">
        <f>VLOOKUP($A181,raw[],38,FALSE)*(1-interactive!$C$7)</f>
        <v>5.4890127004894951E-3</v>
      </c>
      <c r="AM181">
        <f>VLOOKUP($A181,raw[],39,FALSE)*(1-interactive!$C$7)</f>
        <v>6.3964443547863507E-3</v>
      </c>
      <c r="AN181">
        <f>VLOOKUP($A181,raw[],40,FALSE)*(1-interactive!$C$7)</f>
        <v>8.2000472172050476E-3</v>
      </c>
      <c r="AO181">
        <f>VLOOKUP($A181,raw[],41,FALSE)*(1-interactive!$C$7)</f>
        <v>1.0542759618258613E-2</v>
      </c>
      <c r="AP181">
        <f>VLOOKUP($A181,raw[],42,FALSE)*(1-interactive!$C$7)</f>
        <v>1.5923741319656827E-2</v>
      </c>
      <c r="AQ181">
        <f>VLOOKUP($A181,raw[],43,FALSE)*(1-interactive!$C$7)</f>
        <v>2.4647634230856311E-2</v>
      </c>
      <c r="AR181">
        <f>VLOOKUP($A181,raw[],44,FALSE)*(1-interactive!$C$7)</f>
        <v>3.8472241853457559E-2</v>
      </c>
      <c r="AS181">
        <f>VLOOKUP($A181,raw[],45,FALSE)*(1-interactive!$C$7)</f>
        <v>5.8978491540945345E-2</v>
      </c>
      <c r="AT181">
        <f>VLOOKUP($A181,raw[],46,FALSE)*(1-interactive!$C$7)</f>
        <v>8.6810322709149887E-2</v>
      </c>
      <c r="AU181">
        <f>VLOOKUP($A181,raw[],47,FALSE)*(1-interactive!$C$7)</f>
        <v>0.11800026936319949</v>
      </c>
      <c r="AV181">
        <f>VLOOKUP($A181,raw[],48,FALSE)*(1-interactive!$C$7)</f>
        <v>0.14546619533078509</v>
      </c>
      <c r="AW181">
        <f>VLOOKUP($A181,raw[],49,FALSE)*(1-interactive!$C$7)</f>
        <v>0.16454652426176095</v>
      </c>
      <c r="AX181">
        <f>VLOOKUP($A181,raw[],50,FALSE)*(1-interactive!$C$7)</f>
        <v>62.668649999999992</v>
      </c>
    </row>
    <row r="182" spans="1:50" x14ac:dyDescent="0.25">
      <c r="A182" t="s">
        <v>307</v>
      </c>
      <c r="B182" t="s">
        <v>308</v>
      </c>
      <c r="C182">
        <v>242</v>
      </c>
      <c r="D182" t="s">
        <v>260</v>
      </c>
      <c r="E182" t="s">
        <v>309</v>
      </c>
      <c r="F182" t="s">
        <v>262</v>
      </c>
      <c r="G182" t="s">
        <v>204</v>
      </c>
      <c r="J182">
        <f>VLOOKUP(raw_lb[[#This Row],[setting]],raw[],10,FALSE)*(1-interactive!$C$7)</f>
        <v>0.93764999999999998</v>
      </c>
      <c r="K182">
        <f>VLOOKUP(raw_lb[[#This Row],[setting]],raw[],11,FALSE)*(1-interactive!$C$7)</f>
        <v>0.9405</v>
      </c>
      <c r="L182">
        <f>VLOOKUP(raw_lb[[#This Row],[setting]],raw[],12,FALSE)*(1-interactive!$C$7)</f>
        <v>0.9405</v>
      </c>
      <c r="M182">
        <v>2.3799999999999998E-2</v>
      </c>
      <c r="N182">
        <v>0.1832</v>
      </c>
      <c r="O182">
        <v>0.7</v>
      </c>
      <c r="P182">
        <v>0.05</v>
      </c>
      <c r="Q182">
        <v>1.206245101281521</v>
      </c>
      <c r="R182">
        <v>8.2671451012815211</v>
      </c>
      <c r="S182">
        <v>41.72065521480279</v>
      </c>
      <c r="T182">
        <v>43.924049262854318</v>
      </c>
      <c r="U182">
        <v>42.912297289805949</v>
      </c>
      <c r="V182">
        <v>4.5025533774667448</v>
      </c>
      <c r="W182">
        <v>5.1010533774667444</v>
      </c>
      <c r="X182">
        <v>4.0283217253072356</v>
      </c>
      <c r="Y182">
        <v>4.6268217253072352</v>
      </c>
      <c r="Z182">
        <v>4.6229132418876562</v>
      </c>
      <c r="AA182">
        <v>4.656717793019264</v>
      </c>
      <c r="AB182">
        <v>5.2552177930192636</v>
      </c>
      <c r="AC182">
        <f>VLOOKUP($A182,raw[],29,FALSE)*(1-interactive!$C$7)</f>
        <v>1.9311115499999962E-2</v>
      </c>
      <c r="AD182">
        <f>VLOOKUP($A182,raw[],30,FALSE)*(1-interactive!$C$7)</f>
        <v>1.0417516972074687E-3</v>
      </c>
      <c r="AE182">
        <f>VLOOKUP($A182,raw[],31,FALSE)*(1-interactive!$C$7)</f>
        <v>6.918383779126664E-4</v>
      </c>
      <c r="AF182">
        <f>VLOOKUP($A182,raw[],32,FALSE)*(1-interactive!$C$7)</f>
        <v>6.44820929259868E-4</v>
      </c>
      <c r="AG182">
        <f>VLOOKUP($A182,raw[],33,FALSE)*(1-interactive!$C$7)</f>
        <v>1.4426180520434157E-3</v>
      </c>
      <c r="AH182">
        <f>VLOOKUP($A182,raw[],34,FALSE)*(1-interactive!$C$7)</f>
        <v>2.0485197527218306E-3</v>
      </c>
      <c r="AI182">
        <f>VLOOKUP($A182,raw[],35,FALSE)*(1-interactive!$C$7)</f>
        <v>2.2719517559361209E-3</v>
      </c>
      <c r="AJ182">
        <f>VLOOKUP($A182,raw[],36,FALSE)*(1-interactive!$C$7)</f>
        <v>2.6637939674999359E-3</v>
      </c>
      <c r="AK182">
        <f>VLOOKUP($A182,raw[],37,FALSE)*(1-interactive!$C$7)</f>
        <v>3.4118787053580577E-3</v>
      </c>
      <c r="AL182">
        <f>VLOOKUP($A182,raw[],38,FALSE)*(1-interactive!$C$7)</f>
        <v>4.5968987941880438E-3</v>
      </c>
      <c r="AM182">
        <f>VLOOKUP($A182,raw[],39,FALSE)*(1-interactive!$C$7)</f>
        <v>6.5232681946210168E-3</v>
      </c>
      <c r="AN182">
        <f>VLOOKUP($A182,raw[],40,FALSE)*(1-interactive!$C$7)</f>
        <v>9.4186823787848675E-3</v>
      </c>
      <c r="AO182">
        <f>VLOOKUP($A182,raw[],41,FALSE)*(1-interactive!$C$7)</f>
        <v>1.3680161373499804E-2</v>
      </c>
      <c r="AP182">
        <f>VLOOKUP($A182,raw[],42,FALSE)*(1-interactive!$C$7)</f>
        <v>2.1261964019802976E-2</v>
      </c>
      <c r="AQ182">
        <f>VLOOKUP($A182,raw[],43,FALSE)*(1-interactive!$C$7)</f>
        <v>3.3003889101246388E-2</v>
      </c>
      <c r="AR182">
        <f>VLOOKUP($A182,raw[],44,FALSE)*(1-interactive!$C$7)</f>
        <v>4.9636283591296411E-2</v>
      </c>
      <c r="AS182">
        <f>VLOOKUP($A182,raw[],45,FALSE)*(1-interactive!$C$7)</f>
        <v>7.2421474666782212E-2</v>
      </c>
      <c r="AT182">
        <f>VLOOKUP($A182,raw[],46,FALSE)*(1-interactive!$C$7)</f>
        <v>0.10209991821448858</v>
      </c>
      <c r="AU182">
        <f>VLOOKUP($A182,raw[],47,FALSE)*(1-interactive!$C$7)</f>
        <v>0.13400873228131649</v>
      </c>
      <c r="AV182">
        <f>VLOOKUP($A182,raw[],48,FALSE)*(1-interactive!$C$7)</f>
        <v>0.15902320655465324</v>
      </c>
      <c r="AW182">
        <f>VLOOKUP($A182,raw[],49,FALSE)*(1-interactive!$C$7)</f>
        <v>0.17439283883471171</v>
      </c>
      <c r="AX182">
        <f>VLOOKUP($A182,raw[],50,FALSE)*(1-interactive!$C$7)</f>
        <v>63.909349999999996</v>
      </c>
    </row>
    <row r="183" spans="1:50" x14ac:dyDescent="0.25">
      <c r="A183" t="s">
        <v>310</v>
      </c>
      <c r="B183" t="s">
        <v>311</v>
      </c>
      <c r="C183">
        <v>266</v>
      </c>
      <c r="D183" t="s">
        <v>207</v>
      </c>
      <c r="E183" t="s">
        <v>210</v>
      </c>
      <c r="F183" t="s">
        <v>211</v>
      </c>
      <c r="G183" t="s">
        <v>204</v>
      </c>
      <c r="J183">
        <f>VLOOKUP(raw_lb[[#This Row],[setting]],raw[],10,FALSE)*(1-interactive!$C$7)</f>
        <v>0.8569</v>
      </c>
      <c r="K183">
        <f>VLOOKUP(raw_lb[[#This Row],[setting]],raw[],11,FALSE)*(1-interactive!$C$7)</f>
        <v>0</v>
      </c>
      <c r="L183">
        <f>VLOOKUP(raw_lb[[#This Row],[setting]],raw[],12,FALSE)*(1-interactive!$C$7)</f>
        <v>0.59849999999999992</v>
      </c>
      <c r="M183">
        <v>6.4299999999999996E-2</v>
      </c>
      <c r="N183">
        <v>0.15279999999999999</v>
      </c>
      <c r="O183">
        <v>7.0000000000000007E-2</v>
      </c>
      <c r="P183">
        <v>1E-3</v>
      </c>
      <c r="Q183">
        <v>2.7737743017665202</v>
      </c>
      <c r="R183">
        <v>9.8346743017665208</v>
      </c>
      <c r="S183">
        <v>56.6386864859805</v>
      </c>
      <c r="T183">
        <v>65.790550246460924</v>
      </c>
      <c r="U183">
        <v>61.588207853404143</v>
      </c>
      <c r="V183">
        <v>1.4058861679932189</v>
      </c>
      <c r="W183">
        <v>5.9943861679932189</v>
      </c>
      <c r="X183">
        <v>0.92941501385222025</v>
      </c>
      <c r="Y183">
        <v>5.5179150138522202</v>
      </c>
      <c r="Z183">
        <v>5.5126369550540231</v>
      </c>
      <c r="AA183">
        <v>1.5669610468029036</v>
      </c>
      <c r="AB183">
        <v>6.1554610468029036</v>
      </c>
      <c r="AC183">
        <f>VLOOKUP($A183,raw[],29,FALSE)*(1-interactive!$C$7)</f>
        <v>3.3524597499999989E-2</v>
      </c>
      <c r="AD183">
        <f>VLOOKUP($A183,raw[],30,FALSE)*(1-interactive!$C$7)</f>
        <v>3.1181153277051476E-3</v>
      </c>
      <c r="AE183">
        <f>VLOOKUP($A183,raw[],31,FALSE)*(1-interactive!$C$7)</f>
        <v>1.3534280693666577E-3</v>
      </c>
      <c r="AF183">
        <f>VLOOKUP($A183,raw[],32,FALSE)*(1-interactive!$C$7)</f>
        <v>9.6602626120263367E-4</v>
      </c>
      <c r="AG183">
        <f>VLOOKUP($A183,raw[],33,FALSE)*(1-interactive!$C$7)</f>
        <v>1.5989832141181605E-3</v>
      </c>
      <c r="AH183">
        <f>VLOOKUP($A183,raw[],34,FALSE)*(1-interactive!$C$7)</f>
        <v>2.3295615822446995E-3</v>
      </c>
      <c r="AI183">
        <f>VLOOKUP($A183,raw[],35,FALSE)*(1-interactive!$C$7)</f>
        <v>2.6629354840562182E-3</v>
      </c>
      <c r="AJ183">
        <f>VLOOKUP($A183,raw[],36,FALSE)*(1-interactive!$C$7)</f>
        <v>3.0984537592486133E-3</v>
      </c>
      <c r="AK183">
        <f>VLOOKUP($A183,raw[],37,FALSE)*(1-interactive!$C$7)</f>
        <v>3.7690609189939992E-3</v>
      </c>
      <c r="AL183">
        <f>VLOOKUP($A183,raw[],38,FALSE)*(1-interactive!$C$7)</f>
        <v>4.7902333371076062E-3</v>
      </c>
      <c r="AM183">
        <f>VLOOKUP($A183,raw[],39,FALSE)*(1-interactive!$C$7)</f>
        <v>6.0982895688519731E-3</v>
      </c>
      <c r="AN183">
        <f>VLOOKUP($A183,raw[],40,FALSE)*(1-interactive!$C$7)</f>
        <v>8.7335098192560297E-3</v>
      </c>
      <c r="AO183">
        <f>VLOOKUP($A183,raw[],41,FALSE)*(1-interactive!$C$7)</f>
        <v>1.1757454620929968E-2</v>
      </c>
      <c r="AP183">
        <f>VLOOKUP($A183,raw[],42,FALSE)*(1-interactive!$C$7)</f>
        <v>1.7849342870911937E-2</v>
      </c>
      <c r="AQ183">
        <f>VLOOKUP($A183,raw[],43,FALSE)*(1-interactive!$C$7)</f>
        <v>2.7769974590210647E-2</v>
      </c>
      <c r="AR183">
        <f>VLOOKUP($A183,raw[],44,FALSE)*(1-interactive!$C$7)</f>
        <v>4.3199194108453326E-2</v>
      </c>
      <c r="AS183">
        <f>VLOOKUP($A183,raw[],45,FALSE)*(1-interactive!$C$7)</f>
        <v>6.6241749238480446E-2</v>
      </c>
      <c r="AT183">
        <f>VLOOKUP($A183,raw[],46,FALSE)*(1-interactive!$C$7)</f>
        <v>9.8942669141429129E-2</v>
      </c>
      <c r="AU183">
        <f>VLOOKUP($A183,raw[],47,FALSE)*(1-interactive!$C$7)</f>
        <v>0.1369401450028716</v>
      </c>
      <c r="AV183">
        <f>VLOOKUP($A183,raw[],48,FALSE)*(1-interactive!$C$7)</f>
        <v>0.16944594203960009</v>
      </c>
      <c r="AW183">
        <f>VLOOKUP($A183,raw[],49,FALSE)*(1-interactive!$C$7)</f>
        <v>0.18006395109623041</v>
      </c>
      <c r="AX183">
        <f>VLOOKUP($A183,raw[],50,FALSE)*(1-interactive!$C$7)</f>
        <v>62.756999999999998</v>
      </c>
    </row>
    <row r="184" spans="1:50" x14ac:dyDescent="0.25">
      <c r="A184" t="s">
        <v>312</v>
      </c>
      <c r="B184" t="s">
        <v>313</v>
      </c>
      <c r="C184">
        <v>270</v>
      </c>
      <c r="D184" t="s">
        <v>207</v>
      </c>
      <c r="E184" t="s">
        <v>235</v>
      </c>
      <c r="F184" t="s">
        <v>211</v>
      </c>
      <c r="G184" t="s">
        <v>198</v>
      </c>
      <c r="J184">
        <f>VLOOKUP(raw_lb[[#This Row],[setting]],raw[],10,FALSE)*(1-interactive!$C$7)</f>
        <v>0.79515000000000002</v>
      </c>
      <c r="K184">
        <f>VLOOKUP(raw_lb[[#This Row],[setting]],raw[],11,FALSE)*(1-interactive!$C$7)</f>
        <v>0</v>
      </c>
      <c r="L184">
        <f>VLOOKUP(raw_lb[[#This Row],[setting]],raw[],12,FALSE)*(1-interactive!$C$7)</f>
        <v>0.83599999999999997</v>
      </c>
      <c r="M184">
        <v>4.8899999999999999E-2</v>
      </c>
      <c r="N184">
        <v>0.155</v>
      </c>
      <c r="O184">
        <v>7.0000000000000007E-2</v>
      </c>
      <c r="P184">
        <v>1E-3</v>
      </c>
      <c r="Q184">
        <v>0.75020613884107901</v>
      </c>
      <c r="R184">
        <v>7.8111061388410796</v>
      </c>
      <c r="S184">
        <v>37.97487924852976</v>
      </c>
      <c r="T184">
        <v>38.466080166169576</v>
      </c>
      <c r="U184">
        <v>38.240531087454073</v>
      </c>
      <c r="V184">
        <v>1.6287937587711148</v>
      </c>
      <c r="W184">
        <v>6.217293758771115</v>
      </c>
      <c r="X184">
        <v>1.158141008427453</v>
      </c>
      <c r="Y184">
        <v>5.7466410084274528</v>
      </c>
      <c r="Z184">
        <v>5.744978873194059</v>
      </c>
      <c r="AA184">
        <v>1.7719147058633025</v>
      </c>
      <c r="AB184">
        <v>6.3604147058633025</v>
      </c>
      <c r="AC184">
        <f>VLOOKUP($A184,raw[],29,FALSE)*(1-interactive!$C$7)</f>
        <v>4.2604364999999984E-2</v>
      </c>
      <c r="AD184">
        <f>VLOOKUP($A184,raw[],30,FALSE)*(1-interactive!$C$7)</f>
        <v>5.7040059695129723E-3</v>
      </c>
      <c r="AE184">
        <f>VLOOKUP($A184,raw[],31,FALSE)*(1-interactive!$C$7)</f>
        <v>2.6773245326599093E-3</v>
      </c>
      <c r="AF184">
        <f>VLOOKUP($A184,raw[],32,FALSE)*(1-interactive!$C$7)</f>
        <v>1.6082463860066854E-3</v>
      </c>
      <c r="AG184">
        <f>VLOOKUP($A184,raw[],33,FALSE)*(1-interactive!$C$7)</f>
        <v>2.455014634454987E-3</v>
      </c>
      <c r="AH184">
        <f>VLOOKUP($A184,raw[],34,FALSE)*(1-interactive!$C$7)</f>
        <v>3.4584479732553313E-3</v>
      </c>
      <c r="AI184">
        <f>VLOOKUP($A184,raw[],35,FALSE)*(1-interactive!$C$7)</f>
        <v>3.6735064328116754E-3</v>
      </c>
      <c r="AJ184">
        <f>VLOOKUP($A184,raw[],36,FALSE)*(1-interactive!$C$7)</f>
        <v>4.0322536433814813E-3</v>
      </c>
      <c r="AK184">
        <f>VLOOKUP($A184,raw[],37,FALSE)*(1-interactive!$C$7)</f>
        <v>4.6114203964473469E-3</v>
      </c>
      <c r="AL184">
        <f>VLOOKUP($A184,raw[],38,FALSE)*(1-interactive!$C$7)</f>
        <v>5.6573517098135297E-3</v>
      </c>
      <c r="AM184">
        <f>VLOOKUP($A184,raw[],39,FALSE)*(1-interactive!$C$7)</f>
        <v>7.059889517203639E-3</v>
      </c>
      <c r="AN184">
        <f>VLOOKUP($A184,raw[],40,FALSE)*(1-interactive!$C$7)</f>
        <v>9.8679797518720445E-3</v>
      </c>
      <c r="AO184">
        <f>VLOOKUP($A184,raw[],41,FALSE)*(1-interactive!$C$7)</f>
        <v>1.4072912287804128E-2</v>
      </c>
      <c r="AP184">
        <f>VLOOKUP($A184,raw[],42,FALSE)*(1-interactive!$C$7)</f>
        <v>2.1803461821369313E-2</v>
      </c>
      <c r="AQ184">
        <f>VLOOKUP($A184,raw[],43,FALSE)*(1-interactive!$C$7)</f>
        <v>3.3333580204147228E-2</v>
      </c>
      <c r="AR184">
        <f>VLOOKUP($A184,raw[],44,FALSE)*(1-interactive!$C$7)</f>
        <v>5.3073187375583544E-2</v>
      </c>
      <c r="AS184">
        <f>VLOOKUP($A184,raw[],45,FALSE)*(1-interactive!$C$7)</f>
        <v>8.1235876887834416E-2</v>
      </c>
      <c r="AT184">
        <f>VLOOKUP($A184,raw[],46,FALSE)*(1-interactive!$C$7)</f>
        <v>0.11554091466714306</v>
      </c>
      <c r="AU184">
        <f>VLOOKUP($A184,raw[],47,FALSE)*(1-interactive!$C$7)</f>
        <v>0.14686501041700345</v>
      </c>
      <c r="AV184">
        <f>VLOOKUP($A184,raw[],48,FALSE)*(1-interactive!$C$7)</f>
        <v>0.16832994675359839</v>
      </c>
      <c r="AW184">
        <f>VLOOKUP($A184,raw[],49,FALSE)*(1-interactive!$C$7)</f>
        <v>0.17842054837653804</v>
      </c>
      <c r="AX184">
        <f>VLOOKUP($A184,raw[],50,FALSE)*(1-interactive!$C$7)</f>
        <v>58.459199999999996</v>
      </c>
    </row>
    <row r="185" spans="1:50" x14ac:dyDescent="0.25">
      <c r="A185" t="s">
        <v>314</v>
      </c>
      <c r="B185" t="s">
        <v>315</v>
      </c>
      <c r="C185">
        <v>268</v>
      </c>
      <c r="D185" t="s">
        <v>201</v>
      </c>
      <c r="E185" t="s">
        <v>220</v>
      </c>
      <c r="F185" t="s">
        <v>203</v>
      </c>
      <c r="G185" t="s">
        <v>204</v>
      </c>
      <c r="J185">
        <f>VLOOKUP(raw_lb[[#This Row],[setting]],raw[],10,FALSE)*(1-interactive!$C$7)</f>
        <v>0.94430000000000003</v>
      </c>
      <c r="K185">
        <f>VLOOKUP(raw_lb[[#This Row],[setting]],raw[],11,FALSE)*(1-interactive!$C$7)</f>
        <v>0.92149999999999999</v>
      </c>
      <c r="L185">
        <f>VLOOKUP(raw_lb[[#This Row],[setting]],raw[],12,FALSE)*(1-interactive!$C$7)</f>
        <v>0.83599999999999997</v>
      </c>
      <c r="M185">
        <v>1.37E-2</v>
      </c>
      <c r="N185">
        <v>0.16309999999999999</v>
      </c>
      <c r="O185">
        <v>0.7</v>
      </c>
      <c r="P185">
        <v>0.05</v>
      </c>
      <c r="Q185">
        <v>1.1513712173754331</v>
      </c>
      <c r="R185">
        <v>8.2122712173754344</v>
      </c>
      <c r="S185">
        <v>41.568939493028665</v>
      </c>
      <c r="T185">
        <v>43.721930749203239</v>
      </c>
      <c r="U185">
        <v>42.733322672805471</v>
      </c>
      <c r="V185">
        <v>2.6668107965090204</v>
      </c>
      <c r="W185">
        <v>6.5333107965090207</v>
      </c>
      <c r="X185">
        <v>2.1931039718026915</v>
      </c>
      <c r="Y185">
        <v>6.0596039718026917</v>
      </c>
      <c r="Z185">
        <v>6.055651859593258</v>
      </c>
      <c r="AA185">
        <v>2.8193557444917228</v>
      </c>
      <c r="AB185">
        <v>6.6858557444917235</v>
      </c>
      <c r="AC185">
        <f>VLOOKUP($A185,raw[],29,FALSE)*(1-interactive!$C$7)</f>
        <v>8.9039130000000064E-3</v>
      </c>
      <c r="AD185">
        <f>VLOOKUP($A185,raw[],30,FALSE)*(1-interactive!$C$7)</f>
        <v>1.8807675692738155E-4</v>
      </c>
      <c r="AE185">
        <f>VLOOKUP($A185,raw[],31,FALSE)*(1-interactive!$C$7)</f>
        <v>1.9698639475120862E-4</v>
      </c>
      <c r="AF185">
        <f>VLOOKUP($A185,raw[],32,FALSE)*(1-interactive!$C$7)</f>
        <v>2.2803456988398595E-4</v>
      </c>
      <c r="AG185">
        <f>VLOOKUP($A185,raw[],33,FALSE)*(1-interactive!$C$7)</f>
        <v>4.3465509218341345E-4</v>
      </c>
      <c r="AH185">
        <f>VLOOKUP($A185,raw[],34,FALSE)*(1-interactive!$C$7)</f>
        <v>7.2242259465784208E-4</v>
      </c>
      <c r="AI185">
        <f>VLOOKUP($A185,raw[],35,FALSE)*(1-interactive!$C$7)</f>
        <v>8.9137162719387676E-4</v>
      </c>
      <c r="AJ185">
        <f>VLOOKUP($A185,raw[],36,FALSE)*(1-interactive!$C$7)</f>
        <v>1.3303069500812273E-3</v>
      </c>
      <c r="AK185">
        <f>VLOOKUP($A185,raw[],37,FALSE)*(1-interactive!$C$7)</f>
        <v>1.8894988651001015E-3</v>
      </c>
      <c r="AL185">
        <f>VLOOKUP($A185,raw[],38,FALSE)*(1-interactive!$C$7)</f>
        <v>2.9235568953067388E-3</v>
      </c>
      <c r="AM185">
        <f>VLOOKUP($A185,raw[],39,FALSE)*(1-interactive!$C$7)</f>
        <v>4.7825168660829802E-3</v>
      </c>
      <c r="AN185">
        <f>VLOOKUP($A185,raw[],40,FALSE)*(1-interactive!$C$7)</f>
        <v>7.0421947628930368E-3</v>
      </c>
      <c r="AO185">
        <f>VLOOKUP($A185,raw[],41,FALSE)*(1-interactive!$C$7)</f>
        <v>1.0367560802875628E-2</v>
      </c>
      <c r="AP185">
        <f>VLOOKUP($A185,raw[],42,FALSE)*(1-interactive!$C$7)</f>
        <v>1.4949187093698E-2</v>
      </c>
      <c r="AQ185">
        <f>VLOOKUP($A185,raw[],43,FALSE)*(1-interactive!$C$7)</f>
        <v>2.1272350176816668E-2</v>
      </c>
      <c r="AR185">
        <f>VLOOKUP($A185,raw[],44,FALSE)*(1-interactive!$C$7)</f>
        <v>3.4166567753713101E-2</v>
      </c>
      <c r="AS185">
        <f>VLOOKUP($A185,raw[],45,FALSE)*(1-interactive!$C$7)</f>
        <v>5.4617558325411424E-2</v>
      </c>
      <c r="AT185">
        <f>VLOOKUP($A185,raw[],46,FALSE)*(1-interactive!$C$7)</f>
        <v>8.1541878884387256E-2</v>
      </c>
      <c r="AU185">
        <f>VLOOKUP($A185,raw[],47,FALSE)*(1-interactive!$C$7)</f>
        <v>0.1124842764423932</v>
      </c>
      <c r="AV185">
        <f>VLOOKUP($A185,raw[],48,FALSE)*(1-interactive!$C$7)</f>
        <v>0.14368059472386119</v>
      </c>
      <c r="AW185">
        <f>VLOOKUP($A185,raw[],49,FALSE)*(1-interactive!$C$7)</f>
        <v>0.16582622208249978</v>
      </c>
      <c r="AX185">
        <f>VLOOKUP($A185,raw[],50,FALSE)*(1-interactive!$C$7)</f>
        <v>69.843999999999994</v>
      </c>
    </row>
    <row r="186" spans="1:50" x14ac:dyDescent="0.25">
      <c r="A186" t="s">
        <v>316</v>
      </c>
      <c r="B186" t="s">
        <v>317</v>
      </c>
      <c r="C186">
        <v>288</v>
      </c>
      <c r="D186" t="s">
        <v>207</v>
      </c>
      <c r="E186" t="s">
        <v>235</v>
      </c>
      <c r="F186" t="s">
        <v>211</v>
      </c>
      <c r="G186" t="s">
        <v>212</v>
      </c>
      <c r="J186">
        <f>VLOOKUP(raw_lb[[#This Row],[setting]],raw[],10,FALSE)*(1-interactive!$C$7)</f>
        <v>0.74004999999999999</v>
      </c>
      <c r="K186">
        <f>VLOOKUP(raw_lb[[#This Row],[setting]],raw[],11,FALSE)*(1-interactive!$C$7)</f>
        <v>0</v>
      </c>
      <c r="L186">
        <f>VLOOKUP(raw_lb[[#This Row],[setting]],raw[],12,FALSE)*(1-interactive!$C$7)</f>
        <v>0.8929999999999999</v>
      </c>
      <c r="M186">
        <v>8.1099999999999992E-2</v>
      </c>
      <c r="N186">
        <v>0.155</v>
      </c>
      <c r="O186">
        <v>7.0000000000000007E-2</v>
      </c>
      <c r="P186">
        <v>1E-3</v>
      </c>
      <c r="Q186">
        <v>0.73215882352941208</v>
      </c>
      <c r="R186">
        <v>7.793058823529412</v>
      </c>
      <c r="S186">
        <v>38.040545046332205</v>
      </c>
      <c r="T186">
        <v>38.57531571347856</v>
      </c>
      <c r="U186">
        <v>38.329760326736832</v>
      </c>
      <c r="V186">
        <v>1.4077169430173919</v>
      </c>
      <c r="W186">
        <v>5.9962169430173917</v>
      </c>
      <c r="X186">
        <v>0.93473558739585139</v>
      </c>
      <c r="Y186">
        <v>5.5232355873958507</v>
      </c>
      <c r="Z186">
        <v>5.5201243129923299</v>
      </c>
      <c r="AA186">
        <v>1.5580233006813196</v>
      </c>
      <c r="AB186">
        <v>6.1465233006813191</v>
      </c>
      <c r="AC186">
        <f>VLOOKUP($A186,raw[],29,FALSE)*(1-interactive!$C$7)</f>
        <v>3.3860469999999948E-2</v>
      </c>
      <c r="AD186">
        <f>VLOOKUP($A186,raw[],30,FALSE)*(1-interactive!$C$7)</f>
        <v>3.942363847677233E-3</v>
      </c>
      <c r="AE186">
        <f>VLOOKUP($A186,raw[],31,FALSE)*(1-interactive!$C$7)</f>
        <v>2.3074746421050778E-3</v>
      </c>
      <c r="AF186">
        <f>VLOOKUP($A186,raw[],32,FALSE)*(1-interactive!$C$7)</f>
        <v>1.4041120422952351E-3</v>
      </c>
      <c r="AG186">
        <f>VLOOKUP($A186,raw[],33,FALSE)*(1-interactive!$C$7)</f>
        <v>2.1566026500828279E-3</v>
      </c>
      <c r="AH186">
        <f>VLOOKUP($A186,raw[],34,FALSE)*(1-interactive!$C$7)</f>
        <v>3.0367460058125517E-3</v>
      </c>
      <c r="AI186">
        <f>VLOOKUP($A186,raw[],35,FALSE)*(1-interactive!$C$7)</f>
        <v>3.2470470817135121E-3</v>
      </c>
      <c r="AJ186">
        <f>VLOOKUP($A186,raw[],36,FALSE)*(1-interactive!$C$7)</f>
        <v>3.6091441365211298E-3</v>
      </c>
      <c r="AK186">
        <f>VLOOKUP($A186,raw[],37,FALSE)*(1-interactive!$C$7)</f>
        <v>4.164875663264127E-3</v>
      </c>
      <c r="AL186">
        <f>VLOOKUP($A186,raw[],38,FALSE)*(1-interactive!$C$7)</f>
        <v>5.188930369019313E-3</v>
      </c>
      <c r="AM186">
        <f>VLOOKUP($A186,raw[],39,FALSE)*(1-interactive!$C$7)</f>
        <v>6.5679747067226985E-3</v>
      </c>
      <c r="AN186">
        <f>VLOOKUP($A186,raw[],40,FALSE)*(1-interactive!$C$7)</f>
        <v>9.2935022459771574E-3</v>
      </c>
      <c r="AO186">
        <f>VLOOKUP($A186,raw[],41,FALSE)*(1-interactive!$C$7)</f>
        <v>1.3276652446905039E-2</v>
      </c>
      <c r="AP186">
        <f>VLOOKUP($A186,raw[],42,FALSE)*(1-interactive!$C$7)</f>
        <v>2.0575342755666227E-2</v>
      </c>
      <c r="AQ186">
        <f>VLOOKUP($A186,raw[],43,FALSE)*(1-interactive!$C$7)</f>
        <v>3.1726669034350487E-2</v>
      </c>
      <c r="AR186">
        <f>VLOOKUP($A186,raw[],44,FALSE)*(1-interactive!$C$7)</f>
        <v>5.096114033501202E-2</v>
      </c>
      <c r="AS186">
        <f>VLOOKUP($A186,raw[],45,FALSE)*(1-interactive!$C$7)</f>
        <v>7.8795092606656944E-2</v>
      </c>
      <c r="AT186">
        <f>VLOOKUP($A186,raw[],46,FALSE)*(1-interactive!$C$7)</f>
        <v>0.11067434401322583</v>
      </c>
      <c r="AU186">
        <f>VLOOKUP($A186,raw[],47,FALSE)*(1-interactive!$C$7)</f>
        <v>0.13975240939178965</v>
      </c>
      <c r="AV186">
        <f>VLOOKUP($A186,raw[],48,FALSE)*(1-interactive!$C$7)</f>
        <v>0.1612061128961976</v>
      </c>
      <c r="AW186">
        <f>VLOOKUP($A186,raw[],49,FALSE)*(1-interactive!$C$7)</f>
        <v>0.1758230607470728</v>
      </c>
      <c r="AX186">
        <f>VLOOKUP($A186,raw[],50,FALSE)*(1-interactive!$C$7)</f>
        <v>60.4694</v>
      </c>
    </row>
    <row r="187" spans="1:50" x14ac:dyDescent="0.25">
      <c r="A187" t="s">
        <v>318</v>
      </c>
      <c r="B187" t="s">
        <v>319</v>
      </c>
      <c r="C187">
        <v>308</v>
      </c>
      <c r="D187" t="s">
        <v>215</v>
      </c>
      <c r="E187" t="s">
        <v>232</v>
      </c>
      <c r="F187" t="s">
        <v>217</v>
      </c>
      <c r="G187" t="s">
        <v>204</v>
      </c>
      <c r="J187">
        <f>VLOOKUP(raw_lb[[#This Row],[setting]],raw[],10,FALSE)*(1-interactive!$C$7)</f>
        <v>0</v>
      </c>
      <c r="K187">
        <f>VLOOKUP(raw_lb[[#This Row],[setting]],raw[],11,FALSE)*(1-interactive!$C$7)</f>
        <v>0.874</v>
      </c>
      <c r="L187">
        <f>VLOOKUP(raw_lb[[#This Row],[setting]],raw[],12,FALSE)*(1-interactive!$C$7)</f>
        <v>0.68399999999999994</v>
      </c>
      <c r="M187">
        <v>3.8E-3</v>
      </c>
      <c r="N187">
        <v>0.16309999999999999</v>
      </c>
      <c r="O187">
        <v>0.7</v>
      </c>
      <c r="P187">
        <v>0.05</v>
      </c>
      <c r="Q187">
        <v>2.3935408980677502</v>
      </c>
      <c r="R187">
        <v>9.4544408980677517</v>
      </c>
      <c r="S187">
        <v>53.670268333696797</v>
      </c>
      <c r="T187">
        <v>61.475072392565579</v>
      </c>
      <c r="U187">
        <v>57.89127134127412</v>
      </c>
      <c r="V187">
        <v>5.7312306965521165</v>
      </c>
      <c r="W187">
        <v>5.7502306965521166</v>
      </c>
      <c r="X187">
        <v>5.2518234424162777</v>
      </c>
      <c r="Y187">
        <v>5.2708234424162779</v>
      </c>
      <c r="Z187">
        <v>5.2637381369128322</v>
      </c>
      <c r="AA187">
        <v>5.9013655410601666</v>
      </c>
      <c r="AB187">
        <v>5.9203655410601668</v>
      </c>
      <c r="AC187">
        <f>VLOOKUP($A187,raw[],29,FALSE)*(1-interactive!$C$7)</f>
        <v>1.4247862499999944E-2</v>
      </c>
      <c r="AD187">
        <f>VLOOKUP($A187,raw[],30,FALSE)*(1-interactive!$C$7)</f>
        <v>3.4898676627391332E-4</v>
      </c>
      <c r="AE187">
        <f>VLOOKUP($A187,raw[],31,FALSE)*(1-interactive!$C$7)</f>
        <v>3.6883636192051118E-4</v>
      </c>
      <c r="AF187">
        <f>VLOOKUP($A187,raw[],32,FALSE)*(1-interactive!$C$7)</f>
        <v>3.499004299464131E-4</v>
      </c>
      <c r="AG187">
        <f>VLOOKUP($A187,raw[],33,FALSE)*(1-interactive!$C$7)</f>
        <v>8.2157192205398427E-4</v>
      </c>
      <c r="AH187">
        <f>VLOOKUP($A187,raw[],34,FALSE)*(1-interactive!$C$7)</f>
        <v>1.1167280710455416E-3</v>
      </c>
      <c r="AI187">
        <f>VLOOKUP($A187,raw[],35,FALSE)*(1-interactive!$C$7)</f>
        <v>1.198159607033851E-3</v>
      </c>
      <c r="AJ187">
        <f>VLOOKUP($A187,raw[],36,FALSE)*(1-interactive!$C$7)</f>
        <v>1.4336507356103622E-3</v>
      </c>
      <c r="AK187">
        <f>VLOOKUP($A187,raw[],37,FALSE)*(1-interactive!$C$7)</f>
        <v>1.9322705454106915E-3</v>
      </c>
      <c r="AL187">
        <f>VLOOKUP($A187,raw[],38,FALSE)*(1-interactive!$C$7)</f>
        <v>2.8018530101010112E-3</v>
      </c>
      <c r="AM187">
        <f>VLOOKUP($A187,raw[],39,FALSE)*(1-interactive!$C$7)</f>
        <v>4.3059512992896648E-3</v>
      </c>
      <c r="AN187">
        <f>VLOOKUP($A187,raw[],40,FALSE)*(1-interactive!$C$7)</f>
        <v>6.6188395954782436E-3</v>
      </c>
      <c r="AO187">
        <f>VLOOKUP($A187,raw[],41,FALSE)*(1-interactive!$C$7)</f>
        <v>1.0137431963107391E-2</v>
      </c>
      <c r="AP187">
        <f>VLOOKUP($A187,raw[],42,FALSE)*(1-interactive!$C$7)</f>
        <v>1.5718894950576288E-2</v>
      </c>
      <c r="AQ187">
        <f>VLOOKUP($A187,raw[],43,FALSE)*(1-interactive!$C$7)</f>
        <v>2.411768066522493E-2</v>
      </c>
      <c r="AR187">
        <f>VLOOKUP($A187,raw[],44,FALSE)*(1-interactive!$C$7)</f>
        <v>3.6623710657482433E-2</v>
      </c>
      <c r="AS187">
        <f>VLOOKUP($A187,raw[],45,FALSE)*(1-interactive!$C$7)</f>
        <v>5.605169337633116E-2</v>
      </c>
      <c r="AT187">
        <f>VLOOKUP($A187,raw[],46,FALSE)*(1-interactive!$C$7)</f>
        <v>8.291855776175229E-2</v>
      </c>
      <c r="AU187">
        <f>VLOOKUP($A187,raw[],47,FALSE)*(1-interactive!$C$7)</f>
        <v>0.11464038658512794</v>
      </c>
      <c r="AV187">
        <f>VLOOKUP($A187,raw[],48,FALSE)*(1-interactive!$C$7)</f>
        <v>0.14384465882695935</v>
      </c>
      <c r="AW187">
        <f>VLOOKUP($A187,raw[],49,FALSE)*(1-interactive!$C$7)</f>
        <v>0.16582874069224438</v>
      </c>
      <c r="AX187">
        <f>VLOOKUP($A187,raw[],50,FALSE)*(1-interactive!$C$7)</f>
        <v>68.773349999999994</v>
      </c>
    </row>
    <row r="188" spans="1:50" x14ac:dyDescent="0.25">
      <c r="A188" t="s">
        <v>320</v>
      </c>
      <c r="B188" t="s">
        <v>321</v>
      </c>
      <c r="C188">
        <v>320</v>
      </c>
      <c r="D188" t="s">
        <v>215</v>
      </c>
      <c r="E188" t="s">
        <v>274</v>
      </c>
      <c r="F188" t="s">
        <v>217</v>
      </c>
      <c r="G188" t="s">
        <v>204</v>
      </c>
      <c r="J188">
        <f>VLOOKUP(raw_lb[[#This Row],[setting]],raw[],10,FALSE)*(1-interactive!$C$7)</f>
        <v>0.61749999999999994</v>
      </c>
      <c r="K188">
        <f>VLOOKUP(raw_lb[[#This Row],[setting]],raw[],11,FALSE)*(1-interactive!$C$7)</f>
        <v>0.45599999999999996</v>
      </c>
      <c r="L188">
        <f>VLOOKUP(raw_lb[[#This Row],[setting]],raw[],12,FALSE)*(1-interactive!$C$7)</f>
        <v>0.84549999999999992</v>
      </c>
      <c r="M188">
        <v>1.7000000000000001E-3</v>
      </c>
      <c r="N188">
        <v>0.16440000000000002</v>
      </c>
      <c r="O188">
        <v>0.7</v>
      </c>
      <c r="P188">
        <v>0.05</v>
      </c>
      <c r="Q188">
        <v>1.0943539085691669</v>
      </c>
      <c r="R188">
        <v>8.1552539085691684</v>
      </c>
      <c r="S188">
        <v>41.112221621663934</v>
      </c>
      <c r="T188">
        <v>43.057182705020139</v>
      </c>
      <c r="U188">
        <v>42.164097686782895</v>
      </c>
      <c r="V188">
        <v>1.6070811504409628</v>
      </c>
      <c r="W188">
        <v>1.6260811504409627</v>
      </c>
      <c r="X188">
        <v>1.1326379447038344</v>
      </c>
      <c r="Y188">
        <v>1.1516379447038343</v>
      </c>
      <c r="Z188">
        <v>1.1469715474550328</v>
      </c>
      <c r="AA188">
        <v>1.7618983598901337</v>
      </c>
      <c r="AB188">
        <v>1.7808983598901336</v>
      </c>
      <c r="AC188">
        <f>VLOOKUP($A188,raw[],29,FALSE)*(1-interactive!$C$7)</f>
        <v>1.9705080499999972E-2</v>
      </c>
      <c r="AD188">
        <f>VLOOKUP($A188,raw[],30,FALSE)*(1-interactive!$C$7)</f>
        <v>1.3000101832223328E-3</v>
      </c>
      <c r="AE188">
        <f>VLOOKUP($A188,raw[],31,FALSE)*(1-interactive!$C$7)</f>
        <v>3.4433023873700239E-4</v>
      </c>
      <c r="AF188">
        <f>VLOOKUP($A188,raw[],32,FALSE)*(1-interactive!$C$7)</f>
        <v>4.9530266784782639E-4</v>
      </c>
      <c r="AG188">
        <f>VLOOKUP($A188,raw[],33,FALSE)*(1-interactive!$C$7)</f>
        <v>1.0541724772765593E-3</v>
      </c>
      <c r="AH188">
        <f>VLOOKUP($A188,raw[],34,FALSE)*(1-interactive!$C$7)</f>
        <v>1.8053430504910801E-3</v>
      </c>
      <c r="AI188">
        <f>VLOOKUP($A188,raw[],35,FALSE)*(1-interactive!$C$7)</f>
        <v>2.3968133086251261E-3</v>
      </c>
      <c r="AJ188">
        <f>VLOOKUP($A188,raw[],36,FALSE)*(1-interactive!$C$7)</f>
        <v>2.7651924105891895E-3</v>
      </c>
      <c r="AK188">
        <f>VLOOKUP($A188,raw[],37,FALSE)*(1-interactive!$C$7)</f>
        <v>3.0482398321419035E-3</v>
      </c>
      <c r="AL188">
        <f>VLOOKUP($A188,raw[],38,FALSE)*(1-interactive!$C$7)</f>
        <v>3.4611075624254419E-3</v>
      </c>
      <c r="AM188">
        <f>VLOOKUP($A188,raw[],39,FALSE)*(1-interactive!$C$7)</f>
        <v>4.2204185630413081E-3</v>
      </c>
      <c r="AN188">
        <f>VLOOKUP($A188,raw[],40,FALSE)*(1-interactive!$C$7)</f>
        <v>5.5499853841291186E-3</v>
      </c>
      <c r="AO188">
        <f>VLOOKUP($A188,raw[],41,FALSE)*(1-interactive!$C$7)</f>
        <v>7.7181899728539427E-3</v>
      </c>
      <c r="AP188">
        <f>VLOOKUP($A188,raw[],42,FALSE)*(1-interactive!$C$7)</f>
        <v>1.1196805319563135E-2</v>
      </c>
      <c r="AQ188">
        <f>VLOOKUP($A188,raw[],43,FALSE)*(1-interactive!$C$7)</f>
        <v>1.5101961575920975E-2</v>
      </c>
      <c r="AR188">
        <f>VLOOKUP($A188,raw[],44,FALSE)*(1-interactive!$C$7)</f>
        <v>2.1760285323666903E-2</v>
      </c>
      <c r="AS188">
        <f>VLOOKUP($A188,raw[],45,FALSE)*(1-interactive!$C$7)</f>
        <v>3.6318258173399523E-2</v>
      </c>
      <c r="AT188">
        <f>VLOOKUP($A188,raw[],46,FALSE)*(1-interactive!$C$7)</f>
        <v>5.9502808751017384E-2</v>
      </c>
      <c r="AU188">
        <f>VLOOKUP($A188,raw[],47,FALSE)*(1-interactive!$C$7)</f>
        <v>8.8628290632361093E-2</v>
      </c>
      <c r="AV188">
        <f>VLOOKUP($A188,raw[],48,FALSE)*(1-interactive!$C$7)</f>
        <v>0.11983919123727396</v>
      </c>
      <c r="AW188">
        <f>VLOOKUP($A188,raw[],49,FALSE)*(1-interactive!$C$7)</f>
        <v>0.14641995234470978</v>
      </c>
      <c r="AX188">
        <f>VLOOKUP($A188,raw[],50,FALSE)*(1-interactive!$C$7)</f>
        <v>70.239199999999997</v>
      </c>
    </row>
    <row r="189" spans="1:50" x14ac:dyDescent="0.25">
      <c r="A189" t="s">
        <v>322</v>
      </c>
      <c r="B189" t="s">
        <v>323</v>
      </c>
      <c r="C189">
        <v>324</v>
      </c>
      <c r="D189" t="s">
        <v>207</v>
      </c>
      <c r="E189" t="s">
        <v>235</v>
      </c>
      <c r="F189" t="s">
        <v>211</v>
      </c>
      <c r="G189" t="s">
        <v>198</v>
      </c>
      <c r="J189">
        <f>VLOOKUP(raw_lb[[#This Row],[setting]],raw[],10,FALSE)*(1-interactive!$C$7)</f>
        <v>0.49969999999999998</v>
      </c>
      <c r="K189">
        <f>VLOOKUP(raw_lb[[#This Row],[setting]],raw[],11,FALSE)*(1-interactive!$C$7)</f>
        <v>0</v>
      </c>
      <c r="L189">
        <f>VLOOKUP(raw_lb[[#This Row],[setting]],raw[],12,FALSE)*(1-interactive!$C$7)</f>
        <v>0.44649999999999995</v>
      </c>
      <c r="M189">
        <v>0.1011</v>
      </c>
      <c r="N189">
        <v>0.155</v>
      </c>
      <c r="O189">
        <v>7.0000000000000007E-2</v>
      </c>
      <c r="P189">
        <v>1E-3</v>
      </c>
      <c r="Q189">
        <v>0.62277650834403109</v>
      </c>
      <c r="R189">
        <v>7.6836765083440319</v>
      </c>
      <c r="S189">
        <v>37.356019990396774</v>
      </c>
      <c r="T189">
        <v>37.591448962881472</v>
      </c>
      <c r="U189">
        <v>37.483344955051017</v>
      </c>
      <c r="V189">
        <v>0.57160168651645338</v>
      </c>
      <c r="W189">
        <v>5.1601016865164535</v>
      </c>
      <c r="X189">
        <v>9.9167671807064095E-2</v>
      </c>
      <c r="Y189">
        <v>4.6876676718070636</v>
      </c>
      <c r="Z189">
        <v>4.6846629043976611</v>
      </c>
      <c r="AA189">
        <v>0.72021910650860077</v>
      </c>
      <c r="AB189">
        <v>5.308719106508601</v>
      </c>
      <c r="AC189">
        <f>VLOOKUP($A189,raw[],29,FALSE)*(1-interactive!$C$7)</f>
        <v>4.9077883499999933E-2</v>
      </c>
      <c r="AD189">
        <f>VLOOKUP($A189,raw[],30,FALSE)*(1-interactive!$C$7)</f>
        <v>7.2848840077842899E-3</v>
      </c>
      <c r="AE189">
        <f>VLOOKUP($A189,raw[],31,FALSE)*(1-interactive!$C$7)</f>
        <v>2.6154610221144551E-3</v>
      </c>
      <c r="AF189">
        <f>VLOOKUP($A189,raw[],32,FALSE)*(1-interactive!$C$7)</f>
        <v>1.5409173338267563E-3</v>
      </c>
      <c r="AG189">
        <f>VLOOKUP($A189,raw[],33,FALSE)*(1-interactive!$C$7)</f>
        <v>2.3491639442683875E-3</v>
      </c>
      <c r="AH189">
        <f>VLOOKUP($A189,raw[],34,FALSE)*(1-interactive!$C$7)</f>
        <v>3.291842805884192E-3</v>
      </c>
      <c r="AI189">
        <f>VLOOKUP($A189,raw[],35,FALSE)*(1-interactive!$C$7)</f>
        <v>3.5300912621697238E-3</v>
      </c>
      <c r="AJ189">
        <f>VLOOKUP($A189,raw[],36,FALSE)*(1-interactive!$C$7)</f>
        <v>3.8955789440060025E-3</v>
      </c>
      <c r="AK189">
        <f>VLOOKUP($A189,raw[],37,FALSE)*(1-interactive!$C$7)</f>
        <v>4.4742357127749944E-3</v>
      </c>
      <c r="AL189">
        <f>VLOOKUP($A189,raw[],38,FALSE)*(1-interactive!$C$7)</f>
        <v>5.4451483363109942E-3</v>
      </c>
      <c r="AM189">
        <f>VLOOKUP($A189,raw[],39,FALSE)*(1-interactive!$C$7)</f>
        <v>6.7534989390977416E-3</v>
      </c>
      <c r="AN189">
        <f>VLOOKUP($A189,raw[],40,FALSE)*(1-interactive!$C$7)</f>
        <v>9.4871039450819157E-3</v>
      </c>
      <c r="AO189">
        <f>VLOOKUP($A189,raw[],41,FALSE)*(1-interactive!$C$7)</f>
        <v>1.3530314709319946E-2</v>
      </c>
      <c r="AP189">
        <f>VLOOKUP($A189,raw[],42,FALSE)*(1-interactive!$C$7)</f>
        <v>2.1260912018048132E-2</v>
      </c>
      <c r="AQ189">
        <f>VLOOKUP($A189,raw[],43,FALSE)*(1-interactive!$C$7)</f>
        <v>3.2945890162495745E-2</v>
      </c>
      <c r="AR189">
        <f>VLOOKUP($A189,raw[],44,FALSE)*(1-interactive!$C$7)</f>
        <v>5.2868349259400926E-2</v>
      </c>
      <c r="AS189">
        <f>VLOOKUP($A189,raw[],45,FALSE)*(1-interactive!$C$7)</f>
        <v>8.1146062908274016E-2</v>
      </c>
      <c r="AT189">
        <f>VLOOKUP($A189,raw[],46,FALSE)*(1-interactive!$C$7)</f>
        <v>0.11566962410009884</v>
      </c>
      <c r="AU189">
        <f>VLOOKUP($A189,raw[],47,FALSE)*(1-interactive!$C$7)</f>
        <v>0.14699370298463021</v>
      </c>
      <c r="AV189">
        <f>VLOOKUP($A189,raw[],48,FALSE)*(1-interactive!$C$7)</f>
        <v>0.16833654448021768</v>
      </c>
      <c r="AW189">
        <f>VLOOKUP($A189,raw[],49,FALSE)*(1-interactive!$C$7)</f>
        <v>0.17861629641021978</v>
      </c>
      <c r="AX189">
        <f>VLOOKUP($A189,raw[],50,FALSE)*(1-interactive!$C$7)</f>
        <v>57.991799999999998</v>
      </c>
    </row>
    <row r="190" spans="1:50" x14ac:dyDescent="0.25">
      <c r="A190" t="s">
        <v>324</v>
      </c>
      <c r="B190" t="s">
        <v>325</v>
      </c>
      <c r="C190">
        <v>624</v>
      </c>
      <c r="D190" t="s">
        <v>207</v>
      </c>
      <c r="E190" t="s">
        <v>235</v>
      </c>
      <c r="F190" t="s">
        <v>211</v>
      </c>
      <c r="G190" t="s">
        <v>198</v>
      </c>
      <c r="J190">
        <f>VLOOKUP(raw_lb[[#This Row],[setting]],raw[],10,FALSE)*(1-interactive!$C$7)</f>
        <v>0.41799999999999998</v>
      </c>
      <c r="K190">
        <f>VLOOKUP(raw_lb[[#This Row],[setting]],raw[],11,FALSE)*(1-interactive!$C$7)</f>
        <v>0</v>
      </c>
      <c r="L190">
        <f>VLOOKUP(raw_lb[[#This Row],[setting]],raw[],12,FALSE)*(1-interactive!$C$7)</f>
        <v>0.70299999999999996</v>
      </c>
      <c r="M190">
        <v>1.9E-2</v>
      </c>
      <c r="N190">
        <v>0.155</v>
      </c>
      <c r="O190">
        <v>7.0000000000000007E-2</v>
      </c>
      <c r="P190">
        <v>1E-3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1.7212869819294028</v>
      </c>
      <c r="W190">
        <v>6.3097869819294026</v>
      </c>
      <c r="X190">
        <v>1.2507416102852695</v>
      </c>
      <c r="Y190">
        <v>5.8392416102852689</v>
      </c>
      <c r="Z190">
        <v>5.8376030251816067</v>
      </c>
      <c r="AA190">
        <v>1.8640765890344735</v>
      </c>
      <c r="AB190">
        <v>6.4525765890344733</v>
      </c>
      <c r="AC190">
        <f>VLOOKUP($A190,raw[],29,FALSE)*(1-interactive!$C$7)</f>
        <v>5.4280187999999979E-2</v>
      </c>
      <c r="AD190">
        <f>VLOOKUP($A190,raw[],30,FALSE)*(1-interactive!$C$7)</f>
        <v>6.3784592832027255E-3</v>
      </c>
      <c r="AE190">
        <f>VLOOKUP($A190,raw[],31,FALSE)*(1-interactive!$C$7)</f>
        <v>2.5100441310075871E-3</v>
      </c>
      <c r="AF190">
        <f>VLOOKUP($A190,raw[],32,FALSE)*(1-interactive!$C$7)</f>
        <v>1.7653610223655695E-3</v>
      </c>
      <c r="AG190">
        <f>VLOOKUP($A190,raw[],33,FALSE)*(1-interactive!$C$7)</f>
        <v>2.6205185958456468E-3</v>
      </c>
      <c r="AH190">
        <f>VLOOKUP($A190,raw[],34,FALSE)*(1-interactive!$C$7)</f>
        <v>3.8639883269384065E-3</v>
      </c>
      <c r="AI190">
        <f>VLOOKUP($A190,raw[],35,FALSE)*(1-interactive!$C$7)</f>
        <v>4.8825981662353277E-3</v>
      </c>
      <c r="AJ190">
        <f>VLOOKUP($A190,raw[],36,FALSE)*(1-interactive!$C$7)</f>
        <v>5.9657099155428573E-3</v>
      </c>
      <c r="AK190">
        <f>VLOOKUP($A190,raw[],37,FALSE)*(1-interactive!$C$7)</f>
        <v>7.4527575879289789E-3</v>
      </c>
      <c r="AL190">
        <f>VLOOKUP($A190,raw[],38,FALSE)*(1-interactive!$C$7)</f>
        <v>9.0333540197626433E-3</v>
      </c>
      <c r="AM190">
        <f>VLOOKUP($A190,raw[],39,FALSE)*(1-interactive!$C$7)</f>
        <v>1.083185133686196E-2</v>
      </c>
      <c r="AN190">
        <f>VLOOKUP($A190,raw[],40,FALSE)*(1-interactive!$C$7)</f>
        <v>1.41014984561626E-2</v>
      </c>
      <c r="AO190">
        <f>VLOOKUP($A190,raw[],41,FALSE)*(1-interactive!$C$7)</f>
        <v>1.7932651662926315E-2</v>
      </c>
      <c r="AP190">
        <f>VLOOKUP($A190,raw[],42,FALSE)*(1-interactive!$C$7)</f>
        <v>2.5244433152075946E-2</v>
      </c>
      <c r="AQ190">
        <f>VLOOKUP($A190,raw[],43,FALSE)*(1-interactive!$C$7)</f>
        <v>3.6891059563204813E-2</v>
      </c>
      <c r="AR190">
        <f>VLOOKUP($A190,raw[],44,FALSE)*(1-interactive!$C$7)</f>
        <v>5.4910446938156561E-2</v>
      </c>
      <c r="AS190">
        <f>VLOOKUP($A190,raw[],45,FALSE)*(1-interactive!$C$7)</f>
        <v>8.0257890686713601E-2</v>
      </c>
      <c r="AT190">
        <f>VLOOKUP($A190,raw[],46,FALSE)*(1-interactive!$C$7)</f>
        <v>0.11472913908092124</v>
      </c>
      <c r="AU190">
        <f>VLOOKUP($A190,raw[],47,FALSE)*(1-interactive!$C$7)</f>
        <v>0.15050121704684408</v>
      </c>
      <c r="AV190">
        <f>VLOOKUP($A190,raw[],48,FALSE)*(1-interactive!$C$7)</f>
        <v>0.17507744438665621</v>
      </c>
      <c r="AW190">
        <f>VLOOKUP($A190,raw[],49,FALSE)*(1-interactive!$C$7)</f>
        <v>0.18034935240873903</v>
      </c>
      <c r="AX190">
        <f>VLOOKUP($A190,raw[],50,FALSE)*(1-interactive!$C$7)</f>
        <v>54.928049999999999</v>
      </c>
    </row>
    <row r="191" spans="1:50" x14ac:dyDescent="0.25">
      <c r="A191" t="s">
        <v>326</v>
      </c>
      <c r="B191" t="s">
        <v>327</v>
      </c>
      <c r="C191">
        <v>328</v>
      </c>
      <c r="D191" t="s">
        <v>215</v>
      </c>
      <c r="E191" t="s">
        <v>232</v>
      </c>
      <c r="F191" t="s">
        <v>217</v>
      </c>
      <c r="G191" t="s">
        <v>204</v>
      </c>
      <c r="J191">
        <f>VLOOKUP(raw_lb[[#This Row],[setting]],raw[],10,FALSE)*(1-interactive!$C$7)</f>
        <v>0.88065000000000004</v>
      </c>
      <c r="K191">
        <f>VLOOKUP(raw_lb[[#This Row],[setting]],raw[],11,FALSE)*(1-interactive!$C$7)</f>
        <v>0.66499999999999992</v>
      </c>
      <c r="L191">
        <f>VLOOKUP(raw_lb[[#This Row],[setting]],raw[],12,FALSE)*(1-interactive!$C$7)</f>
        <v>0.9405</v>
      </c>
      <c r="M191">
        <v>4.0000000000000001E-3</v>
      </c>
      <c r="N191">
        <v>0.16309999999999999</v>
      </c>
      <c r="O191">
        <v>0.7</v>
      </c>
      <c r="P191">
        <v>0.05</v>
      </c>
      <c r="Q191">
        <v>1.411996551724138</v>
      </c>
      <c r="R191">
        <v>8.4728965517241388</v>
      </c>
      <c r="S191">
        <v>42.349042810308951</v>
      </c>
      <c r="T191">
        <v>44.772404200247827</v>
      </c>
      <c r="U191">
        <v>43.659647873322072</v>
      </c>
      <c r="V191">
        <v>3.8497602549306582</v>
      </c>
      <c r="W191">
        <v>3.8687602549306583</v>
      </c>
      <c r="X191">
        <v>3.3727323591095373</v>
      </c>
      <c r="Y191">
        <v>3.3917323591095374</v>
      </c>
      <c r="Z191">
        <v>3.3857334081653785</v>
      </c>
      <c r="AA191">
        <v>4.0125530794961488</v>
      </c>
      <c r="AB191">
        <v>4.0315530794961489</v>
      </c>
      <c r="AC191">
        <f>VLOOKUP($A191,raw[],29,FALSE)*(1-interactive!$C$7)</f>
        <v>2.5432554500000041E-2</v>
      </c>
      <c r="AD191">
        <f>VLOOKUP($A191,raw[],30,FALSE)*(1-interactive!$C$7)</f>
        <v>1.3488779602504196E-3</v>
      </c>
      <c r="AE191">
        <f>VLOOKUP($A191,raw[],31,FALSE)*(1-interactive!$C$7)</f>
        <v>8.9838431057430999E-4</v>
      </c>
      <c r="AF191">
        <f>VLOOKUP($A191,raw[],32,FALSE)*(1-interactive!$C$7)</f>
        <v>7.3346792080115344E-4</v>
      </c>
      <c r="AG191">
        <f>VLOOKUP($A191,raw[],33,FALSE)*(1-interactive!$C$7)</f>
        <v>1.6392921416879963E-3</v>
      </c>
      <c r="AH191">
        <f>VLOOKUP($A191,raw[],34,FALSE)*(1-interactive!$C$7)</f>
        <v>2.6731378382595546E-3</v>
      </c>
      <c r="AI191">
        <f>VLOOKUP($A191,raw[],35,FALSE)*(1-interactive!$C$7)</f>
        <v>3.3401634510571271E-3</v>
      </c>
      <c r="AJ191">
        <f>VLOOKUP($A191,raw[],36,FALSE)*(1-interactive!$C$7)</f>
        <v>3.587777785448405E-3</v>
      </c>
      <c r="AK191">
        <f>VLOOKUP($A191,raw[],37,FALSE)*(1-interactive!$C$7)</f>
        <v>4.1709101841110744E-3</v>
      </c>
      <c r="AL191">
        <f>VLOOKUP($A191,raw[],38,FALSE)*(1-interactive!$C$7)</f>
        <v>4.7600355410731179E-3</v>
      </c>
      <c r="AM191">
        <f>VLOOKUP($A191,raw[],39,FALSE)*(1-interactive!$C$7)</f>
        <v>5.6855445486840286E-3</v>
      </c>
      <c r="AN191">
        <f>VLOOKUP($A191,raw[],40,FALSE)*(1-interactive!$C$7)</f>
        <v>1.0408046411438027E-2</v>
      </c>
      <c r="AO191">
        <f>VLOOKUP($A191,raw[],41,FALSE)*(1-interactive!$C$7)</f>
        <v>1.1912816261913439E-2</v>
      </c>
      <c r="AP191">
        <f>VLOOKUP($A191,raw[],42,FALSE)*(1-interactive!$C$7)</f>
        <v>1.6518627991128972E-2</v>
      </c>
      <c r="AQ191">
        <f>VLOOKUP($A191,raw[],43,FALSE)*(1-interactive!$C$7)</f>
        <v>2.1811842252690485E-2</v>
      </c>
      <c r="AR191">
        <f>VLOOKUP($A191,raw[],44,FALSE)*(1-interactive!$C$7)</f>
        <v>2.9339403379639962E-2</v>
      </c>
      <c r="AS191">
        <f>VLOOKUP($A191,raw[],45,FALSE)*(1-interactive!$C$7)</f>
        <v>4.437799726488096E-2</v>
      </c>
      <c r="AT191">
        <f>VLOOKUP($A191,raw[],46,FALSE)*(1-interactive!$C$7)</f>
        <v>5.676019434638583E-2</v>
      </c>
      <c r="AU191">
        <f>VLOOKUP($A191,raw[],47,FALSE)*(1-interactive!$C$7)</f>
        <v>7.4769691525443174E-2</v>
      </c>
      <c r="AV191">
        <f>VLOOKUP($A191,raw[],48,FALSE)*(1-interactive!$C$7)</f>
        <v>9.417813447461669E-2</v>
      </c>
      <c r="AW191">
        <f>VLOOKUP($A191,raw[],49,FALSE)*(1-interactive!$C$7)</f>
        <v>0.11376314473843613</v>
      </c>
      <c r="AX191">
        <f>VLOOKUP($A191,raw[],50,FALSE)*(1-interactive!$C$7)</f>
        <v>66.227349999999987</v>
      </c>
    </row>
    <row r="192" spans="1:50" x14ac:dyDescent="0.25">
      <c r="A192" t="s">
        <v>328</v>
      </c>
      <c r="B192" t="s">
        <v>329</v>
      </c>
      <c r="C192">
        <v>332</v>
      </c>
      <c r="D192" t="s">
        <v>215</v>
      </c>
      <c r="E192" t="s">
        <v>232</v>
      </c>
      <c r="F192" t="s">
        <v>217</v>
      </c>
      <c r="G192" t="s">
        <v>198</v>
      </c>
      <c r="J192">
        <f>VLOOKUP(raw_lb[[#This Row],[setting]],raw[],10,FALSE)*(1-interactive!$C$7)</f>
        <v>0.37429999999999997</v>
      </c>
      <c r="K192">
        <f>VLOOKUP(raw_lb[[#This Row],[setting]],raw[],11,FALSE)*(1-interactive!$C$7)</f>
        <v>0</v>
      </c>
      <c r="L192">
        <f>VLOOKUP(raw_lb[[#This Row],[setting]],raw[],12,FALSE)*(1-interactive!$C$7)</f>
        <v>0.48449999999999999</v>
      </c>
      <c r="M192">
        <v>2.4300000000000002E-2</v>
      </c>
      <c r="N192">
        <v>0.16309999999999999</v>
      </c>
      <c r="O192">
        <v>0.7</v>
      </c>
      <c r="P192">
        <v>0.05</v>
      </c>
      <c r="Q192">
        <v>0.73211576576576598</v>
      </c>
      <c r="R192">
        <v>7.7930157657657659</v>
      </c>
      <c r="S192">
        <v>37.881508999631137</v>
      </c>
      <c r="T192">
        <v>38.333529373022969</v>
      </c>
      <c r="U192">
        <v>38.125971172054939</v>
      </c>
      <c r="V192">
        <v>0.77421281376281292</v>
      </c>
      <c r="W192">
        <v>0.79321281376281294</v>
      </c>
      <c r="X192">
        <v>0.30322362901080502</v>
      </c>
      <c r="Y192">
        <v>0.32222362901080503</v>
      </c>
      <c r="Z192">
        <v>0.32023023702230008</v>
      </c>
      <c r="AA192">
        <v>0.91837190131504087</v>
      </c>
      <c r="AB192">
        <v>0.93737190131504089</v>
      </c>
      <c r="AC192">
        <f>VLOOKUP($A192,raw[],29,FALSE)*(1-interactive!$C$7)</f>
        <v>5.1607752500000034E-2</v>
      </c>
      <c r="AD192">
        <f>VLOOKUP($A192,raw[],30,FALSE)*(1-interactive!$C$7)</f>
        <v>6.713845745591215E-3</v>
      </c>
      <c r="AE192">
        <f>VLOOKUP($A192,raw[],31,FALSE)*(1-interactive!$C$7)</f>
        <v>2.3889735695220918E-3</v>
      </c>
      <c r="AF192">
        <f>VLOOKUP($A192,raw[],32,FALSE)*(1-interactive!$C$7)</f>
        <v>1.9440235816073196E-3</v>
      </c>
      <c r="AG192">
        <f>VLOOKUP($A192,raw[],33,FALSE)*(1-interactive!$C$7)</f>
        <v>2.4055879249673126E-3</v>
      </c>
      <c r="AH192">
        <f>VLOOKUP($A192,raw[],34,FALSE)*(1-interactive!$C$7)</f>
        <v>3.0394372938494195E-3</v>
      </c>
      <c r="AI192">
        <f>VLOOKUP($A192,raw[],35,FALSE)*(1-interactive!$C$7)</f>
        <v>3.6100262174568027E-3</v>
      </c>
      <c r="AJ192">
        <f>VLOOKUP($A192,raw[],36,FALSE)*(1-interactive!$C$7)</f>
        <v>4.1028881554310802E-3</v>
      </c>
      <c r="AK192">
        <f>VLOOKUP($A192,raw[],37,FALSE)*(1-interactive!$C$7)</f>
        <v>4.6041483300399986E-3</v>
      </c>
      <c r="AL192">
        <f>VLOOKUP($A192,raw[],38,FALSE)*(1-interactive!$C$7)</f>
        <v>5.2702729491879456E-3</v>
      </c>
      <c r="AM192">
        <f>VLOOKUP($A192,raw[],39,FALSE)*(1-interactive!$C$7)</f>
        <v>6.3349620943564267E-3</v>
      </c>
      <c r="AN192">
        <f>VLOOKUP($A192,raw[],40,FALSE)*(1-interactive!$C$7)</f>
        <v>8.1465952735742218E-3</v>
      </c>
      <c r="AO192">
        <f>VLOOKUP($A192,raw[],41,FALSE)*(1-interactive!$C$7)</f>
        <v>1.1219330259294506E-2</v>
      </c>
      <c r="AP192">
        <f>VLOOKUP($A192,raw[],42,FALSE)*(1-interactive!$C$7)</f>
        <v>1.6330077641416817E-2</v>
      </c>
      <c r="AQ192">
        <f>VLOOKUP($A192,raw[],43,FALSE)*(1-interactive!$C$7)</f>
        <v>2.4561916833615239E-2</v>
      </c>
      <c r="AR192">
        <f>VLOOKUP($A192,raw[],44,FALSE)*(1-interactive!$C$7)</f>
        <v>3.7446162366875341E-2</v>
      </c>
      <c r="AS192">
        <f>VLOOKUP($A192,raw[],45,FALSE)*(1-interactive!$C$7)</f>
        <v>5.6435457665112577E-2</v>
      </c>
      <c r="AT192">
        <f>VLOOKUP($A192,raw[],46,FALSE)*(1-interactive!$C$7)</f>
        <v>7.7712849419006927E-2</v>
      </c>
      <c r="AU192">
        <f>VLOOKUP($A192,raw[],47,FALSE)*(1-interactive!$C$7)</f>
        <v>0.10054840629879461</v>
      </c>
      <c r="AV192">
        <f>VLOOKUP($A192,raw[],48,FALSE)*(1-interactive!$C$7)</f>
        <v>0.12214049399050121</v>
      </c>
      <c r="AW192">
        <f>VLOOKUP($A192,raw[],49,FALSE)*(1-interactive!$C$7)</f>
        <v>0.14082283241957885</v>
      </c>
      <c r="AX192">
        <f>VLOOKUP($A192,raw[],50,FALSE)*(1-interactive!$C$7)</f>
        <v>60.343049999999998</v>
      </c>
    </row>
    <row r="193" spans="1:50" x14ac:dyDescent="0.25">
      <c r="A193" t="s">
        <v>330</v>
      </c>
      <c r="B193" t="s">
        <v>331</v>
      </c>
      <c r="C193">
        <v>340</v>
      </c>
      <c r="D193" t="s">
        <v>215</v>
      </c>
      <c r="E193" t="s">
        <v>274</v>
      </c>
      <c r="F193" t="s">
        <v>217</v>
      </c>
      <c r="G193" t="s">
        <v>212</v>
      </c>
      <c r="J193">
        <f>VLOOKUP(raw_lb[[#This Row],[setting]],raw[],10,FALSE)*(1-interactive!$C$7)</f>
        <v>0.78565000000000007</v>
      </c>
      <c r="K193">
        <f>VLOOKUP(raw_lb[[#This Row],[setting]],raw[],11,FALSE)*(1-interactive!$C$7)</f>
        <v>0.67449999999999999</v>
      </c>
      <c r="L193">
        <f>VLOOKUP(raw_lb[[#This Row],[setting]],raw[],12,FALSE)*(1-interactive!$C$7)</f>
        <v>0.76</v>
      </c>
      <c r="M193">
        <v>1.4000000000000002E-3</v>
      </c>
      <c r="N193">
        <v>0.16440000000000002</v>
      </c>
      <c r="O193">
        <v>0.7</v>
      </c>
      <c r="P193">
        <v>0.05</v>
      </c>
      <c r="Q193">
        <v>1.0906682407887911</v>
      </c>
      <c r="R193">
        <v>8.1515682407887926</v>
      </c>
      <c r="S193">
        <v>40.556006645762558</v>
      </c>
      <c r="T193">
        <v>42.213395535775106</v>
      </c>
      <c r="U193">
        <v>41.452357590219478</v>
      </c>
      <c r="V193">
        <v>1.8320260967693065</v>
      </c>
      <c r="W193">
        <v>1.8510260967693064</v>
      </c>
      <c r="X193">
        <v>1.3583187366616836</v>
      </c>
      <c r="Y193">
        <v>1.3773187366616835</v>
      </c>
      <c r="Z193">
        <v>1.3735100970940202</v>
      </c>
      <c r="AA193">
        <v>1.984572696847432</v>
      </c>
      <c r="AB193">
        <v>2.0035726968474319</v>
      </c>
      <c r="AC193">
        <f>VLOOKUP($A193,raw[],29,FALSE)*(1-interactive!$C$7)</f>
        <v>1.4288066499999979E-2</v>
      </c>
      <c r="AD193">
        <f>VLOOKUP($A193,raw[],30,FALSE)*(1-interactive!$C$7)</f>
        <v>1.5125483328037508E-3</v>
      </c>
      <c r="AE193">
        <f>VLOOKUP($A193,raw[],31,FALSE)*(1-interactive!$C$7)</f>
        <v>8.1599349593953596E-4</v>
      </c>
      <c r="AF193">
        <f>VLOOKUP($A193,raw[],32,FALSE)*(1-interactive!$C$7)</f>
        <v>6.5990652775472971E-4</v>
      </c>
      <c r="AG193">
        <f>VLOOKUP($A193,raw[],33,FALSE)*(1-interactive!$C$7)</f>
        <v>9.4784452280810138E-4</v>
      </c>
      <c r="AH193">
        <f>VLOOKUP($A193,raw[],34,FALSE)*(1-interactive!$C$7)</f>
        <v>1.3862861048244905E-3</v>
      </c>
      <c r="AI193">
        <f>VLOOKUP($A193,raw[],35,FALSE)*(1-interactive!$C$7)</f>
        <v>1.8311375493059484E-3</v>
      </c>
      <c r="AJ193">
        <f>VLOOKUP($A193,raw[],36,FALSE)*(1-interactive!$C$7)</f>
        <v>2.2541498675460458E-3</v>
      </c>
      <c r="AK193">
        <f>VLOOKUP($A193,raw[],37,FALSE)*(1-interactive!$C$7)</f>
        <v>2.6905937737751557E-3</v>
      </c>
      <c r="AL193">
        <f>VLOOKUP($A193,raw[],38,FALSE)*(1-interactive!$C$7)</f>
        <v>3.231150813215543E-3</v>
      </c>
      <c r="AM193">
        <f>VLOOKUP($A193,raw[],39,FALSE)*(1-interactive!$C$7)</f>
        <v>4.0129777500712031E-3</v>
      </c>
      <c r="AN193">
        <f>VLOOKUP($A193,raw[],40,FALSE)*(1-interactive!$C$7)</f>
        <v>5.2451009106526045E-3</v>
      </c>
      <c r="AO193">
        <f>VLOOKUP($A193,raw[],41,FALSE)*(1-interactive!$C$7)</f>
        <v>7.2414247143800427E-3</v>
      </c>
      <c r="AP193">
        <f>VLOOKUP($A193,raw[],42,FALSE)*(1-interactive!$C$7)</f>
        <v>1.0480895411284451E-2</v>
      </c>
      <c r="AQ193">
        <f>VLOOKUP($A193,raw[],43,FALSE)*(1-interactive!$C$7)</f>
        <v>1.5684628521288921E-2</v>
      </c>
      <c r="AR193">
        <f>VLOOKUP($A193,raw[],44,FALSE)*(1-interactive!$C$7)</f>
        <v>2.3880525119129324E-2</v>
      </c>
      <c r="AS193">
        <f>VLOOKUP($A193,raw[],45,FALSE)*(1-interactive!$C$7)</f>
        <v>3.6388866753624197E-2</v>
      </c>
      <c r="AT193">
        <f>VLOOKUP($A193,raw[],46,FALSE)*(1-interactive!$C$7)</f>
        <v>5.4568261849513647E-2</v>
      </c>
      <c r="AU193">
        <f>VLOOKUP($A193,raw[],47,FALSE)*(1-interactive!$C$7)</f>
        <v>7.9143484351339249E-2</v>
      </c>
      <c r="AV193">
        <f>VLOOKUP($A193,raw[],48,FALSE)*(1-interactive!$C$7)</f>
        <v>0.10899640282176783</v>
      </c>
      <c r="AW193">
        <f>VLOOKUP($A193,raw[],49,FALSE)*(1-interactive!$C$7)</f>
        <v>0.1418739689138081</v>
      </c>
      <c r="AX193">
        <f>VLOOKUP($A193,raw[],50,FALSE)*(1-interactive!$C$7)</f>
        <v>71.242400000000004</v>
      </c>
    </row>
    <row r="194" spans="1:50" x14ac:dyDescent="0.25">
      <c r="A194" t="s">
        <v>332</v>
      </c>
      <c r="B194" t="s">
        <v>333</v>
      </c>
      <c r="C194">
        <v>356</v>
      </c>
      <c r="D194" t="s">
        <v>225</v>
      </c>
      <c r="E194" t="s">
        <v>226</v>
      </c>
      <c r="F194" t="s">
        <v>226</v>
      </c>
      <c r="G194" t="s">
        <v>212</v>
      </c>
      <c r="J194">
        <f>VLOOKUP(raw_lb[[#This Row],[setting]],raw[],10,FALSE)*(1-interactive!$C$7)</f>
        <v>0.74955000000000005</v>
      </c>
      <c r="K194">
        <f>VLOOKUP(raw_lb[[#This Row],[setting]],raw[],11,FALSE)*(1-interactive!$C$7)</f>
        <v>0.51300000000000001</v>
      </c>
      <c r="L194">
        <f>VLOOKUP(raw_lb[[#This Row],[setting]],raw[],12,FALSE)*(1-interactive!$C$7)</f>
        <v>0.8075</v>
      </c>
      <c r="M194">
        <v>1.6299999999999999E-2</v>
      </c>
      <c r="N194">
        <v>0.1482</v>
      </c>
      <c r="O194">
        <v>0.7</v>
      </c>
      <c r="P194">
        <v>0.05</v>
      </c>
      <c r="Q194">
        <v>0.84203112467306007</v>
      </c>
      <c r="R194">
        <v>7.90293112467306</v>
      </c>
      <c r="S194">
        <v>38.889756884416819</v>
      </c>
      <c r="T194">
        <v>39.80932793977577</v>
      </c>
      <c r="U194">
        <v>39.387080348410834</v>
      </c>
      <c r="V194">
        <v>0.73696945891529575</v>
      </c>
      <c r="W194">
        <v>2.4563245468731467</v>
      </c>
      <c r="X194">
        <v>0.26434118498285369</v>
      </c>
      <c r="Y194">
        <v>1.9836962729407046</v>
      </c>
      <c r="Z194">
        <v>1.9805749172598757</v>
      </c>
      <c r="AA194">
        <v>0.88618630736714865</v>
      </c>
      <c r="AB194">
        <v>2.6055413953249995</v>
      </c>
      <c r="AC194">
        <f>VLOOKUP($A194,raw[],29,FALSE)*(1-interactive!$C$7)</f>
        <v>3.04E-2</v>
      </c>
      <c r="AD194">
        <f>VLOOKUP($A194,raw[],30,FALSE)*(1-interactive!$C$7)</f>
        <v>1.8169289772727304E-3</v>
      </c>
      <c r="AE194">
        <f>VLOOKUP($A194,raw[],31,FALSE)*(1-interactive!$C$7)</f>
        <v>6.7958315983836866E-4</v>
      </c>
      <c r="AF194">
        <f>VLOOKUP($A194,raw[],32,FALSE)*(1-interactive!$C$7)</f>
        <v>5.7152524444820704E-4</v>
      </c>
      <c r="AG194">
        <f>VLOOKUP($A194,raw[],33,FALSE)*(1-interactive!$C$7)</f>
        <v>8.9910167943334945E-4</v>
      </c>
      <c r="AH194">
        <f>VLOOKUP($A194,raw[],34,FALSE)*(1-interactive!$C$7)</f>
        <v>1.3045542847308646E-3</v>
      </c>
      <c r="AI194">
        <f>VLOOKUP($A194,raw[],35,FALSE)*(1-interactive!$C$7)</f>
        <v>1.4750277950733364E-3</v>
      </c>
      <c r="AJ194">
        <f>VLOOKUP($A194,raw[],36,FALSE)*(1-interactive!$C$7)</f>
        <v>1.8824965406766181E-3</v>
      </c>
      <c r="AK194">
        <f>VLOOKUP($A194,raw[],37,FALSE)*(1-interactive!$C$7)</f>
        <v>2.6065319325899801E-3</v>
      </c>
      <c r="AL194">
        <f>VLOOKUP($A194,raw[],38,FALSE)*(1-interactive!$C$7)</f>
        <v>3.5048022848458496E-3</v>
      </c>
      <c r="AM194">
        <f>VLOOKUP($A194,raw[],39,FALSE)*(1-interactive!$C$7)</f>
        <v>5.0334868502391371E-3</v>
      </c>
      <c r="AN194">
        <f>VLOOKUP($A194,raw[],40,FALSE)*(1-interactive!$C$7)</f>
        <v>8.0546747947557399E-3</v>
      </c>
      <c r="AO194">
        <f>VLOOKUP($A194,raw[],41,FALSE)*(1-interactive!$C$7)</f>
        <v>1.1967367571635216E-2</v>
      </c>
      <c r="AP194">
        <f>VLOOKUP($A194,raw[],42,FALSE)*(1-interactive!$C$7)</f>
        <v>1.766751677082555E-2</v>
      </c>
      <c r="AQ194">
        <f>VLOOKUP($A194,raw[],43,FALSE)*(1-interactive!$C$7)</f>
        <v>2.6502618776496203E-2</v>
      </c>
      <c r="AR194">
        <f>VLOOKUP($A194,raw[],44,FALSE)*(1-interactive!$C$7)</f>
        <v>4.0707180328769986E-2</v>
      </c>
      <c r="AS194">
        <f>VLOOKUP($A194,raw[],45,FALSE)*(1-interactive!$C$7)</f>
        <v>5.7645979226863639E-2</v>
      </c>
      <c r="AT194">
        <f>VLOOKUP($A194,raw[],46,FALSE)*(1-interactive!$C$7)</f>
        <v>8.2289111880304536E-2</v>
      </c>
      <c r="AU194">
        <f>VLOOKUP($A194,raw[],47,FALSE)*(1-interactive!$C$7)</f>
        <v>0.11020584860932035</v>
      </c>
      <c r="AV194">
        <f>VLOOKUP($A194,raw[],48,FALSE)*(1-interactive!$C$7)</f>
        <v>0.13595182421856622</v>
      </c>
      <c r="AW194">
        <f>VLOOKUP($A194,raw[],49,FALSE)*(1-interactive!$C$7)</f>
        <v>0.13110623605364519</v>
      </c>
      <c r="AX194">
        <f>VLOOKUP($A194,raw[],50,FALSE)*(1-interactive!$C$7)</f>
        <v>65.808400000000006</v>
      </c>
    </row>
    <row r="195" spans="1:50" x14ac:dyDescent="0.25">
      <c r="A195" t="s">
        <v>334</v>
      </c>
      <c r="B195" t="s">
        <v>335</v>
      </c>
      <c r="C195">
        <v>360</v>
      </c>
      <c r="D195" t="s">
        <v>225</v>
      </c>
      <c r="E195" t="s">
        <v>261</v>
      </c>
      <c r="F195" t="s">
        <v>262</v>
      </c>
      <c r="G195" t="s">
        <v>212</v>
      </c>
      <c r="J195">
        <f>VLOOKUP(raw_lb[[#This Row],[setting]],raw[],10,FALSE)*(1-interactive!$C$7)</f>
        <v>0.75049999999999994</v>
      </c>
      <c r="K195">
        <f>VLOOKUP(raw_lb[[#This Row],[setting]],raw[],11,FALSE)*(1-interactive!$C$7)</f>
        <v>0.69350000000000001</v>
      </c>
      <c r="L195">
        <f>VLOOKUP(raw_lb[[#This Row],[setting]],raw[],12,FALSE)*(1-interactive!$C$7)</f>
        <v>0.73149999999999993</v>
      </c>
      <c r="M195">
        <v>5.5599999999999997E-2</v>
      </c>
      <c r="N195">
        <v>0.18100000000000002</v>
      </c>
      <c r="O195">
        <v>0.7</v>
      </c>
      <c r="P195">
        <v>0.05</v>
      </c>
      <c r="Q195">
        <v>0.97546645683453204</v>
      </c>
      <c r="R195">
        <v>8.0363664568345321</v>
      </c>
      <c r="S195">
        <v>40.127772211481336</v>
      </c>
      <c r="T195">
        <v>41.622238547849022</v>
      </c>
      <c r="U195">
        <v>40.936011195183042</v>
      </c>
      <c r="V195">
        <v>0.80943537512116159</v>
      </c>
      <c r="W195">
        <v>1.4079353751211614</v>
      </c>
      <c r="X195">
        <v>0.33243007686865716</v>
      </c>
      <c r="Y195">
        <v>0.93093007686865703</v>
      </c>
      <c r="Z195">
        <v>0.92515190449452844</v>
      </c>
      <c r="AA195">
        <v>0.97215847004635003</v>
      </c>
      <c r="AB195">
        <v>1.57065847004635</v>
      </c>
      <c r="AC195">
        <f>VLOOKUP($A195,raw[],29,FALSE)*(1-interactive!$C$7)</f>
        <v>1.7976736000000004E-2</v>
      </c>
      <c r="AD195">
        <f>VLOOKUP($A195,raw[],30,FALSE)*(1-interactive!$C$7)</f>
        <v>1.4461063723512505E-3</v>
      </c>
      <c r="AE195">
        <f>VLOOKUP($A195,raw[],31,FALSE)*(1-interactive!$C$7)</f>
        <v>4.8112248026353766E-4</v>
      </c>
      <c r="AF195">
        <f>VLOOKUP($A195,raw[],32,FALSE)*(1-interactive!$C$7)</f>
        <v>4.2516812768343719E-4</v>
      </c>
      <c r="AG195">
        <f>VLOOKUP($A195,raw[],33,FALSE)*(1-interactive!$C$7)</f>
        <v>8.9141969903277455E-4</v>
      </c>
      <c r="AH195">
        <f>VLOOKUP($A195,raw[],34,FALSE)*(1-interactive!$C$7)</f>
        <v>1.1712550695476478E-3</v>
      </c>
      <c r="AI195">
        <f>VLOOKUP($A195,raw[],35,FALSE)*(1-interactive!$C$7)</f>
        <v>1.2412153794612581E-3</v>
      </c>
      <c r="AJ195">
        <f>VLOOKUP($A195,raw[],36,FALSE)*(1-interactive!$C$7)</f>
        <v>1.4764995638156372E-3</v>
      </c>
      <c r="AK195">
        <f>VLOOKUP($A195,raw[],37,FALSE)*(1-interactive!$C$7)</f>
        <v>1.9864591670799478E-3</v>
      </c>
      <c r="AL195">
        <f>VLOOKUP($A195,raw[],38,FALSE)*(1-interactive!$C$7)</f>
        <v>2.8497820237502118E-3</v>
      </c>
      <c r="AM195">
        <f>VLOOKUP($A195,raw[],39,FALSE)*(1-interactive!$C$7)</f>
        <v>4.3663869259866093E-3</v>
      </c>
      <c r="AN195">
        <f>VLOOKUP($A195,raw[],40,FALSE)*(1-interactive!$C$7)</f>
        <v>6.7520635158571218E-3</v>
      </c>
      <c r="AO195">
        <f>VLOOKUP($A195,raw[],41,FALSE)*(1-interactive!$C$7)</f>
        <v>1.0485710350985602E-2</v>
      </c>
      <c r="AP195">
        <f>VLOOKUP($A195,raw[],42,FALSE)*(1-interactive!$C$7)</f>
        <v>1.6158428876009805E-2</v>
      </c>
      <c r="AQ195">
        <f>VLOOKUP($A195,raw[],43,FALSE)*(1-interactive!$C$7)</f>
        <v>2.4502811474040997E-2</v>
      </c>
      <c r="AR195">
        <f>VLOOKUP($A195,raw[],44,FALSE)*(1-interactive!$C$7)</f>
        <v>3.7508987442541421E-2</v>
      </c>
      <c r="AS195">
        <f>VLOOKUP($A195,raw[],45,FALSE)*(1-interactive!$C$7)</f>
        <v>5.7953958692443013E-2</v>
      </c>
      <c r="AT195">
        <f>VLOOKUP($A195,raw[],46,FALSE)*(1-interactive!$C$7)</f>
        <v>8.4948585671753729E-2</v>
      </c>
      <c r="AU195">
        <f>VLOOKUP($A195,raw[],47,FALSE)*(1-interactive!$C$7)</f>
        <v>0.11671643713753929</v>
      </c>
      <c r="AV195">
        <f>VLOOKUP($A195,raw[],48,FALSE)*(1-interactive!$C$7)</f>
        <v>0.1447334702434302</v>
      </c>
      <c r="AW195">
        <f>VLOOKUP($A195,raw[],49,FALSE)*(1-interactive!$C$7)</f>
        <v>0.16546159770789753</v>
      </c>
      <c r="AX195">
        <f>VLOOKUP($A195,raw[],50,FALSE)*(1-interactive!$C$7)</f>
        <v>67.838549999999998</v>
      </c>
    </row>
    <row r="196" spans="1:50" x14ac:dyDescent="0.25">
      <c r="A196" t="s">
        <v>336</v>
      </c>
      <c r="B196" t="s">
        <v>337</v>
      </c>
      <c r="C196">
        <v>364</v>
      </c>
      <c r="D196" t="s">
        <v>196</v>
      </c>
      <c r="E196" t="s">
        <v>197</v>
      </c>
      <c r="F196" t="s">
        <v>197</v>
      </c>
      <c r="G196" t="s">
        <v>204</v>
      </c>
      <c r="J196">
        <f>VLOOKUP(raw_lb[[#This Row],[setting]],raw[],10,FALSE)*(1-interactive!$C$7)</f>
        <v>0.90534999999999988</v>
      </c>
      <c r="K196">
        <f>VLOOKUP(raw_lb[[#This Row],[setting]],raw[],11,FALSE)*(1-interactive!$C$7)</f>
        <v>0.90249999999999997</v>
      </c>
      <c r="L196">
        <f>VLOOKUP(raw_lb[[#This Row],[setting]],raw[],12,FALSE)*(1-interactive!$C$7)</f>
        <v>0.9405</v>
      </c>
      <c r="M196">
        <v>1.1299999999999999E-2</v>
      </c>
      <c r="N196">
        <v>0.14980000000000002</v>
      </c>
      <c r="O196">
        <v>0.7</v>
      </c>
      <c r="P196">
        <v>0.05</v>
      </c>
      <c r="Q196">
        <v>1.9847140085663901</v>
      </c>
      <c r="R196">
        <v>9.0456140085663908</v>
      </c>
      <c r="S196">
        <v>50.26974381666102</v>
      </c>
      <c r="T196">
        <v>56.517473823663096</v>
      </c>
      <c r="U196">
        <v>53.64864826463625</v>
      </c>
      <c r="V196">
        <v>1.7305513673867141</v>
      </c>
      <c r="W196">
        <v>2.1865513673867141</v>
      </c>
      <c r="X196">
        <v>1.2561912487895703</v>
      </c>
      <c r="Y196">
        <v>1.7121912487895703</v>
      </c>
      <c r="Z196">
        <v>1.7075120752904218</v>
      </c>
      <c r="AA196">
        <v>1.8851121936610751</v>
      </c>
      <c r="AB196">
        <v>2.341112193661075</v>
      </c>
      <c r="AC196">
        <f>VLOOKUP($A196,raw[],29,FALSE)*(1-interactive!$C$7)</f>
        <v>1.2176577499999956E-2</v>
      </c>
      <c r="AD196">
        <f>VLOOKUP($A196,raw[],30,FALSE)*(1-interactive!$C$7)</f>
        <v>5.0523051688871343E-4</v>
      </c>
      <c r="AE196">
        <f>VLOOKUP($A196,raw[],31,FALSE)*(1-interactive!$C$7)</f>
        <v>1.6712427130344295E-4</v>
      </c>
      <c r="AF196">
        <f>VLOOKUP($A196,raw[],32,FALSE)*(1-interactive!$C$7)</f>
        <v>1.8614754351952011E-4</v>
      </c>
      <c r="AG196">
        <f>VLOOKUP($A196,raw[],33,FALSE)*(1-interactive!$C$7)</f>
        <v>4.0538283688251807E-4</v>
      </c>
      <c r="AH196">
        <f>VLOOKUP($A196,raw[],34,FALSE)*(1-interactive!$C$7)</f>
        <v>7.214393973838521E-4</v>
      </c>
      <c r="AI196">
        <f>VLOOKUP($A196,raw[],35,FALSE)*(1-interactive!$C$7)</f>
        <v>5.621962463052396E-4</v>
      </c>
      <c r="AJ196">
        <f>VLOOKUP($A196,raw[],36,FALSE)*(1-interactive!$C$7)</f>
        <v>6.1280662403239263E-4</v>
      </c>
      <c r="AK196">
        <f>VLOOKUP($A196,raw[],37,FALSE)*(1-interactive!$C$7)</f>
        <v>6.7054005210020952E-4</v>
      </c>
      <c r="AL196">
        <f>VLOOKUP($A196,raw[],38,FALSE)*(1-interactive!$C$7)</f>
        <v>9.8768836594111771E-4</v>
      </c>
      <c r="AM196">
        <f>VLOOKUP($A196,raw[],39,FALSE)*(1-interactive!$C$7)</f>
        <v>1.6527202149349742E-3</v>
      </c>
      <c r="AN196">
        <f>VLOOKUP($A196,raw[],40,FALSE)*(1-interactive!$C$7)</f>
        <v>3.0771693047141166E-3</v>
      </c>
      <c r="AO196">
        <f>VLOOKUP($A196,raw[],41,FALSE)*(1-interactive!$C$7)</f>
        <v>4.5583518045280401E-3</v>
      </c>
      <c r="AP196">
        <f>VLOOKUP($A196,raw[],42,FALSE)*(1-interactive!$C$7)</f>
        <v>8.4264868272173245E-3</v>
      </c>
      <c r="AQ196">
        <f>VLOOKUP($A196,raw[],43,FALSE)*(1-interactive!$C$7)</f>
        <v>1.5354750145581632E-2</v>
      </c>
      <c r="AR196">
        <f>VLOOKUP($A196,raw[],44,FALSE)*(1-interactive!$C$7)</f>
        <v>3.0609009598516587E-2</v>
      </c>
      <c r="AS196">
        <f>VLOOKUP($A196,raw[],45,FALSE)*(1-interactive!$C$7)</f>
        <v>6.0827125542031693E-2</v>
      </c>
      <c r="AT196">
        <f>VLOOKUP($A196,raw[],46,FALSE)*(1-interactive!$C$7)</f>
        <v>8.7543564897937881E-2</v>
      </c>
      <c r="AU196">
        <f>VLOOKUP($A196,raw[],47,FALSE)*(1-interactive!$C$7)</f>
        <v>0.11934822028144469</v>
      </c>
      <c r="AV196">
        <f>VLOOKUP($A196,raw[],48,FALSE)*(1-interactive!$C$7)</f>
        <v>0.14981808619032058</v>
      </c>
      <c r="AW196">
        <f>VLOOKUP($A196,raw[],49,FALSE)*(1-interactive!$C$7)</f>
        <v>0.16987327049633713</v>
      </c>
      <c r="AX196">
        <f>VLOOKUP($A196,raw[],50,FALSE)*(1-interactive!$C$7)</f>
        <v>72.528700000000001</v>
      </c>
    </row>
    <row r="197" spans="1:50" x14ac:dyDescent="0.25">
      <c r="A197" t="s">
        <v>338</v>
      </c>
      <c r="B197" t="s">
        <v>339</v>
      </c>
      <c r="C197">
        <v>368</v>
      </c>
      <c r="D197" t="s">
        <v>196</v>
      </c>
      <c r="E197" t="s">
        <v>197</v>
      </c>
      <c r="F197" t="s">
        <v>197</v>
      </c>
      <c r="G197" t="s">
        <v>204</v>
      </c>
      <c r="J197">
        <f>VLOOKUP(raw_lb[[#This Row],[setting]],raw[],10,FALSE)*(1-interactive!$C$7)</f>
        <v>0.82269999999999999</v>
      </c>
      <c r="K197">
        <f>VLOOKUP(raw_lb[[#This Row],[setting]],raw[],11,FALSE)*(1-interactive!$C$7)</f>
        <v>0.44649999999999995</v>
      </c>
      <c r="L197">
        <f>VLOOKUP(raw_lb[[#This Row],[setting]],raw[],12,FALSE)*(1-interactive!$C$7)</f>
        <v>0.70299999999999996</v>
      </c>
      <c r="M197">
        <v>7.3000000000000001E-3</v>
      </c>
      <c r="N197">
        <v>0.14980000000000002</v>
      </c>
      <c r="O197">
        <v>0.7</v>
      </c>
      <c r="P197">
        <v>0.05</v>
      </c>
      <c r="Q197">
        <v>0.94254703389830508</v>
      </c>
      <c r="R197">
        <v>8.0034470338983059</v>
      </c>
      <c r="S197">
        <v>39.444851549727119</v>
      </c>
      <c r="T197">
        <v>40.601014959579203</v>
      </c>
      <c r="U197">
        <v>40.070129159956302</v>
      </c>
      <c r="V197">
        <v>1.3256998736770562</v>
      </c>
      <c r="W197">
        <v>1.7816998736770562</v>
      </c>
      <c r="X197">
        <v>0.85254107601918327</v>
      </c>
      <c r="Y197">
        <v>1.3085410760191833</v>
      </c>
      <c r="Z197">
        <v>1.3052506588096362</v>
      </c>
      <c r="AA197">
        <v>1.4765537667673811</v>
      </c>
      <c r="AB197">
        <v>1.9325537667673811</v>
      </c>
      <c r="AC197">
        <f>VLOOKUP($A197,raw[],29,FALSE)*(1-interactive!$C$7)</f>
        <v>2.2905260000000018E-2</v>
      </c>
      <c r="AD197">
        <f>VLOOKUP($A197,raw[],30,FALSE)*(1-interactive!$C$7)</f>
        <v>1.0259826371682476E-3</v>
      </c>
      <c r="AE197">
        <f>VLOOKUP($A197,raw[],31,FALSE)*(1-interactive!$C$7)</f>
        <v>6.4430474341568335E-4</v>
      </c>
      <c r="AF197">
        <f>VLOOKUP($A197,raw[],32,FALSE)*(1-interactive!$C$7)</f>
        <v>5.3729956660226357E-4</v>
      </c>
      <c r="AG197">
        <f>VLOOKUP($A197,raw[],33,FALSE)*(1-interactive!$C$7)</f>
        <v>9.5039358044780929E-4</v>
      </c>
      <c r="AH197">
        <f>VLOOKUP($A197,raw[],34,FALSE)*(1-interactive!$C$7)</f>
        <v>1.3443688653697427E-3</v>
      </c>
      <c r="AI197">
        <f>VLOOKUP($A197,raw[],35,FALSE)*(1-interactive!$C$7)</f>
        <v>1.447997776043364E-3</v>
      </c>
      <c r="AJ197">
        <f>VLOOKUP($A197,raw[],36,FALSE)*(1-interactive!$C$7)</f>
        <v>1.6605167084530117E-3</v>
      </c>
      <c r="AK197">
        <f>VLOOKUP($A197,raw[],37,FALSE)*(1-interactive!$C$7)</f>
        <v>2.093552275560108E-3</v>
      </c>
      <c r="AL197">
        <f>VLOOKUP($A197,raw[],38,FALSE)*(1-interactive!$C$7)</f>
        <v>2.9362824599895128E-3</v>
      </c>
      <c r="AM197">
        <f>VLOOKUP($A197,raw[],39,FALSE)*(1-interactive!$C$7)</f>
        <v>4.4577551096119435E-3</v>
      </c>
      <c r="AN197">
        <f>VLOOKUP($A197,raw[],40,FALSE)*(1-interactive!$C$7)</f>
        <v>6.8064963537309963E-3</v>
      </c>
      <c r="AO197">
        <f>VLOOKUP($A197,raw[],41,FALSE)*(1-interactive!$C$7)</f>
        <v>1.0522699576347159E-2</v>
      </c>
      <c r="AP197">
        <f>VLOOKUP($A197,raw[],42,FALSE)*(1-interactive!$C$7)</f>
        <v>1.6354675115820911E-2</v>
      </c>
      <c r="AQ197">
        <f>VLOOKUP($A197,raw[],43,FALSE)*(1-interactive!$C$7)</f>
        <v>2.5879192606524045E-2</v>
      </c>
      <c r="AR197">
        <f>VLOOKUP($A197,raw[],44,FALSE)*(1-interactive!$C$7)</f>
        <v>4.090602584247327E-2</v>
      </c>
      <c r="AS197">
        <f>VLOOKUP($A197,raw[],45,FALSE)*(1-interactive!$C$7)</f>
        <v>6.2645623398801045E-2</v>
      </c>
      <c r="AT197">
        <f>VLOOKUP($A197,raw[],46,FALSE)*(1-interactive!$C$7)</f>
        <v>9.2313976051498783E-2</v>
      </c>
      <c r="AU197">
        <f>VLOOKUP($A197,raw[],47,FALSE)*(1-interactive!$C$7)</f>
        <v>0.12425329947591431</v>
      </c>
      <c r="AV197">
        <f>VLOOKUP($A197,raw[],48,FALSE)*(1-interactive!$C$7)</f>
        <v>0.15175772633462509</v>
      </c>
      <c r="AW197">
        <f>VLOOKUP($A197,raw[],49,FALSE)*(1-interactive!$C$7)</f>
        <v>0.16895628959385356</v>
      </c>
      <c r="AX197">
        <f>VLOOKUP($A197,raw[],50,FALSE)*(1-interactive!$C$7)</f>
        <v>66.849599999999995</v>
      </c>
    </row>
    <row r="198" spans="1:50" x14ac:dyDescent="0.25">
      <c r="A198" t="s">
        <v>340</v>
      </c>
      <c r="B198" t="s">
        <v>341</v>
      </c>
      <c r="C198">
        <v>388</v>
      </c>
      <c r="D198" t="s">
        <v>215</v>
      </c>
      <c r="E198" t="s">
        <v>232</v>
      </c>
      <c r="F198" t="s">
        <v>217</v>
      </c>
      <c r="G198" t="s">
        <v>204</v>
      </c>
      <c r="J198">
        <f>VLOOKUP(raw_lb[[#This Row],[setting]],raw[],10,FALSE)*(1-interactive!$C$7)</f>
        <v>0.93669999999999998</v>
      </c>
      <c r="K198">
        <f>VLOOKUP(raw_lb[[#This Row],[setting]],raw[],11,FALSE)*(1-interactive!$C$7)</f>
        <v>0</v>
      </c>
      <c r="L198">
        <f>VLOOKUP(raw_lb[[#This Row],[setting]],raw[],12,FALSE)*(1-interactive!$C$7)</f>
        <v>0.90249999999999997</v>
      </c>
      <c r="M198">
        <v>2.0499999999999997E-2</v>
      </c>
      <c r="N198">
        <v>0.16309999999999999</v>
      </c>
      <c r="O198">
        <v>0.7</v>
      </c>
      <c r="P198">
        <v>0.05</v>
      </c>
      <c r="Q198">
        <v>1.8568393348219501</v>
      </c>
      <c r="R198">
        <v>8.9177393348219507</v>
      </c>
      <c r="S198">
        <v>46.751982513351393</v>
      </c>
      <c r="T198">
        <v>51.23539501009229</v>
      </c>
      <c r="U198">
        <v>49.176706758856156</v>
      </c>
      <c r="V198">
        <v>3.3689762440786435</v>
      </c>
      <c r="W198">
        <v>3.3879762440786436</v>
      </c>
      <c r="X198">
        <v>2.8947104703730582</v>
      </c>
      <c r="Y198">
        <v>2.9137104703730583</v>
      </c>
      <c r="Z198">
        <v>2.9093589269404996</v>
      </c>
      <c r="AA198">
        <v>3.5232459489733379</v>
      </c>
      <c r="AB198">
        <v>3.542245948973338</v>
      </c>
      <c r="AC198">
        <f>VLOOKUP($A198,raw[],29,FALSE)*(1-interactive!$C$7)</f>
        <v>1.1183960500000052E-2</v>
      </c>
      <c r="AD198">
        <f>VLOOKUP($A198,raw[],30,FALSE)*(1-interactive!$C$7)</f>
        <v>7.6759976228545936E-4</v>
      </c>
      <c r="AE198">
        <f>VLOOKUP($A198,raw[],31,FALSE)*(1-interactive!$C$7)</f>
        <v>3.2595369907537525E-4</v>
      </c>
      <c r="AF198">
        <f>VLOOKUP($A198,raw[],32,FALSE)*(1-interactive!$C$7)</f>
        <v>3.1079553790552291E-4</v>
      </c>
      <c r="AG198">
        <f>VLOOKUP($A198,raw[],33,FALSE)*(1-interactive!$C$7)</f>
        <v>7.4947745321963068E-4</v>
      </c>
      <c r="AH198">
        <f>VLOOKUP($A198,raw[],34,FALSE)*(1-interactive!$C$7)</f>
        <v>1.0241507369389818E-3</v>
      </c>
      <c r="AI198">
        <f>VLOOKUP($A198,raw[],35,FALSE)*(1-interactive!$C$7)</f>
        <v>1.0906282180774961E-3</v>
      </c>
      <c r="AJ198">
        <f>VLOOKUP($A198,raw[],36,FALSE)*(1-interactive!$C$7)</f>
        <v>1.3050033032793356E-3</v>
      </c>
      <c r="AK198">
        <f>VLOOKUP($A198,raw[],37,FALSE)*(1-interactive!$C$7)</f>
        <v>1.7658877039598052E-3</v>
      </c>
      <c r="AL198">
        <f>VLOOKUP($A198,raw[],38,FALSE)*(1-interactive!$C$7)</f>
        <v>2.5816257823881653E-3</v>
      </c>
      <c r="AM198">
        <f>VLOOKUP($A198,raw[],39,FALSE)*(1-interactive!$C$7)</f>
        <v>4.0059951195155988E-3</v>
      </c>
      <c r="AN198">
        <f>VLOOKUP($A198,raw[],40,FALSE)*(1-interactive!$C$7)</f>
        <v>6.240226828987604E-3</v>
      </c>
      <c r="AO198">
        <f>VLOOKUP($A198,raw[],41,FALSE)*(1-interactive!$C$7)</f>
        <v>9.6017170099614909E-3</v>
      </c>
      <c r="AP198">
        <f>VLOOKUP($A198,raw[],42,FALSE)*(1-interactive!$C$7)</f>
        <v>1.3453134194440915E-2</v>
      </c>
      <c r="AQ198">
        <f>VLOOKUP($A198,raw[],43,FALSE)*(1-interactive!$C$7)</f>
        <v>1.9021432632921435E-2</v>
      </c>
      <c r="AR198">
        <f>VLOOKUP($A198,raw[],44,FALSE)*(1-interactive!$C$7)</f>
        <v>2.8732949503984993E-2</v>
      </c>
      <c r="AS198">
        <f>VLOOKUP($A198,raw[],45,FALSE)*(1-interactive!$C$7)</f>
        <v>4.6159497716422138E-2</v>
      </c>
      <c r="AT198">
        <f>VLOOKUP($A198,raw[],46,FALSE)*(1-interactive!$C$7)</f>
        <v>7.1131507106431027E-2</v>
      </c>
      <c r="AU198">
        <f>VLOOKUP($A198,raw[],47,FALSE)*(1-interactive!$C$7)</f>
        <v>0.10228523906004958</v>
      </c>
      <c r="AV198">
        <f>VLOOKUP($A198,raw[],48,FALSE)*(1-interactive!$C$7)</f>
        <v>0.1322878701624764</v>
      </c>
      <c r="AW198">
        <f>VLOOKUP($A198,raw[],49,FALSE)*(1-interactive!$C$7)</f>
        <v>0.15578765576222733</v>
      </c>
      <c r="AX198">
        <f>VLOOKUP($A198,raw[],50,FALSE)*(1-interactive!$C$7)</f>
        <v>70.615399999999994</v>
      </c>
    </row>
    <row r="199" spans="1:50" x14ac:dyDescent="0.25">
      <c r="A199" t="s">
        <v>342</v>
      </c>
      <c r="B199" t="s">
        <v>343</v>
      </c>
      <c r="C199">
        <v>400</v>
      </c>
      <c r="D199" t="s">
        <v>196</v>
      </c>
      <c r="E199" t="s">
        <v>197</v>
      </c>
      <c r="F199" t="s">
        <v>197</v>
      </c>
      <c r="G199" t="s">
        <v>204</v>
      </c>
      <c r="J199">
        <f>VLOOKUP(raw_lb[[#This Row],[setting]],raw[],10,FALSE)*(1-interactive!$C$7)</f>
        <v>0.93194999999999995</v>
      </c>
      <c r="K199">
        <f>VLOOKUP(raw_lb[[#This Row],[setting]],raw[],11,FALSE)*(1-interactive!$C$7)</f>
        <v>0</v>
      </c>
      <c r="L199">
        <f>VLOOKUP(raw_lb[[#This Row],[setting]],raw[],12,FALSE)*(1-interactive!$C$7)</f>
        <v>0.73149999999999993</v>
      </c>
      <c r="M199">
        <v>1.7600000000000001E-2</v>
      </c>
      <c r="N199">
        <v>0.14980000000000002</v>
      </c>
      <c r="O199">
        <v>0.7</v>
      </c>
      <c r="P199">
        <v>0.05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2.3778764484452362</v>
      </c>
      <c r="W199">
        <v>2.8338764484452361</v>
      </c>
      <c r="X199">
        <v>1.9043204729416423</v>
      </c>
      <c r="Y199">
        <v>2.360320472941642</v>
      </c>
      <c r="Z199">
        <v>2.356599984237655</v>
      </c>
      <c r="AA199">
        <v>2.5299559188880725</v>
      </c>
      <c r="AB199">
        <v>2.9859559188880724</v>
      </c>
      <c r="AC199">
        <f>VLOOKUP($A199,raw[],29,FALSE)*(1-interactive!$C$7)</f>
        <v>1.3901112499999943E-2</v>
      </c>
      <c r="AD199">
        <f>VLOOKUP($A199,raw[],30,FALSE)*(1-interactive!$C$7)</f>
        <v>5.7916591504337948E-4</v>
      </c>
      <c r="AE199">
        <f>VLOOKUP($A199,raw[],31,FALSE)*(1-interactive!$C$7)</f>
        <v>3.1187224960774174E-4</v>
      </c>
      <c r="AF199">
        <f>VLOOKUP($A199,raw[],32,FALSE)*(1-interactive!$C$7)</f>
        <v>2.6198427887469487E-4</v>
      </c>
      <c r="AG199">
        <f>VLOOKUP($A199,raw[],33,FALSE)*(1-interactive!$C$7)</f>
        <v>4.8641858064730153E-4</v>
      </c>
      <c r="AH199">
        <f>VLOOKUP($A199,raw[],34,FALSE)*(1-interactive!$C$7)</f>
        <v>6.8031467940150262E-4</v>
      </c>
      <c r="AI199">
        <f>VLOOKUP($A199,raw[],35,FALSE)*(1-interactive!$C$7)</f>
        <v>7.3319382933787088E-4</v>
      </c>
      <c r="AJ199">
        <f>VLOOKUP($A199,raw[],36,FALSE)*(1-interactive!$C$7)</f>
        <v>8.6509574958743322E-4</v>
      </c>
      <c r="AK199">
        <f>VLOOKUP($A199,raw[],37,FALSE)*(1-interactive!$C$7)</f>
        <v>1.1613375968239025E-3</v>
      </c>
      <c r="AL199">
        <f>VLOOKUP($A199,raw[],38,FALSE)*(1-interactive!$C$7)</f>
        <v>1.7587110516351365E-3</v>
      </c>
      <c r="AM199">
        <f>VLOOKUP($A199,raw[],39,FALSE)*(1-interactive!$C$7)</f>
        <v>2.9566348099198357E-3</v>
      </c>
      <c r="AN199">
        <f>VLOOKUP($A199,raw[],40,FALSE)*(1-interactive!$C$7)</f>
        <v>4.8192837668066145E-3</v>
      </c>
      <c r="AO199">
        <f>VLOOKUP($A199,raw[],41,FALSE)*(1-interactive!$C$7)</f>
        <v>7.9514662244715012E-3</v>
      </c>
      <c r="AP199">
        <f>VLOOKUP($A199,raw[],42,FALSE)*(1-interactive!$C$7)</f>
        <v>1.2722304524474579E-2</v>
      </c>
      <c r="AQ199">
        <f>VLOOKUP($A199,raw[],43,FALSE)*(1-interactive!$C$7)</f>
        <v>2.1018061895350815E-2</v>
      </c>
      <c r="AR199">
        <f>VLOOKUP($A199,raw[],44,FALSE)*(1-interactive!$C$7)</f>
        <v>3.437813604581396E-2</v>
      </c>
      <c r="AS199">
        <f>VLOOKUP($A199,raw[],45,FALSE)*(1-interactive!$C$7)</f>
        <v>5.475833001760036E-2</v>
      </c>
      <c r="AT199">
        <f>VLOOKUP($A199,raw[],46,FALSE)*(1-interactive!$C$7)</f>
        <v>8.4421697125510189E-2</v>
      </c>
      <c r="AU199">
        <f>VLOOKUP($A199,raw[],47,FALSE)*(1-interactive!$C$7)</f>
        <v>0.11721309865415828</v>
      </c>
      <c r="AV199">
        <f>VLOOKUP($A199,raw[],48,FALSE)*(1-interactive!$C$7)</f>
        <v>0.14698254819329756</v>
      </c>
      <c r="AW199">
        <f>VLOOKUP($A199,raw[],49,FALSE)*(1-interactive!$C$7)</f>
        <v>0.16772213601864666</v>
      </c>
      <c r="AX199">
        <f>VLOOKUP($A199,raw[],50,FALSE)*(1-interactive!$C$7)</f>
        <v>70.610649999999993</v>
      </c>
    </row>
    <row r="200" spans="1:50" x14ac:dyDescent="0.25">
      <c r="A200" t="s">
        <v>344</v>
      </c>
      <c r="B200" t="s">
        <v>345</v>
      </c>
      <c r="C200">
        <v>398</v>
      </c>
      <c r="D200" t="s">
        <v>201</v>
      </c>
      <c r="E200" t="s">
        <v>220</v>
      </c>
      <c r="F200" t="s">
        <v>203</v>
      </c>
      <c r="G200" t="s">
        <v>204</v>
      </c>
      <c r="J200">
        <f>VLOOKUP(raw_lb[[#This Row],[setting]],raw[],10,FALSE)*(1-interactive!$C$7)</f>
        <v>0.94334999999999991</v>
      </c>
      <c r="K200">
        <f>VLOOKUP(raw_lb[[#This Row],[setting]],raw[],11,FALSE)*(1-interactive!$C$7)</f>
        <v>0.88349999999999995</v>
      </c>
      <c r="L200">
        <f>VLOOKUP(raw_lb[[#This Row],[setting]],raw[],12,FALSE)*(1-interactive!$C$7)</f>
        <v>0.83599999999999997</v>
      </c>
      <c r="M200">
        <v>2.2099999999999998E-2</v>
      </c>
      <c r="N200">
        <v>0.16309999999999999</v>
      </c>
      <c r="O200">
        <v>0.7</v>
      </c>
      <c r="P200">
        <v>0.05</v>
      </c>
      <c r="Q200">
        <v>2.0846312698211298</v>
      </c>
      <c r="R200">
        <v>9.1455312698211308</v>
      </c>
      <c r="S200">
        <v>50.212368449556706</v>
      </c>
      <c r="T200">
        <v>56.378233141055759</v>
      </c>
      <c r="U200">
        <v>53.546998404495575</v>
      </c>
      <c r="V200">
        <v>2.42360353577878</v>
      </c>
      <c r="W200">
        <v>6.2901035357787798</v>
      </c>
      <c r="X200">
        <v>1.9439497007849031</v>
      </c>
      <c r="Y200">
        <v>5.8104497007849032</v>
      </c>
      <c r="Z200">
        <v>5.802872388471668</v>
      </c>
      <c r="AA200">
        <v>2.5944992583630597</v>
      </c>
      <c r="AB200">
        <v>6.46099925836306</v>
      </c>
      <c r="AC200">
        <f>VLOOKUP($A200,raw[],29,FALSE)*(1-interactive!$C$7)</f>
        <v>7.2899675000000497E-3</v>
      </c>
      <c r="AD200">
        <f>VLOOKUP($A200,raw[],30,FALSE)*(1-interactive!$C$7)</f>
        <v>5.3083418574946311E-4</v>
      </c>
      <c r="AE200">
        <f>VLOOKUP($A200,raw[],31,FALSE)*(1-interactive!$C$7)</f>
        <v>2.5986275583701225E-4</v>
      </c>
      <c r="AF200">
        <f>VLOOKUP($A200,raw[],32,FALSE)*(1-interactive!$C$7)</f>
        <v>2.7824527963590925E-4</v>
      </c>
      <c r="AG200">
        <f>VLOOKUP($A200,raw[],33,FALSE)*(1-interactive!$C$7)</f>
        <v>5.6104587040702871E-4</v>
      </c>
      <c r="AH200">
        <f>VLOOKUP($A200,raw[],34,FALSE)*(1-interactive!$C$7)</f>
        <v>8.2462193092057835E-4</v>
      </c>
      <c r="AI200">
        <f>VLOOKUP($A200,raw[],35,FALSE)*(1-interactive!$C$7)</f>
        <v>1.0756383029195131E-3</v>
      </c>
      <c r="AJ200">
        <f>VLOOKUP($A200,raw[],36,FALSE)*(1-interactive!$C$7)</f>
        <v>1.6493957641617906E-3</v>
      </c>
      <c r="AK200">
        <f>VLOOKUP($A200,raw[],37,FALSE)*(1-interactive!$C$7)</f>
        <v>2.6268828959796994E-3</v>
      </c>
      <c r="AL200">
        <f>VLOOKUP($A200,raw[],38,FALSE)*(1-interactive!$C$7)</f>
        <v>3.6210489065264979E-3</v>
      </c>
      <c r="AM200">
        <f>VLOOKUP($A200,raw[],39,FALSE)*(1-interactive!$C$7)</f>
        <v>4.8553143395240004E-3</v>
      </c>
      <c r="AN200">
        <f>VLOOKUP($A200,raw[],40,FALSE)*(1-interactive!$C$7)</f>
        <v>6.7925987869334684E-3</v>
      </c>
      <c r="AO200">
        <f>VLOOKUP($A200,raw[],41,FALSE)*(1-interactive!$C$7)</f>
        <v>1.0189283450566265E-2</v>
      </c>
      <c r="AP200">
        <f>VLOOKUP($A200,raw[],42,FALSE)*(1-interactive!$C$7)</f>
        <v>1.5711752580827729E-2</v>
      </c>
      <c r="AQ200">
        <f>VLOOKUP($A200,raw[],43,FALSE)*(1-interactive!$C$7)</f>
        <v>2.3492002936812448E-2</v>
      </c>
      <c r="AR200">
        <f>VLOOKUP($A200,raw[],44,FALSE)*(1-interactive!$C$7)</f>
        <v>3.2854746244385759E-2</v>
      </c>
      <c r="AS200">
        <f>VLOOKUP($A200,raw[],45,FALSE)*(1-interactive!$C$7)</f>
        <v>5.1561221084653504E-2</v>
      </c>
      <c r="AT200">
        <f>VLOOKUP($A200,raw[],46,FALSE)*(1-interactive!$C$7)</f>
        <v>7.5699500501644382E-2</v>
      </c>
      <c r="AU200">
        <f>VLOOKUP($A200,raw[],47,FALSE)*(1-interactive!$C$7)</f>
        <v>0.10563124341170331</v>
      </c>
      <c r="AV200">
        <f>VLOOKUP($A200,raw[],48,FALSE)*(1-interactive!$C$7)</f>
        <v>0.13702436295945719</v>
      </c>
      <c r="AW200">
        <f>VLOOKUP($A200,raw[],49,FALSE)*(1-interactive!$C$7)</f>
        <v>0.16122366444678765</v>
      </c>
      <c r="AX200">
        <f>VLOOKUP($A200,raw[],50,FALSE)*(1-interactive!$C$7)</f>
        <v>69.563749999999985</v>
      </c>
    </row>
    <row r="201" spans="1:50" x14ac:dyDescent="0.25">
      <c r="A201" t="s">
        <v>346</v>
      </c>
      <c r="B201" t="s">
        <v>347</v>
      </c>
      <c r="C201">
        <v>404</v>
      </c>
      <c r="D201" t="s">
        <v>207</v>
      </c>
      <c r="E201" t="s">
        <v>255</v>
      </c>
      <c r="F201" t="s">
        <v>211</v>
      </c>
      <c r="G201" t="s">
        <v>212</v>
      </c>
      <c r="J201">
        <f>VLOOKUP(raw_lb[[#This Row],[setting]],raw[],10,FALSE)*(1-interactive!$C$7)</f>
        <v>0.58139999999999992</v>
      </c>
      <c r="K201">
        <f>VLOOKUP(raw_lb[[#This Row],[setting]],raw[],11,FALSE)*(1-interactive!$C$7)</f>
        <v>0</v>
      </c>
      <c r="L201">
        <f>VLOOKUP(raw_lb[[#This Row],[setting]],raw[],12,FALSE)*(1-interactive!$C$7)</f>
        <v>0.86449999999999994</v>
      </c>
      <c r="M201">
        <v>1.44E-2</v>
      </c>
      <c r="N201">
        <v>0.15560000000000002</v>
      </c>
      <c r="O201">
        <v>7.0000000000000007E-2</v>
      </c>
      <c r="P201">
        <v>1E-3</v>
      </c>
      <c r="Q201">
        <v>0.71428745545260197</v>
      </c>
      <c r="R201">
        <v>7.7751874554526026</v>
      </c>
      <c r="S201">
        <v>37.827574706327226</v>
      </c>
      <c r="T201">
        <v>38.260803177517914</v>
      </c>
      <c r="U201">
        <v>38.061873820830442</v>
      </c>
      <c r="V201">
        <v>1.2824252145203148</v>
      </c>
      <c r="W201">
        <v>5.8709252145203141</v>
      </c>
      <c r="X201">
        <v>0.81011080592698248</v>
      </c>
      <c r="Y201">
        <v>5.3986108059269826</v>
      </c>
      <c r="Z201">
        <v>5.3958468531528023</v>
      </c>
      <c r="AA201">
        <v>1.4306735642114856</v>
      </c>
      <c r="AB201">
        <v>6.019173564211485</v>
      </c>
      <c r="AC201">
        <f>VLOOKUP($A201,raw[],29,FALSE)*(1-interactive!$C$7)</f>
        <v>3.4553096000000047E-2</v>
      </c>
      <c r="AD201">
        <f>VLOOKUP($A201,raw[],30,FALSE)*(1-interactive!$C$7)</f>
        <v>2.7339646369047943E-3</v>
      </c>
      <c r="AE201">
        <f>VLOOKUP($A201,raw[],31,FALSE)*(1-interactive!$C$7)</f>
        <v>8.4434242340849727E-4</v>
      </c>
      <c r="AF201">
        <f>VLOOKUP($A201,raw[],32,FALSE)*(1-interactive!$C$7)</f>
        <v>6.8582338591078229E-4</v>
      </c>
      <c r="AG201">
        <f>VLOOKUP($A201,raw[],33,FALSE)*(1-interactive!$C$7)</f>
        <v>1.1908887524835054E-3</v>
      </c>
      <c r="AH201">
        <f>VLOOKUP($A201,raw[],34,FALSE)*(1-interactive!$C$7)</f>
        <v>1.9143543338703032E-3</v>
      </c>
      <c r="AI201">
        <f>VLOOKUP($A201,raw[],35,FALSE)*(1-interactive!$C$7)</f>
        <v>2.6356209421926559E-3</v>
      </c>
      <c r="AJ201">
        <f>VLOOKUP($A201,raw[],36,FALSE)*(1-interactive!$C$7)</f>
        <v>3.4362730580454102E-3</v>
      </c>
      <c r="AK201">
        <f>VLOOKUP($A201,raw[],37,FALSE)*(1-interactive!$C$7)</f>
        <v>4.5932433929386854E-3</v>
      </c>
      <c r="AL201">
        <f>VLOOKUP($A201,raw[],38,FALSE)*(1-interactive!$C$7)</f>
        <v>5.7735412786086735E-3</v>
      </c>
      <c r="AM201">
        <f>VLOOKUP($A201,raw[],39,FALSE)*(1-interactive!$C$7)</f>
        <v>7.2581936082924967E-3</v>
      </c>
      <c r="AN201">
        <f>VLOOKUP($A201,raw[],40,FALSE)*(1-interactive!$C$7)</f>
        <v>9.7714353716543811E-3</v>
      </c>
      <c r="AO201">
        <f>VLOOKUP($A201,raw[],41,FALSE)*(1-interactive!$C$7)</f>
        <v>1.2651247401441407E-2</v>
      </c>
      <c r="AP201">
        <f>VLOOKUP($A201,raw[],42,FALSE)*(1-interactive!$C$7)</f>
        <v>1.8066508419334458E-2</v>
      </c>
      <c r="AQ201">
        <f>VLOOKUP($A201,raw[],43,FALSE)*(1-interactive!$C$7)</f>
        <v>2.6912745015916267E-2</v>
      </c>
      <c r="AR201">
        <f>VLOOKUP($A201,raw[],44,FALSE)*(1-interactive!$C$7)</f>
        <v>4.0692427216648987E-2</v>
      </c>
      <c r="AS201">
        <f>VLOOKUP($A201,raw[],45,FALSE)*(1-interactive!$C$7)</f>
        <v>6.1431662682737823E-2</v>
      </c>
      <c r="AT201">
        <f>VLOOKUP($A201,raw[],46,FALSE)*(1-interactive!$C$7)</f>
        <v>9.2356305067431463E-2</v>
      </c>
      <c r="AU201">
        <f>VLOOKUP($A201,raw[],47,FALSE)*(1-interactive!$C$7)</f>
        <v>0.13003850817267606</v>
      </c>
      <c r="AV201">
        <f>VLOOKUP($A201,raw[],48,FALSE)*(1-interactive!$C$7)</f>
        <v>0.16365423678515964</v>
      </c>
      <c r="AW201">
        <f>VLOOKUP($A201,raw[],49,FALSE)*(1-interactive!$C$7)</f>
        <v>0.17741853318210629</v>
      </c>
      <c r="AX201">
        <f>VLOOKUP($A201,raw[],50,FALSE)*(1-interactive!$C$7)</f>
        <v>62.869099999999996</v>
      </c>
    </row>
    <row r="202" spans="1:50" x14ac:dyDescent="0.25">
      <c r="A202" t="s">
        <v>348</v>
      </c>
      <c r="B202" t="s">
        <v>349</v>
      </c>
      <c r="C202">
        <v>296</v>
      </c>
      <c r="D202" t="s">
        <v>260</v>
      </c>
      <c r="E202" t="s">
        <v>309</v>
      </c>
      <c r="F202" t="s">
        <v>262</v>
      </c>
      <c r="G202" t="s">
        <v>212</v>
      </c>
      <c r="J202">
        <f>VLOOKUP(raw_lb[[#This Row],[setting]],raw[],10,FALSE)*(1-interactive!$C$7)</f>
        <v>0.81794999999999995</v>
      </c>
      <c r="K202">
        <f>VLOOKUP(raw_lb[[#This Row],[setting]],raw[],11,FALSE)*(1-interactive!$C$7)</f>
        <v>0.86449999999999994</v>
      </c>
      <c r="L202">
        <f>VLOOKUP(raw_lb[[#This Row],[setting]],raw[],12,FALSE)*(1-interactive!$C$7)</f>
        <v>0.874</v>
      </c>
      <c r="M202">
        <v>0.13789999999999999</v>
      </c>
      <c r="N202">
        <v>0.1832</v>
      </c>
      <c r="O202">
        <v>0.7</v>
      </c>
      <c r="P202">
        <v>0.05</v>
      </c>
      <c r="Q202">
        <v>1.2927926669780481</v>
      </c>
      <c r="R202">
        <v>8.3536926669780485</v>
      </c>
      <c r="S202">
        <v>40.634070027658019</v>
      </c>
      <c r="T202">
        <v>42.226889480191502</v>
      </c>
      <c r="U202">
        <v>41.495500455502224</v>
      </c>
      <c r="V202">
        <v>3.2597728466528415</v>
      </c>
      <c r="W202">
        <v>3.8582728466528415</v>
      </c>
      <c r="X202">
        <v>2.7880367071814098</v>
      </c>
      <c r="Y202">
        <v>3.3865367071814099</v>
      </c>
      <c r="Z202">
        <v>3.3841821116615614</v>
      </c>
      <c r="AA202">
        <v>3.4062368230535753</v>
      </c>
      <c r="AB202">
        <v>4.0047368230535749</v>
      </c>
      <c r="AC202">
        <f>VLOOKUP($A202,raw[],29,FALSE)*(1-interactive!$C$7)</f>
        <v>4.067005100000004E-2</v>
      </c>
      <c r="AD202">
        <f>VLOOKUP($A202,raw[],30,FALSE)*(1-interactive!$C$7)</f>
        <v>2.8247999492096113E-3</v>
      </c>
      <c r="AE202">
        <f>VLOOKUP($A202,raw[],31,FALSE)*(1-interactive!$C$7)</f>
        <v>9.5975436620526343E-4</v>
      </c>
      <c r="AF202">
        <f>VLOOKUP($A202,raw[],32,FALSE)*(1-interactive!$C$7)</f>
        <v>7.3176763777256851E-4</v>
      </c>
      <c r="AG202">
        <f>VLOOKUP($A202,raw[],33,FALSE)*(1-interactive!$C$7)</f>
        <v>1.2930845047036017E-3</v>
      </c>
      <c r="AH202">
        <f>VLOOKUP($A202,raw[],34,FALSE)*(1-interactive!$C$7)</f>
        <v>1.7182919488275903E-3</v>
      </c>
      <c r="AI202">
        <f>VLOOKUP($A202,raw[],35,FALSE)*(1-interactive!$C$7)</f>
        <v>1.8354457037939077E-3</v>
      </c>
      <c r="AJ202">
        <f>VLOOKUP($A202,raw[],36,FALSE)*(1-interactive!$C$7)</f>
        <v>2.151569554578485E-3</v>
      </c>
      <c r="AK202">
        <f>VLOOKUP($A202,raw[],37,FALSE)*(1-interactive!$C$7)</f>
        <v>2.8181011914983965E-3</v>
      </c>
      <c r="AL202">
        <f>VLOOKUP($A202,raw[],38,FALSE)*(1-interactive!$C$7)</f>
        <v>3.8857910152864674E-3</v>
      </c>
      <c r="AM202">
        <f>VLOOKUP($A202,raw[],39,FALSE)*(1-interactive!$C$7)</f>
        <v>5.648200123517814E-3</v>
      </c>
      <c r="AN202">
        <f>VLOOKUP($A202,raw[],40,FALSE)*(1-interactive!$C$7)</f>
        <v>8.4439545982601238E-3</v>
      </c>
      <c r="AO202">
        <f>VLOOKUP($A202,raw[],41,FALSE)*(1-interactive!$C$7)</f>
        <v>1.2677494863003949E-2</v>
      </c>
      <c r="AP202">
        <f>VLOOKUP($A202,raw[],42,FALSE)*(1-interactive!$C$7)</f>
        <v>1.7717803588081657E-2</v>
      </c>
      <c r="AQ202">
        <f>VLOOKUP($A202,raw[],43,FALSE)*(1-interactive!$C$7)</f>
        <v>2.4502664830115557E-2</v>
      </c>
      <c r="AR202">
        <f>VLOOKUP($A202,raw[],44,FALSE)*(1-interactive!$C$7)</f>
        <v>3.5398602787191216E-2</v>
      </c>
      <c r="AS202">
        <f>VLOOKUP($A202,raw[],45,FALSE)*(1-interactive!$C$7)</f>
        <v>5.3433248068609711E-2</v>
      </c>
      <c r="AT202">
        <f>VLOOKUP($A202,raw[],46,FALSE)*(1-interactive!$C$7)</f>
        <v>7.7597481023399459E-2</v>
      </c>
      <c r="AU202">
        <f>VLOOKUP($A202,raw[],47,FALSE)*(1-interactive!$C$7)</f>
        <v>0.10352838812147862</v>
      </c>
      <c r="AV202">
        <f>VLOOKUP($A202,raw[],48,FALSE)*(1-interactive!$C$7)</f>
        <v>0.12514707270579581</v>
      </c>
      <c r="AW202">
        <f>VLOOKUP($A202,raw[],49,FALSE)*(1-interactive!$C$7)</f>
        <v>0.14574671758464747</v>
      </c>
      <c r="AX202">
        <f>VLOOKUP($A202,raw[],50,FALSE)*(1-interactive!$C$7)</f>
        <v>64.590499999999992</v>
      </c>
    </row>
    <row r="203" spans="1:50" x14ac:dyDescent="0.25">
      <c r="A203" t="s">
        <v>350</v>
      </c>
      <c r="B203" t="s">
        <v>351</v>
      </c>
      <c r="C203">
        <v>408</v>
      </c>
      <c r="D203" t="s">
        <v>225</v>
      </c>
      <c r="E203" t="s">
        <v>271</v>
      </c>
      <c r="F203" t="s">
        <v>262</v>
      </c>
      <c r="G203" t="s">
        <v>198</v>
      </c>
      <c r="J203">
        <f>VLOOKUP(raw_lb[[#This Row],[setting]],raw[],10,FALSE)*(1-interactive!$C$7)</f>
        <v>0.87590000000000001</v>
      </c>
      <c r="K203">
        <f>VLOOKUP(raw_lb[[#This Row],[setting]],raw[],11,FALSE)*(1-interactive!$C$7)</f>
        <v>0.9405</v>
      </c>
      <c r="L203">
        <f>VLOOKUP(raw_lb[[#This Row],[setting]],raw[],12,FALSE)*(1-interactive!$C$7)</f>
        <v>0.92149999999999999</v>
      </c>
      <c r="M203">
        <v>5.1999999999999998E-3</v>
      </c>
      <c r="N203">
        <v>0.18350000000000002</v>
      </c>
      <c r="O203">
        <v>0.7</v>
      </c>
      <c r="P203">
        <v>0.05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f>VLOOKUP($A203,raw[],29,FALSE)*(1-interactive!$C$7)</f>
        <v>1.3203204500000015E-2</v>
      </c>
      <c r="AD203">
        <f>VLOOKUP($A203,raw[],30,FALSE)*(1-interactive!$C$7)</f>
        <v>1.0949425063975875E-3</v>
      </c>
      <c r="AE203">
        <f>VLOOKUP($A203,raw[],31,FALSE)*(1-interactive!$C$7)</f>
        <v>6.1250279759982463E-4</v>
      </c>
      <c r="AF203">
        <f>VLOOKUP($A203,raw[],32,FALSE)*(1-interactive!$C$7)</f>
        <v>5.689679787059548E-4</v>
      </c>
      <c r="AG203">
        <f>VLOOKUP($A203,raw[],33,FALSE)*(1-interactive!$C$7)</f>
        <v>8.2166598504063572E-4</v>
      </c>
      <c r="AH203">
        <f>VLOOKUP($A203,raw[],34,FALSE)*(1-interactive!$C$7)</f>
        <v>1.1783467525958498E-3</v>
      </c>
      <c r="AI203">
        <f>VLOOKUP($A203,raw[],35,FALSE)*(1-interactive!$C$7)</f>
        <v>1.4626867422074634E-3</v>
      </c>
      <c r="AJ203">
        <f>VLOOKUP($A203,raw[],36,FALSE)*(1-interactive!$C$7)</f>
        <v>1.6612434474872798E-3</v>
      </c>
      <c r="AK203">
        <f>VLOOKUP($A203,raw[],37,FALSE)*(1-interactive!$C$7)</f>
        <v>1.9155981294328806E-3</v>
      </c>
      <c r="AL203">
        <f>VLOOKUP($A203,raw[],38,FALSE)*(1-interactive!$C$7)</f>
        <v>2.3270304874970235E-3</v>
      </c>
      <c r="AM203">
        <f>VLOOKUP($A203,raw[],39,FALSE)*(1-interactive!$C$7)</f>
        <v>3.1760080634953935E-3</v>
      </c>
      <c r="AN203">
        <f>VLOOKUP($A203,raw[],40,FALSE)*(1-interactive!$C$7)</f>
        <v>4.5577088284551731E-3</v>
      </c>
      <c r="AO203">
        <f>VLOOKUP($A203,raw[],41,FALSE)*(1-interactive!$C$7)</f>
        <v>9.1973374909347459E-3</v>
      </c>
      <c r="AP203">
        <f>VLOOKUP($A203,raw[],42,FALSE)*(1-interactive!$C$7)</f>
        <v>1.8810377819010453E-2</v>
      </c>
      <c r="AQ203">
        <f>VLOOKUP($A203,raw[],43,FALSE)*(1-interactive!$C$7)</f>
        <v>2.7423081469331454E-2</v>
      </c>
      <c r="AR203">
        <f>VLOOKUP($A203,raw[],44,FALSE)*(1-interactive!$C$7)</f>
        <v>3.8445192890859937E-2</v>
      </c>
      <c r="AS203">
        <f>VLOOKUP($A203,raw[],45,FALSE)*(1-interactive!$C$7)</f>
        <v>5.9884081015736869E-2</v>
      </c>
      <c r="AT203">
        <f>VLOOKUP($A203,raw[],46,FALSE)*(1-interactive!$C$7)</f>
        <v>8.3644259806461535E-2</v>
      </c>
      <c r="AU203">
        <f>VLOOKUP($A203,raw[],47,FALSE)*(1-interactive!$C$7)</f>
        <v>0.11297128458664052</v>
      </c>
      <c r="AV203">
        <f>VLOOKUP($A203,raw[],48,FALSE)*(1-interactive!$C$7)</f>
        <v>0.14108148886487673</v>
      </c>
      <c r="AW203">
        <f>VLOOKUP($A203,raw[],49,FALSE)*(1-interactive!$C$7)</f>
        <v>0.16179247964187476</v>
      </c>
      <c r="AX203">
        <f>VLOOKUP($A203,raw[],50,FALSE)*(1-interactive!$C$7)</f>
        <v>68.365799999999993</v>
      </c>
    </row>
    <row r="204" spans="1:50" x14ac:dyDescent="0.25">
      <c r="A204" t="s">
        <v>352</v>
      </c>
      <c r="B204" t="s">
        <v>353</v>
      </c>
      <c r="C204">
        <v>417</v>
      </c>
      <c r="D204" t="s">
        <v>201</v>
      </c>
      <c r="E204" t="s">
        <v>220</v>
      </c>
      <c r="F204" t="s">
        <v>203</v>
      </c>
      <c r="G204" t="s">
        <v>212</v>
      </c>
      <c r="J204">
        <f>VLOOKUP(raw_lb[[#This Row],[setting]],raw[],10,FALSE)*(1-interactive!$C$7)</f>
        <v>0.94619999999999993</v>
      </c>
      <c r="K204">
        <f>VLOOKUP(raw_lb[[#This Row],[setting]],raw[],11,FALSE)*(1-interactive!$C$7)</f>
        <v>0.90249999999999997</v>
      </c>
      <c r="L204">
        <f>VLOOKUP(raw_lb[[#This Row],[setting]],raw[],12,FALSE)*(1-interactive!$C$7)</f>
        <v>0.81699999999999995</v>
      </c>
      <c r="M204">
        <v>1.0800000000000001E-2</v>
      </c>
      <c r="N204">
        <v>0.16309999999999999</v>
      </c>
      <c r="O204">
        <v>0.7</v>
      </c>
      <c r="P204">
        <v>0.05</v>
      </c>
      <c r="Q204">
        <v>0.73523282732447803</v>
      </c>
      <c r="R204">
        <v>7.7961328273244792</v>
      </c>
      <c r="S204">
        <v>38.055907648994548</v>
      </c>
      <c r="T204">
        <v>38.597074102350689</v>
      </c>
      <c r="U204">
        <v>38.348581905771127</v>
      </c>
      <c r="V204">
        <v>1.7733420180852479</v>
      </c>
      <c r="W204">
        <v>5.6398420180852487</v>
      </c>
      <c r="X204">
        <v>1.3025804550828255</v>
      </c>
      <c r="Y204">
        <v>5.1690804550828258</v>
      </c>
      <c r="Z204">
        <v>5.167229354267036</v>
      </c>
      <c r="AA204">
        <v>1.9167987299530398</v>
      </c>
      <c r="AB204">
        <v>5.7832987299530405</v>
      </c>
      <c r="AC204">
        <f>VLOOKUP($A204,raw[],29,FALSE)*(1-interactive!$C$7)</f>
        <v>1.4730927999999963E-2</v>
      </c>
      <c r="AD204">
        <f>VLOOKUP($A204,raw[],30,FALSE)*(1-interactive!$C$7)</f>
        <v>6.8101536265706148E-4</v>
      </c>
      <c r="AE204">
        <f>VLOOKUP($A204,raw[],31,FALSE)*(1-interactive!$C$7)</f>
        <v>2.8536073687186156E-4</v>
      </c>
      <c r="AF204">
        <f>VLOOKUP($A204,raw[],32,FALSE)*(1-interactive!$C$7)</f>
        <v>3.4296268904961038E-4</v>
      </c>
      <c r="AG204">
        <f>VLOOKUP($A204,raw[],33,FALSE)*(1-interactive!$C$7)</f>
        <v>5.3838379987635832E-4</v>
      </c>
      <c r="AH204">
        <f>VLOOKUP($A204,raw[],34,FALSE)*(1-interactive!$C$7)</f>
        <v>7.3490985227015653E-4</v>
      </c>
      <c r="AI204">
        <f>VLOOKUP($A204,raw[],35,FALSE)*(1-interactive!$C$7)</f>
        <v>9.4390356595667059E-4</v>
      </c>
      <c r="AJ204">
        <f>VLOOKUP($A204,raw[],36,FALSE)*(1-interactive!$C$7)</f>
        <v>1.5149779386878037E-3</v>
      </c>
      <c r="AK204">
        <f>VLOOKUP($A204,raw[],37,FALSE)*(1-interactive!$C$7)</f>
        <v>2.2553600475459334E-3</v>
      </c>
      <c r="AL204">
        <f>VLOOKUP($A204,raw[],38,FALSE)*(1-interactive!$C$7)</f>
        <v>3.4224084989433251E-3</v>
      </c>
      <c r="AM204">
        <f>VLOOKUP($A204,raw[],39,FALSE)*(1-interactive!$C$7)</f>
        <v>4.7632890246334814E-3</v>
      </c>
      <c r="AN204">
        <f>VLOOKUP($A204,raw[],40,FALSE)*(1-interactive!$C$7)</f>
        <v>6.8660743024059594E-3</v>
      </c>
      <c r="AO204">
        <f>VLOOKUP($A204,raw[],41,FALSE)*(1-interactive!$C$7)</f>
        <v>1.0058821434012995E-2</v>
      </c>
      <c r="AP204">
        <f>VLOOKUP($A204,raw[],42,FALSE)*(1-interactive!$C$7)</f>
        <v>1.5863814053402096E-2</v>
      </c>
      <c r="AQ204">
        <f>VLOOKUP($A204,raw[],43,FALSE)*(1-interactive!$C$7)</f>
        <v>2.303282000500247E-2</v>
      </c>
      <c r="AR204">
        <f>VLOOKUP($A204,raw[],44,FALSE)*(1-interactive!$C$7)</f>
        <v>4.6328842003960494E-2</v>
      </c>
      <c r="AS204">
        <f>VLOOKUP($A204,raw[],45,FALSE)*(1-interactive!$C$7)</f>
        <v>7.8441049770473892E-2</v>
      </c>
      <c r="AT204">
        <f>VLOOKUP($A204,raw[],46,FALSE)*(1-interactive!$C$7)</f>
        <v>0.10114010836409791</v>
      </c>
      <c r="AU204">
        <f>VLOOKUP($A204,raw[],47,FALSE)*(1-interactive!$C$7)</f>
        <v>0.11997086332119189</v>
      </c>
      <c r="AV204">
        <f>VLOOKUP($A204,raw[],48,FALSE)*(1-interactive!$C$7)</f>
        <v>0.13438718112986012</v>
      </c>
      <c r="AW204">
        <f>VLOOKUP($A204,raw[],49,FALSE)*(1-interactive!$C$7)</f>
        <v>0.15097219836106582</v>
      </c>
      <c r="AX204">
        <f>VLOOKUP($A204,raw[],50,FALSE)*(1-interactive!$C$7)</f>
        <v>67.622900000000001</v>
      </c>
    </row>
    <row r="205" spans="1:50" x14ac:dyDescent="0.25">
      <c r="A205" t="s">
        <v>354</v>
      </c>
      <c r="B205" t="s">
        <v>355</v>
      </c>
      <c r="C205">
        <v>418</v>
      </c>
      <c r="D205" t="s">
        <v>260</v>
      </c>
      <c r="E205" t="s">
        <v>261</v>
      </c>
      <c r="F205" t="s">
        <v>262</v>
      </c>
      <c r="G205" t="s">
        <v>212</v>
      </c>
      <c r="J205">
        <f>VLOOKUP(raw_lb[[#This Row],[setting]],raw[],10,FALSE)*(1-interactive!$C$7)</f>
        <v>0.61275000000000002</v>
      </c>
      <c r="K205">
        <f>VLOOKUP(raw_lb[[#This Row],[setting]],raw[],11,FALSE)*(1-interactive!$C$7)</f>
        <v>0.55099999999999993</v>
      </c>
      <c r="L205">
        <f>VLOOKUP(raw_lb[[#This Row],[setting]],raw[],12,FALSE)*(1-interactive!$C$7)</f>
        <v>0.75049999999999994</v>
      </c>
      <c r="M205">
        <v>3.9199999999999999E-2</v>
      </c>
      <c r="N205">
        <v>0.18100000000000002</v>
      </c>
      <c r="O205">
        <v>0.7</v>
      </c>
      <c r="P205">
        <v>0.05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1.0192181766984343</v>
      </c>
      <c r="W205">
        <v>1.6177181766984341</v>
      </c>
      <c r="X205">
        <v>0.54494831309058211</v>
      </c>
      <c r="Y205">
        <v>1.1434483130905821</v>
      </c>
      <c r="Z205">
        <v>1.1392818418201316</v>
      </c>
      <c r="AA205">
        <v>1.1735005018629807</v>
      </c>
      <c r="AB205">
        <v>1.7720005018629807</v>
      </c>
      <c r="AC205">
        <f>VLOOKUP($A205,raw[],29,FALSE)*(1-interactive!$C$7)</f>
        <v>3.6838900499999952E-2</v>
      </c>
      <c r="AD205">
        <f>VLOOKUP($A205,raw[],30,FALSE)*(1-interactive!$C$7)</f>
        <v>2.3627318963010588E-3</v>
      </c>
      <c r="AE205">
        <f>VLOOKUP($A205,raw[],31,FALSE)*(1-interactive!$C$7)</f>
        <v>8.5483061990526471E-4</v>
      </c>
      <c r="AF205">
        <f>VLOOKUP($A205,raw[],32,FALSE)*(1-interactive!$C$7)</f>
        <v>6.8463758532205838E-4</v>
      </c>
      <c r="AG205">
        <f>VLOOKUP($A205,raw[],33,FALSE)*(1-interactive!$C$7)</f>
        <v>1.1580958338805059E-3</v>
      </c>
      <c r="AH205">
        <f>VLOOKUP($A205,raw[],34,FALSE)*(1-interactive!$C$7)</f>
        <v>1.6276894721471765E-3</v>
      </c>
      <c r="AI205">
        <f>VLOOKUP($A205,raw[],35,FALSE)*(1-interactive!$C$7)</f>
        <v>1.765578287930363E-3</v>
      </c>
      <c r="AJ205">
        <f>VLOOKUP($A205,raw[],36,FALSE)*(1-interactive!$C$7)</f>
        <v>2.0367203875374627E-3</v>
      </c>
      <c r="AK205">
        <f>VLOOKUP($A205,raw[],37,FALSE)*(1-interactive!$C$7)</f>
        <v>2.5961849351398688E-3</v>
      </c>
      <c r="AL205">
        <f>VLOOKUP($A205,raw[],38,FALSE)*(1-interactive!$C$7)</f>
        <v>3.5799300564852373E-3</v>
      </c>
      <c r="AM205">
        <f>VLOOKUP($A205,raw[],39,FALSE)*(1-interactive!$C$7)</f>
        <v>5.2880732074011708E-3</v>
      </c>
      <c r="AN205">
        <f>VLOOKUP($A205,raw[],40,FALSE)*(1-interactive!$C$7)</f>
        <v>7.9531063523157215E-3</v>
      </c>
      <c r="AO205">
        <f>VLOOKUP($A205,raw[],41,FALSE)*(1-interactive!$C$7)</f>
        <v>1.2110019613039555E-2</v>
      </c>
      <c r="AP205">
        <f>VLOOKUP($A205,raw[],42,FALSE)*(1-interactive!$C$7)</f>
        <v>1.8559776864647014E-2</v>
      </c>
      <c r="AQ205">
        <f>VLOOKUP($A205,raw[],43,FALSE)*(1-interactive!$C$7)</f>
        <v>2.8501119188533906E-2</v>
      </c>
      <c r="AR205">
        <f>VLOOKUP($A205,raw[],44,FALSE)*(1-interactive!$C$7)</f>
        <v>4.4087674404212497E-2</v>
      </c>
      <c r="AS205">
        <f>VLOOKUP($A205,raw[],45,FALSE)*(1-interactive!$C$7)</f>
        <v>6.6778949535542156E-2</v>
      </c>
      <c r="AT205">
        <f>VLOOKUP($A205,raw[],46,FALSE)*(1-interactive!$C$7)</f>
        <v>9.6756167523152511E-2</v>
      </c>
      <c r="AU205">
        <f>VLOOKUP($A205,raw[],47,FALSE)*(1-interactive!$C$7)</f>
        <v>0.12847787610374051</v>
      </c>
      <c r="AV205">
        <f>VLOOKUP($A205,raw[],48,FALSE)*(1-interactive!$C$7)</f>
        <v>0.15418902774612428</v>
      </c>
      <c r="AW205">
        <f>VLOOKUP($A205,raw[],49,FALSE)*(1-interactive!$C$7)</f>
        <v>0.17071958321636557</v>
      </c>
      <c r="AX205">
        <f>VLOOKUP($A205,raw[],50,FALSE)*(1-interactive!$C$7)</f>
        <v>64.068950000000001</v>
      </c>
    </row>
    <row r="206" spans="1:50" x14ac:dyDescent="0.25">
      <c r="A206" t="s">
        <v>356</v>
      </c>
      <c r="B206" t="s">
        <v>357</v>
      </c>
      <c r="C206">
        <v>422</v>
      </c>
      <c r="D206" t="s">
        <v>196</v>
      </c>
      <c r="E206" t="s">
        <v>197</v>
      </c>
      <c r="F206" t="s">
        <v>197</v>
      </c>
      <c r="G206" t="s">
        <v>204</v>
      </c>
      <c r="J206">
        <f>VLOOKUP(raw_lb[[#This Row],[setting]],raw[],10,FALSE)*(1-interactive!$C$7)</f>
        <v>0.94904999999999995</v>
      </c>
      <c r="K206">
        <f>VLOOKUP(raw_lb[[#This Row],[setting]],raw[],11,FALSE)*(1-interactive!$C$7)</f>
        <v>0.73149999999999993</v>
      </c>
      <c r="L206">
        <f>VLOOKUP(raw_lb[[#This Row],[setting]],raw[],12,FALSE)*(1-interactive!$C$7)</f>
        <v>0.67449999999999999</v>
      </c>
      <c r="M206">
        <v>9.300000000000001E-3</v>
      </c>
      <c r="N206">
        <v>0.14980000000000002</v>
      </c>
      <c r="O206">
        <v>0.7</v>
      </c>
      <c r="P206">
        <v>0.05</v>
      </c>
      <c r="Q206">
        <v>2.5438108310626699</v>
      </c>
      <c r="R206">
        <v>9.6047108310626701</v>
      </c>
      <c r="S206">
        <v>55.693405069188252</v>
      </c>
      <c r="T206">
        <v>64.472970839912676</v>
      </c>
      <c r="U206">
        <v>60.441579814374876</v>
      </c>
      <c r="V206">
        <v>1.8125343970550738</v>
      </c>
      <c r="W206">
        <v>2.268534397055074</v>
      </c>
      <c r="X206">
        <v>1.3383657368297821</v>
      </c>
      <c r="Y206">
        <v>1.7943657368297821</v>
      </c>
      <c r="Z206">
        <v>1.7901378981017761</v>
      </c>
      <c r="AA206">
        <v>1.9665044374962919</v>
      </c>
      <c r="AB206">
        <v>2.4225044374962916</v>
      </c>
      <c r="AC206">
        <f>VLOOKUP($A206,raw[],29,FALSE)*(1-interactive!$C$7)</f>
        <v>8.9439839999999448E-3</v>
      </c>
      <c r="AD206">
        <f>VLOOKUP($A206,raw[],30,FALSE)*(1-interactive!$C$7)</f>
        <v>3.5771781304889532E-4</v>
      </c>
      <c r="AE206">
        <f>VLOOKUP($A206,raw[],31,FALSE)*(1-interactive!$C$7)</f>
        <v>1.7405355337161578E-4</v>
      </c>
      <c r="AF206">
        <f>VLOOKUP($A206,raw[],32,FALSE)*(1-interactive!$C$7)</f>
        <v>1.4579160709630906E-4</v>
      </c>
      <c r="AG206">
        <f>VLOOKUP($A206,raw[],33,FALSE)*(1-interactive!$C$7)</f>
        <v>2.7333490954801516E-4</v>
      </c>
      <c r="AH206">
        <f>VLOOKUP($A206,raw[],34,FALSE)*(1-interactive!$C$7)</f>
        <v>3.8105851063625532E-4</v>
      </c>
      <c r="AI206">
        <f>VLOOKUP($A206,raw[],35,FALSE)*(1-interactive!$C$7)</f>
        <v>4.079079182583706E-4</v>
      </c>
      <c r="AJ206">
        <f>VLOOKUP($A206,raw[],36,FALSE)*(1-interactive!$C$7)</f>
        <v>4.8028913932769658E-4</v>
      </c>
      <c r="AK206">
        <f>VLOOKUP($A206,raw[],37,FALSE)*(1-interactive!$C$7)</f>
        <v>6.4653482578109296E-4</v>
      </c>
      <c r="AL206">
        <f>VLOOKUP($A206,raw[],38,FALSE)*(1-interactive!$C$7)</f>
        <v>9.9429943554951413E-4</v>
      </c>
      <c r="AM206">
        <f>VLOOKUP($A206,raw[],39,FALSE)*(1-interactive!$C$7)</f>
        <v>1.7342095312434496E-3</v>
      </c>
      <c r="AN206">
        <f>VLOOKUP($A206,raw[],40,FALSE)*(1-interactive!$C$7)</f>
        <v>2.963526460428678E-3</v>
      </c>
      <c r="AO206">
        <f>VLOOKUP($A206,raw[],41,FALSE)*(1-interactive!$C$7)</f>
        <v>5.1683232243441889E-3</v>
      </c>
      <c r="AP206">
        <f>VLOOKUP($A206,raw[],42,FALSE)*(1-interactive!$C$7)</f>
        <v>8.2098292152751988E-3</v>
      </c>
      <c r="AQ206">
        <f>VLOOKUP($A206,raw[],43,FALSE)*(1-interactive!$C$7)</f>
        <v>1.3997440464389036E-2</v>
      </c>
      <c r="AR206">
        <f>VLOOKUP($A206,raw[],44,FALSE)*(1-interactive!$C$7)</f>
        <v>2.4229152548782214E-2</v>
      </c>
      <c r="AS206">
        <f>VLOOKUP($A206,raw[],45,FALSE)*(1-interactive!$C$7)</f>
        <v>4.0061017927271535E-2</v>
      </c>
      <c r="AT206">
        <f>VLOOKUP($A206,raw[],46,FALSE)*(1-interactive!$C$7)</f>
        <v>6.4722135995976857E-2</v>
      </c>
      <c r="AU206">
        <f>VLOOKUP($A206,raw[],47,FALSE)*(1-interactive!$C$7)</f>
        <v>9.6883284803762335E-2</v>
      </c>
      <c r="AV206">
        <f>VLOOKUP($A206,raw[],48,FALSE)*(1-interactive!$C$7)</f>
        <v>0.12925083737600901</v>
      </c>
      <c r="AW206">
        <f>VLOOKUP($A206,raw[],49,FALSE)*(1-interactive!$C$7)</f>
        <v>0.15491953009875059</v>
      </c>
      <c r="AX206">
        <f>VLOOKUP($A206,raw[],50,FALSE)*(1-interactive!$C$7)</f>
        <v>74.881849999999986</v>
      </c>
    </row>
    <row r="207" spans="1:50" x14ac:dyDescent="0.25">
      <c r="A207" t="s">
        <v>358</v>
      </c>
      <c r="B207" t="s">
        <v>359</v>
      </c>
      <c r="C207">
        <v>426</v>
      </c>
      <c r="D207" t="s">
        <v>207</v>
      </c>
      <c r="E207" t="s">
        <v>245</v>
      </c>
      <c r="F207" t="s">
        <v>211</v>
      </c>
      <c r="G207" t="s">
        <v>212</v>
      </c>
      <c r="J207">
        <f>VLOOKUP(raw_lb[[#This Row],[setting]],raw[],10,FALSE)*(1-interactive!$C$7)</f>
        <v>0.84929999999999994</v>
      </c>
      <c r="K207">
        <f>VLOOKUP(raw_lb[[#This Row],[setting]],raw[],11,FALSE)*(1-interactive!$C$7)</f>
        <v>0</v>
      </c>
      <c r="L207">
        <f>VLOOKUP(raw_lb[[#This Row],[setting]],raw[],12,FALSE)*(1-interactive!$C$7)</f>
        <v>0.82650000000000001</v>
      </c>
      <c r="M207">
        <v>7.0999999999999995E-3</v>
      </c>
      <c r="N207">
        <v>0.15109999999999998</v>
      </c>
      <c r="O207">
        <v>7.0000000000000007E-2</v>
      </c>
      <c r="P207">
        <v>1E-3</v>
      </c>
      <c r="Q207">
        <v>0.80221711711711707</v>
      </c>
      <c r="R207">
        <v>7.8631171171171186</v>
      </c>
      <c r="S207">
        <v>38.316474520321847</v>
      </c>
      <c r="T207">
        <v>38.958393941433428</v>
      </c>
      <c r="U207">
        <v>38.663638111707002</v>
      </c>
      <c r="V207">
        <v>2.183584432064595</v>
      </c>
      <c r="W207">
        <v>6.7720844320645952</v>
      </c>
      <c r="X207">
        <v>1.7136454044824414</v>
      </c>
      <c r="Y207">
        <v>6.3021454044824416</v>
      </c>
      <c r="Z207">
        <v>6.3009170248758588</v>
      </c>
      <c r="AA207">
        <v>2.3245030346355575</v>
      </c>
      <c r="AB207">
        <v>6.9130030346355573</v>
      </c>
      <c r="AC207">
        <f>VLOOKUP($A207,raw[],29,FALSE)*(1-interactive!$C$7)</f>
        <v>5.9145764999999954E-2</v>
      </c>
      <c r="AD207">
        <f>VLOOKUP($A207,raw[],30,FALSE)*(1-interactive!$C$7)</f>
        <v>6.2825696170148559E-3</v>
      </c>
      <c r="AE207">
        <f>VLOOKUP($A207,raw[],31,FALSE)*(1-interactive!$C$7)</f>
        <v>1.6403385869732461E-3</v>
      </c>
      <c r="AF207">
        <f>VLOOKUP($A207,raw[],32,FALSE)*(1-interactive!$C$7)</f>
        <v>1.3570381908872605E-3</v>
      </c>
      <c r="AG207">
        <f>VLOOKUP($A207,raw[],33,FALSE)*(1-interactive!$C$7)</f>
        <v>2.0843198656365284E-3</v>
      </c>
      <c r="AH207">
        <f>VLOOKUP($A207,raw[],34,FALSE)*(1-interactive!$C$7)</f>
        <v>3.8236585680442759E-3</v>
      </c>
      <c r="AI207">
        <f>VLOOKUP($A207,raw[],35,FALSE)*(1-interactive!$C$7)</f>
        <v>7.0647665568528157E-3</v>
      </c>
      <c r="AJ207">
        <f>VLOOKUP($A207,raw[],36,FALSE)*(1-interactive!$C$7)</f>
        <v>1.0660175255321086E-2</v>
      </c>
      <c r="AK207">
        <f>VLOOKUP($A207,raw[],37,FALSE)*(1-interactive!$C$7)</f>
        <v>1.5634498463728712E-2</v>
      </c>
      <c r="AL207">
        <f>VLOOKUP($A207,raw[],38,FALSE)*(1-interactive!$C$7)</f>
        <v>1.7641642103208021E-2</v>
      </c>
      <c r="AM207">
        <f>VLOOKUP($A207,raw[],39,FALSE)*(1-interactive!$C$7)</f>
        <v>1.9584920894772404E-2</v>
      </c>
      <c r="AN207">
        <f>VLOOKUP($A207,raw[],40,FALSE)*(1-interactive!$C$7)</f>
        <v>2.1086391397267919E-2</v>
      </c>
      <c r="AO207">
        <f>VLOOKUP($A207,raw[],41,FALSE)*(1-interactive!$C$7)</f>
        <v>2.3722252055549231E-2</v>
      </c>
      <c r="AP207">
        <f>VLOOKUP($A207,raw[],42,FALSE)*(1-interactive!$C$7)</f>
        <v>2.8712471090952599E-2</v>
      </c>
      <c r="AQ207">
        <f>VLOOKUP($A207,raw[],43,FALSE)*(1-interactive!$C$7)</f>
        <v>3.765965321477123E-2</v>
      </c>
      <c r="AR207">
        <f>VLOOKUP($A207,raw[],44,FALSE)*(1-interactive!$C$7)</f>
        <v>5.1745341650435463E-2</v>
      </c>
      <c r="AS207">
        <f>VLOOKUP($A207,raw[],45,FALSE)*(1-interactive!$C$7)</f>
        <v>7.0862512193891225E-2</v>
      </c>
      <c r="AT207">
        <f>VLOOKUP($A207,raw[],46,FALSE)*(1-interactive!$C$7)</f>
        <v>0.10045394695280414</v>
      </c>
      <c r="AU207">
        <f>VLOOKUP($A207,raw[],47,FALSE)*(1-interactive!$C$7)</f>
        <v>0.1358674548649042</v>
      </c>
      <c r="AV207">
        <f>VLOOKUP($A207,raw[],48,FALSE)*(1-interactive!$C$7)</f>
        <v>0.16247283077024666</v>
      </c>
      <c r="AW207">
        <f>VLOOKUP($A207,raw[],49,FALSE)*(1-interactive!$C$7)</f>
        <v>0.17327074249170982</v>
      </c>
      <c r="AX207">
        <f>VLOOKUP($A207,raw[],50,FALSE)*(1-interactive!$C$7)</f>
        <v>50.835450000000002</v>
      </c>
    </row>
    <row r="208" spans="1:50" x14ac:dyDescent="0.25">
      <c r="A208" t="s">
        <v>360</v>
      </c>
      <c r="B208" t="s">
        <v>361</v>
      </c>
      <c r="C208">
        <v>430</v>
      </c>
      <c r="D208" t="s">
        <v>207</v>
      </c>
      <c r="E208" t="s">
        <v>235</v>
      </c>
      <c r="F208" t="s">
        <v>211</v>
      </c>
      <c r="G208" t="s">
        <v>198</v>
      </c>
      <c r="J208">
        <f>VLOOKUP(raw_lb[[#This Row],[setting]],raw[],10,FALSE)*(1-interactive!$C$7)</f>
        <v>0.75809999999999989</v>
      </c>
      <c r="K208">
        <f>VLOOKUP(raw_lb[[#This Row],[setting]],raw[],11,FALSE)*(1-interactive!$C$7)</f>
        <v>0</v>
      </c>
      <c r="L208">
        <f>VLOOKUP(raw_lb[[#This Row],[setting]],raw[],12,FALSE)*(1-interactive!$C$7)</f>
        <v>0.61749999999999994</v>
      </c>
      <c r="M208">
        <v>0.11550000000000001</v>
      </c>
      <c r="N208">
        <v>0.155</v>
      </c>
      <c r="O208">
        <v>7.0000000000000007E-2</v>
      </c>
      <c r="P208">
        <v>1E-3</v>
      </c>
      <c r="Q208">
        <v>0.59134671916010506</v>
      </c>
      <c r="R208">
        <v>7.6522467191601056</v>
      </c>
      <c r="S208">
        <v>37.156570473624868</v>
      </c>
      <c r="T208">
        <v>37.304551050382308</v>
      </c>
      <c r="U208">
        <v>37.236601497446202</v>
      </c>
      <c r="V208">
        <v>1.2978154735972489</v>
      </c>
      <c r="W208">
        <v>5.8863154735972483</v>
      </c>
      <c r="X208">
        <v>0.82765119361929684</v>
      </c>
      <c r="Y208">
        <v>5.4161511936192968</v>
      </c>
      <c r="Z208">
        <v>5.4147869943107896</v>
      </c>
      <c r="AA208">
        <v>1.4394291407038189</v>
      </c>
      <c r="AB208">
        <v>6.0279291407038187</v>
      </c>
      <c r="AC208">
        <f>VLOOKUP($A208,raw[],29,FALSE)*(1-interactive!$C$7)</f>
        <v>5.1370261999999937E-2</v>
      </c>
      <c r="AD208">
        <f>VLOOKUP($A208,raw[],30,FALSE)*(1-interactive!$C$7)</f>
        <v>5.030967193798818E-3</v>
      </c>
      <c r="AE208">
        <f>VLOOKUP($A208,raw[],31,FALSE)*(1-interactive!$C$7)</f>
        <v>1.4482350125820259E-3</v>
      </c>
      <c r="AF208">
        <f>VLOOKUP($A208,raw[],32,FALSE)*(1-interactive!$C$7)</f>
        <v>1.0289491948835411E-3</v>
      </c>
      <c r="AG208">
        <f>VLOOKUP($A208,raw[],33,FALSE)*(1-interactive!$C$7)</f>
        <v>1.6172831463998017E-3</v>
      </c>
      <c r="AH208">
        <f>VLOOKUP($A208,raw[],34,FALSE)*(1-interactive!$C$7)</f>
        <v>2.3798681298810619E-3</v>
      </c>
      <c r="AI208">
        <f>VLOOKUP($A208,raw[],35,FALSE)*(1-interactive!$C$7)</f>
        <v>2.8924034846330602E-3</v>
      </c>
      <c r="AJ208">
        <f>VLOOKUP($A208,raw[],36,FALSE)*(1-interactive!$C$7)</f>
        <v>3.4827659108951012E-3</v>
      </c>
      <c r="AK208">
        <f>VLOOKUP($A208,raw[],37,FALSE)*(1-interactive!$C$7)</f>
        <v>4.3390493914699201E-3</v>
      </c>
      <c r="AL208">
        <f>VLOOKUP($A208,raw[],38,FALSE)*(1-interactive!$C$7)</f>
        <v>5.4400846282349809E-3</v>
      </c>
      <c r="AM208">
        <f>VLOOKUP($A208,raw[],39,FALSE)*(1-interactive!$C$7)</f>
        <v>6.7682314171223926E-3</v>
      </c>
      <c r="AN208">
        <f>VLOOKUP($A208,raw[],40,FALSE)*(1-interactive!$C$7)</f>
        <v>9.3566797810908289E-3</v>
      </c>
      <c r="AO208">
        <f>VLOOKUP($A208,raw[],41,FALSE)*(1-interactive!$C$7)</f>
        <v>1.2409499545615833E-2</v>
      </c>
      <c r="AP208">
        <f>VLOOKUP($A208,raw[],42,FALSE)*(1-interactive!$C$7)</f>
        <v>1.842281795731323E-2</v>
      </c>
      <c r="AQ208">
        <f>VLOOKUP($A208,raw[],43,FALSE)*(1-interactive!$C$7)</f>
        <v>2.8283466633527338E-2</v>
      </c>
      <c r="AR208">
        <f>VLOOKUP($A208,raw[],44,FALSE)*(1-interactive!$C$7)</f>
        <v>4.3953769461105199E-2</v>
      </c>
      <c r="AS208">
        <f>VLOOKUP($A208,raw[],45,FALSE)*(1-interactive!$C$7)</f>
        <v>6.7267336478127895E-2</v>
      </c>
      <c r="AT208">
        <f>VLOOKUP($A208,raw[],46,FALSE)*(1-interactive!$C$7)</f>
        <v>0.1004660498728287</v>
      </c>
      <c r="AU208">
        <f>VLOOKUP($A208,raw[],47,FALSE)*(1-interactive!$C$7)</f>
        <v>0.13833679232578644</v>
      </c>
      <c r="AV208">
        <f>VLOOKUP($A208,raw[],48,FALSE)*(1-interactive!$C$7)</f>
        <v>0.16946087051170691</v>
      </c>
      <c r="AW208">
        <f>VLOOKUP($A208,raw[],49,FALSE)*(1-interactive!$C$7)</f>
        <v>0.17959427908577799</v>
      </c>
      <c r="AX208">
        <f>VLOOKUP($A208,raw[],50,FALSE)*(1-interactive!$C$7)</f>
        <v>60.416199999999996</v>
      </c>
    </row>
    <row r="209" spans="1:50" x14ac:dyDescent="0.25">
      <c r="A209" t="s">
        <v>362</v>
      </c>
      <c r="B209" t="s">
        <v>363</v>
      </c>
      <c r="C209">
        <v>434</v>
      </c>
      <c r="D209" t="s">
        <v>196</v>
      </c>
      <c r="E209" t="s">
        <v>197</v>
      </c>
      <c r="F209" t="s">
        <v>197</v>
      </c>
      <c r="G209" t="s">
        <v>204</v>
      </c>
      <c r="J209">
        <f>VLOOKUP(raw_lb[[#This Row],[setting]],raw[],10,FALSE)*(1-interactive!$C$7)</f>
        <v>0.94904999999999995</v>
      </c>
      <c r="K209">
        <f>VLOOKUP(raw_lb[[#This Row],[setting]],raw[],11,FALSE)*(1-interactive!$C$7)</f>
        <v>0</v>
      </c>
      <c r="L209">
        <f>VLOOKUP(raw_lb[[#This Row],[setting]],raw[],12,FALSE)*(1-interactive!$C$7)</f>
        <v>0.69350000000000001</v>
      </c>
      <c r="M209">
        <v>1.6399999999999998E-2</v>
      </c>
      <c r="N209">
        <v>0.14980000000000002</v>
      </c>
      <c r="O209">
        <v>0.7</v>
      </c>
      <c r="P209">
        <v>0.05</v>
      </c>
      <c r="Q209">
        <v>2.2256367581175098</v>
      </c>
      <c r="R209">
        <v>9.28653675811751</v>
      </c>
      <c r="S209">
        <v>54.872722688849692</v>
      </c>
      <c r="T209">
        <v>63.390750448817812</v>
      </c>
      <c r="U209">
        <v>59.479452149610012</v>
      </c>
      <c r="V209">
        <v>2.8805062868285347</v>
      </c>
      <c r="W209">
        <v>3.3365062868285347</v>
      </c>
      <c r="X209">
        <v>2.4079237896376999</v>
      </c>
      <c r="Y209">
        <v>2.8639237896376999</v>
      </c>
      <c r="Z209">
        <v>2.8610087123415791</v>
      </c>
      <c r="AA209">
        <v>3.0295818813348552</v>
      </c>
      <c r="AB209">
        <v>3.4855818813348551</v>
      </c>
      <c r="AC209">
        <f>VLOOKUP($A209,raw[],29,FALSE)*(1-interactive!$C$7)</f>
        <v>1.0004849000000067E-2</v>
      </c>
      <c r="AD209">
        <f>VLOOKUP($A209,raw[],30,FALSE)*(1-interactive!$C$7)</f>
        <v>5.212444441641328E-4</v>
      </c>
      <c r="AE209">
        <f>VLOOKUP($A209,raw[],31,FALSE)*(1-interactive!$C$7)</f>
        <v>3.6694379435861898E-4</v>
      </c>
      <c r="AF209">
        <f>VLOOKUP($A209,raw[],32,FALSE)*(1-interactive!$C$7)</f>
        <v>3.7363887807167568E-4</v>
      </c>
      <c r="AG209">
        <f>VLOOKUP($A209,raw[],33,FALSE)*(1-interactive!$C$7)</f>
        <v>9.4089420328248086E-4</v>
      </c>
      <c r="AH209">
        <f>VLOOKUP($A209,raw[],34,FALSE)*(1-interactive!$C$7)</f>
        <v>1.2732191122482193E-3</v>
      </c>
      <c r="AI209">
        <f>VLOOKUP($A209,raw[],35,FALSE)*(1-interactive!$C$7)</f>
        <v>1.3529884858479106E-3</v>
      </c>
      <c r="AJ209">
        <f>VLOOKUP($A209,raw[],36,FALSE)*(1-interactive!$C$7)</f>
        <v>1.4910850438849372E-3</v>
      </c>
      <c r="AK209">
        <f>VLOOKUP($A209,raw[],37,FALSE)*(1-interactive!$C$7)</f>
        <v>1.8718313425406066E-3</v>
      </c>
      <c r="AL209">
        <f>VLOOKUP($A209,raw[],38,FALSE)*(1-interactive!$C$7)</f>
        <v>2.637260680520827E-3</v>
      </c>
      <c r="AM209">
        <f>VLOOKUP($A209,raw[],39,FALSE)*(1-interactive!$C$7)</f>
        <v>3.7594967354708428E-3</v>
      </c>
      <c r="AN209">
        <f>VLOOKUP($A209,raw[],40,FALSE)*(1-interactive!$C$7)</f>
        <v>5.9076461328454229E-3</v>
      </c>
      <c r="AO209">
        <f>VLOOKUP($A209,raw[],41,FALSE)*(1-interactive!$C$7)</f>
        <v>9.431230676518498E-3</v>
      </c>
      <c r="AP209">
        <f>VLOOKUP($A209,raw[],42,FALSE)*(1-interactive!$C$7)</f>
        <v>1.486770838024049E-2</v>
      </c>
      <c r="AQ209">
        <f>VLOOKUP($A209,raw[],43,FALSE)*(1-interactive!$C$7)</f>
        <v>2.3943980951375943E-2</v>
      </c>
      <c r="AR209">
        <f>VLOOKUP($A209,raw[],44,FALSE)*(1-interactive!$C$7)</f>
        <v>3.6906024800835338E-2</v>
      </c>
      <c r="AS209">
        <f>VLOOKUP($A209,raw[],45,FALSE)*(1-interactive!$C$7)</f>
        <v>5.7894581415307865E-2</v>
      </c>
      <c r="AT209">
        <f>VLOOKUP($A209,raw[],46,FALSE)*(1-interactive!$C$7)</f>
        <v>8.7590227523592828E-2</v>
      </c>
      <c r="AU209">
        <f>VLOOKUP($A209,raw[],47,FALSE)*(1-interactive!$C$7)</f>
        <v>0.12061919792252451</v>
      </c>
      <c r="AV209">
        <f>VLOOKUP($A209,raw[],48,FALSE)*(1-interactive!$C$7)</f>
        <v>0.14981592306342881</v>
      </c>
      <c r="AW209">
        <f>VLOOKUP($A209,raw[],49,FALSE)*(1-interactive!$C$7)</f>
        <v>0.16756979371027877</v>
      </c>
      <c r="AX209">
        <f>VLOOKUP($A209,raw[],50,FALSE)*(1-interactive!$C$7)</f>
        <v>69.065949999999987</v>
      </c>
    </row>
    <row r="210" spans="1:50" x14ac:dyDescent="0.25">
      <c r="A210" t="s">
        <v>364</v>
      </c>
      <c r="B210" t="s">
        <v>365</v>
      </c>
      <c r="C210">
        <v>450</v>
      </c>
      <c r="D210" t="s">
        <v>207</v>
      </c>
      <c r="E210" t="s">
        <v>255</v>
      </c>
      <c r="F210" t="s">
        <v>211</v>
      </c>
      <c r="G210" t="s">
        <v>198</v>
      </c>
      <c r="J210">
        <f>VLOOKUP(raw_lb[[#This Row],[setting]],raw[],10,FALSE)*(1-interactive!$C$7)</f>
        <v>0.36764999999999998</v>
      </c>
      <c r="K210">
        <f>VLOOKUP(raw_lb[[#This Row],[setting]],raw[],11,FALSE)*(1-interactive!$C$7)</f>
        <v>0</v>
      </c>
      <c r="L210">
        <f>VLOOKUP(raw_lb[[#This Row],[setting]],raw[],12,FALSE)*(1-interactive!$C$7)</f>
        <v>0.66499999999999992</v>
      </c>
      <c r="M210">
        <v>5.7300000000000004E-2</v>
      </c>
      <c r="N210">
        <v>0.15560000000000002</v>
      </c>
      <c r="O210">
        <v>7.0000000000000007E-2</v>
      </c>
      <c r="P210">
        <v>1E-3</v>
      </c>
      <c r="Q210">
        <v>0.59121961057023609</v>
      </c>
      <c r="R210">
        <v>7.6521196105702369</v>
      </c>
      <c r="S210">
        <v>37.205502041832716</v>
      </c>
      <c r="T210">
        <v>37.379015945206319</v>
      </c>
      <c r="U210">
        <v>37.299342028393838</v>
      </c>
      <c r="V210">
        <v>0.80217391068414079</v>
      </c>
      <c r="W210">
        <v>5.390673910684141</v>
      </c>
      <c r="X210">
        <v>0.33240227425864488</v>
      </c>
      <c r="Y210">
        <v>4.920902274258645</v>
      </c>
      <c r="Z210">
        <v>4.919638079117524</v>
      </c>
      <c r="AA210">
        <v>0.94257599197170272</v>
      </c>
      <c r="AB210">
        <v>5.5310759919717025</v>
      </c>
      <c r="AC210">
        <f>VLOOKUP($A210,raw[],29,FALSE)*(1-interactive!$C$7)</f>
        <v>2.7590118499999983E-2</v>
      </c>
      <c r="AD210">
        <f>VLOOKUP($A210,raw[],30,FALSE)*(1-interactive!$C$7)</f>
        <v>3.4617680900787384E-3</v>
      </c>
      <c r="AE210">
        <f>VLOOKUP($A210,raw[],31,FALSE)*(1-interactive!$C$7)</f>
        <v>1.5992797363710079E-3</v>
      </c>
      <c r="AF210">
        <f>VLOOKUP($A210,raw[],32,FALSE)*(1-interactive!$C$7)</f>
        <v>1.2573723991004023E-3</v>
      </c>
      <c r="AG210">
        <f>VLOOKUP($A210,raw[],33,FALSE)*(1-interactive!$C$7)</f>
        <v>1.7485279736519535E-3</v>
      </c>
      <c r="AH210">
        <f>VLOOKUP($A210,raw[],34,FALSE)*(1-interactive!$C$7)</f>
        <v>2.0232221781811286E-3</v>
      </c>
      <c r="AI210">
        <f>VLOOKUP($A210,raw[],35,FALSE)*(1-interactive!$C$7)</f>
        <v>2.2417675127433482E-3</v>
      </c>
      <c r="AJ210">
        <f>VLOOKUP($A210,raw[],36,FALSE)*(1-interactive!$C$7)</f>
        <v>2.8939676803559728E-3</v>
      </c>
      <c r="AK210">
        <f>VLOOKUP($A210,raw[],37,FALSE)*(1-interactive!$C$7)</f>
        <v>3.7200459373783585E-3</v>
      </c>
      <c r="AL210">
        <f>VLOOKUP($A210,raw[],38,FALSE)*(1-interactive!$C$7)</f>
        <v>4.8032887001881247E-3</v>
      </c>
      <c r="AM210">
        <f>VLOOKUP($A210,raw[],39,FALSE)*(1-interactive!$C$7)</f>
        <v>6.3278980997258389E-3</v>
      </c>
      <c r="AN210">
        <f>VLOOKUP($A210,raw[],40,FALSE)*(1-interactive!$C$7)</f>
        <v>8.4636902708689378E-3</v>
      </c>
      <c r="AO210">
        <f>VLOOKUP($A210,raw[],41,FALSE)*(1-interactive!$C$7)</f>
        <v>1.1912948115099546E-2</v>
      </c>
      <c r="AP210">
        <f>VLOOKUP($A210,raw[],42,FALSE)*(1-interactive!$C$7)</f>
        <v>1.8205612353105891E-2</v>
      </c>
      <c r="AQ210">
        <f>VLOOKUP($A210,raw[],43,FALSE)*(1-interactive!$C$7)</f>
        <v>2.9325298194772514E-2</v>
      </c>
      <c r="AR210">
        <f>VLOOKUP($A210,raw[],44,FALSE)*(1-interactive!$C$7)</f>
        <v>4.4796108625900229E-2</v>
      </c>
      <c r="AS210">
        <f>VLOOKUP($A210,raw[],45,FALSE)*(1-interactive!$C$7)</f>
        <v>6.516716339746334E-2</v>
      </c>
      <c r="AT210">
        <f>VLOOKUP($A210,raw[],46,FALSE)*(1-interactive!$C$7)</f>
        <v>9.0217700418039407E-2</v>
      </c>
      <c r="AU210">
        <f>VLOOKUP($A210,raw[],47,FALSE)*(1-interactive!$C$7)</f>
        <v>0.11736498573978038</v>
      </c>
      <c r="AV210">
        <f>VLOOKUP($A210,raw[],48,FALSE)*(1-interactive!$C$7)</f>
        <v>0.14240799063333512</v>
      </c>
      <c r="AW210">
        <f>VLOOKUP($A210,raw[],49,FALSE)*(1-interactive!$C$7)</f>
        <v>0.16129594414486181</v>
      </c>
      <c r="AX210">
        <f>VLOOKUP($A210,raw[],50,FALSE)*(1-interactive!$C$7)</f>
        <v>63.162649999999992</v>
      </c>
    </row>
    <row r="211" spans="1:50" x14ac:dyDescent="0.25">
      <c r="A211" t="s">
        <v>366</v>
      </c>
      <c r="B211" t="s">
        <v>367</v>
      </c>
      <c r="C211">
        <v>454</v>
      </c>
      <c r="D211" t="s">
        <v>207</v>
      </c>
      <c r="E211" t="s">
        <v>255</v>
      </c>
      <c r="F211" t="s">
        <v>211</v>
      </c>
      <c r="G211" t="s">
        <v>198</v>
      </c>
      <c r="J211">
        <f>VLOOKUP(raw_lb[[#This Row],[setting]],raw[],10,FALSE)*(1-interactive!$C$7)</f>
        <v>0.86829999999999996</v>
      </c>
      <c r="K211">
        <f>VLOOKUP(raw_lb[[#This Row],[setting]],raw[],11,FALSE)*(1-interactive!$C$7)</f>
        <v>0</v>
      </c>
      <c r="L211">
        <f>VLOOKUP(raw_lb[[#This Row],[setting]],raw[],12,FALSE)*(1-interactive!$C$7)</f>
        <v>0.85499999999999998</v>
      </c>
      <c r="M211">
        <v>4.1599999999999998E-2</v>
      </c>
      <c r="N211">
        <v>0.15560000000000002</v>
      </c>
      <c r="O211">
        <v>7.0000000000000007E-2</v>
      </c>
      <c r="P211">
        <v>1E-3</v>
      </c>
      <c r="Q211">
        <v>0.65929601837672303</v>
      </c>
      <c r="R211">
        <v>7.7201960183767238</v>
      </c>
      <c r="S211">
        <v>37.42065512825554</v>
      </c>
      <c r="T211">
        <v>37.670717302350262</v>
      </c>
      <c r="U211">
        <v>37.555894037646958</v>
      </c>
      <c r="V211">
        <v>1.009291225662692</v>
      </c>
      <c r="W211">
        <v>5.597791225662692</v>
      </c>
      <c r="X211">
        <v>0.5391089301283809</v>
      </c>
      <c r="Y211">
        <v>5.1276089301283809</v>
      </c>
      <c r="Z211">
        <v>5.126230083322751</v>
      </c>
      <c r="AA211">
        <v>1.1509604836288838</v>
      </c>
      <c r="AB211">
        <v>5.7394604836288838</v>
      </c>
      <c r="AC211">
        <f>VLOOKUP($A211,raw[],29,FALSE)*(1-interactive!$C$7)</f>
        <v>3.9268696500000054E-2</v>
      </c>
      <c r="AD211">
        <f>VLOOKUP($A211,raw[],30,FALSE)*(1-interactive!$C$7)</f>
        <v>3.4973670612388034E-3</v>
      </c>
      <c r="AE211">
        <f>VLOOKUP($A211,raw[],31,FALSE)*(1-interactive!$C$7)</f>
        <v>1.1846171161731017E-3</v>
      </c>
      <c r="AF211">
        <f>VLOOKUP($A211,raw[],32,FALSE)*(1-interactive!$C$7)</f>
        <v>9.2400528081368186E-4</v>
      </c>
      <c r="AG211">
        <f>VLOOKUP($A211,raw[],33,FALSE)*(1-interactive!$C$7)</f>
        <v>1.5194186500664185E-3</v>
      </c>
      <c r="AH211">
        <f>VLOOKUP($A211,raw[],34,FALSE)*(1-interactive!$C$7)</f>
        <v>2.4011463251929384E-3</v>
      </c>
      <c r="AI211">
        <f>VLOOKUP($A211,raw[],35,FALSE)*(1-interactive!$C$7)</f>
        <v>3.2978673137895645E-3</v>
      </c>
      <c r="AJ211">
        <f>VLOOKUP($A211,raw[],36,FALSE)*(1-interactive!$C$7)</f>
        <v>4.2998613910693005E-3</v>
      </c>
      <c r="AK211">
        <f>VLOOKUP($A211,raw[],37,FALSE)*(1-interactive!$C$7)</f>
        <v>5.7363046527028989E-3</v>
      </c>
      <c r="AL211">
        <f>VLOOKUP($A211,raw[],38,FALSE)*(1-interactive!$C$7)</f>
        <v>7.1231366687273343E-3</v>
      </c>
      <c r="AM211">
        <f>VLOOKUP($A211,raw[],39,FALSE)*(1-interactive!$C$7)</f>
        <v>8.7728184576895598E-3</v>
      </c>
      <c r="AN211">
        <f>VLOOKUP($A211,raw[],40,FALSE)*(1-interactive!$C$7)</f>
        <v>1.1495673451895482E-2</v>
      </c>
      <c r="AO211">
        <f>VLOOKUP($A211,raw[],41,FALSE)*(1-interactive!$C$7)</f>
        <v>1.4687690279240143E-2</v>
      </c>
      <c r="AP211">
        <f>VLOOKUP($A211,raw[],42,FALSE)*(1-interactive!$C$7)</f>
        <v>2.0709775178139746E-2</v>
      </c>
      <c r="AQ211">
        <f>VLOOKUP($A211,raw[],43,FALSE)*(1-interactive!$C$7)</f>
        <v>3.0408194965134264E-2</v>
      </c>
      <c r="AR211">
        <f>VLOOKUP($A211,raw[],44,FALSE)*(1-interactive!$C$7)</f>
        <v>4.5390438167418071E-2</v>
      </c>
      <c r="AS211">
        <f>VLOOKUP($A211,raw[],45,FALSE)*(1-interactive!$C$7)</f>
        <v>6.7483924337195605E-2</v>
      </c>
      <c r="AT211">
        <f>VLOOKUP($A211,raw[],46,FALSE)*(1-interactive!$C$7)</f>
        <v>9.9851176084888263E-2</v>
      </c>
      <c r="AU211">
        <f>VLOOKUP($A211,raw[],47,FALSE)*(1-interactive!$C$7)</f>
        <v>0.13748125082601351</v>
      </c>
      <c r="AV211">
        <f>VLOOKUP($A211,raw[],48,FALSE)*(1-interactive!$C$7)</f>
        <v>0.16834140552339177</v>
      </c>
      <c r="AW211">
        <f>VLOOKUP($A211,raw[],49,FALSE)*(1-interactive!$C$7)</f>
        <v>0.17912613461231874</v>
      </c>
      <c r="AX211">
        <f>VLOOKUP($A211,raw[],50,FALSE)*(1-interactive!$C$7)</f>
        <v>60.260399999999997</v>
      </c>
    </row>
    <row r="212" spans="1:50" x14ac:dyDescent="0.25">
      <c r="A212" t="s">
        <v>368</v>
      </c>
      <c r="B212" t="s">
        <v>369</v>
      </c>
      <c r="C212">
        <v>458</v>
      </c>
      <c r="D212" t="s">
        <v>260</v>
      </c>
      <c r="E212" t="s">
        <v>261</v>
      </c>
      <c r="F212" t="s">
        <v>262</v>
      </c>
      <c r="G212" t="s">
        <v>204</v>
      </c>
      <c r="J212">
        <f>VLOOKUP(raw_lb[[#This Row],[setting]],raw[],10,FALSE)*(1-interactive!$C$7)</f>
        <v>0.93955000000000011</v>
      </c>
      <c r="K212">
        <f>VLOOKUP(raw_lb[[#This Row],[setting]],raw[],11,FALSE)*(1-interactive!$C$7)</f>
        <v>0.9405</v>
      </c>
      <c r="L212">
        <f>VLOOKUP(raw_lb[[#This Row],[setting]],raw[],12,FALSE)*(1-interactive!$C$7)</f>
        <v>0.9405</v>
      </c>
      <c r="M212">
        <v>1.06E-2</v>
      </c>
      <c r="N212">
        <v>0.18100000000000002</v>
      </c>
      <c r="O212">
        <v>0.7</v>
      </c>
      <c r="P212">
        <v>0.05</v>
      </c>
      <c r="Q212">
        <v>2.2230576556921902</v>
      </c>
      <c r="R212">
        <v>9.2839576556921912</v>
      </c>
      <c r="S212">
        <v>53.033620508340604</v>
      </c>
      <c r="T212">
        <v>60.595802194755066</v>
      </c>
      <c r="U212">
        <v>57.123408208511016</v>
      </c>
      <c r="V212">
        <v>2.2521086453744199</v>
      </c>
      <c r="W212">
        <v>2.8506086453744199</v>
      </c>
      <c r="X212">
        <v>1.7709283534882208</v>
      </c>
      <c r="Y212">
        <v>2.3694283534882206</v>
      </c>
      <c r="Z212">
        <v>2.3609644858630165</v>
      </c>
      <c r="AA212">
        <v>2.4277145777978655</v>
      </c>
      <c r="AB212">
        <v>3.0262145777978655</v>
      </c>
      <c r="AC212">
        <f>VLOOKUP($A212,raw[],29,FALSE)*(1-interactive!$C$7)</f>
        <v>5.6030715000000564E-3</v>
      </c>
      <c r="AD212">
        <f>VLOOKUP($A212,raw[],30,FALSE)*(1-interactive!$C$7)</f>
        <v>2.5564227044179959E-4</v>
      </c>
      <c r="AE212">
        <f>VLOOKUP($A212,raw[],31,FALSE)*(1-interactive!$C$7)</f>
        <v>1.6530806827277973E-4</v>
      </c>
      <c r="AF212">
        <f>VLOOKUP($A212,raw[],32,FALSE)*(1-interactive!$C$7)</f>
        <v>2.2946083496484381E-4</v>
      </c>
      <c r="AG212">
        <f>VLOOKUP($A212,raw[],33,FALSE)*(1-interactive!$C$7)</f>
        <v>5.3639153355413587E-4</v>
      </c>
      <c r="AH212">
        <f>VLOOKUP($A212,raw[],34,FALSE)*(1-interactive!$C$7)</f>
        <v>5.6242699652660915E-4</v>
      </c>
      <c r="AI212">
        <f>VLOOKUP($A212,raw[],35,FALSE)*(1-interactive!$C$7)</f>
        <v>5.9130530949175067E-4</v>
      </c>
      <c r="AJ212">
        <f>VLOOKUP($A212,raw[],36,FALSE)*(1-interactive!$C$7)</f>
        <v>1.022435471937195E-3</v>
      </c>
      <c r="AK212">
        <f>VLOOKUP($A212,raw[],37,FALSE)*(1-interactive!$C$7)</f>
        <v>1.5222242920445209E-3</v>
      </c>
      <c r="AL212">
        <f>VLOOKUP($A212,raw[],38,FALSE)*(1-interactive!$C$7)</f>
        <v>2.2612981290101456E-3</v>
      </c>
      <c r="AM212">
        <f>VLOOKUP($A212,raw[],39,FALSE)*(1-interactive!$C$7)</f>
        <v>3.9489686971579752E-3</v>
      </c>
      <c r="AN212">
        <f>VLOOKUP($A212,raw[],40,FALSE)*(1-interactive!$C$7)</f>
        <v>5.9861733250361152E-3</v>
      </c>
      <c r="AO212">
        <f>VLOOKUP($A212,raw[],41,FALSE)*(1-interactive!$C$7)</f>
        <v>8.7120669508740749E-3</v>
      </c>
      <c r="AP212">
        <f>VLOOKUP($A212,raw[],42,FALSE)*(1-interactive!$C$7)</f>
        <v>1.1995452753091542E-2</v>
      </c>
      <c r="AQ212">
        <f>VLOOKUP($A212,raw[],43,FALSE)*(1-interactive!$C$7)</f>
        <v>1.9262594686177689E-2</v>
      </c>
      <c r="AR212">
        <f>VLOOKUP($A212,raw[],44,FALSE)*(1-interactive!$C$7)</f>
        <v>3.2368596829322693E-2</v>
      </c>
      <c r="AS212">
        <f>VLOOKUP($A212,raw[],45,FALSE)*(1-interactive!$C$7)</f>
        <v>4.5957029309086114E-2</v>
      </c>
      <c r="AT212">
        <f>VLOOKUP($A212,raw[],46,FALSE)*(1-interactive!$C$7)</f>
        <v>6.6824583168029764E-2</v>
      </c>
      <c r="AU212">
        <f>VLOOKUP($A212,raw[],47,FALSE)*(1-interactive!$C$7)</f>
        <v>9.1253303884483258E-2</v>
      </c>
      <c r="AV212">
        <f>VLOOKUP($A212,raw[],48,FALSE)*(1-interactive!$C$7)</f>
        <v>0.11535209519162341</v>
      </c>
      <c r="AW212">
        <f>VLOOKUP($A212,raw[],49,FALSE)*(1-interactive!$C$7)</f>
        <v>0.13412686171627208</v>
      </c>
      <c r="AX212">
        <f>VLOOKUP($A212,raw[],50,FALSE)*(1-interactive!$C$7)</f>
        <v>72.130650000000003</v>
      </c>
    </row>
    <row r="213" spans="1:50" x14ac:dyDescent="0.25">
      <c r="A213" t="s">
        <v>370</v>
      </c>
      <c r="B213" t="s">
        <v>371</v>
      </c>
      <c r="C213">
        <v>462</v>
      </c>
      <c r="D213" t="s">
        <v>225</v>
      </c>
      <c r="E213" t="s">
        <v>261</v>
      </c>
      <c r="F213" t="s">
        <v>262</v>
      </c>
      <c r="G213" t="s">
        <v>204</v>
      </c>
      <c r="J213">
        <f>VLOOKUP(raw_lb[[#This Row],[setting]],raw[],10,FALSE)*(1-interactive!$C$7)</f>
        <v>0.89774999999999994</v>
      </c>
      <c r="K213">
        <f>VLOOKUP(raw_lb[[#This Row],[setting]],raw[],11,FALSE)*(1-interactive!$C$7)</f>
        <v>0.9405</v>
      </c>
      <c r="L213">
        <f>VLOOKUP(raw_lb[[#This Row],[setting]],raw[],12,FALSE)*(1-interactive!$C$7)</f>
        <v>0.9405</v>
      </c>
      <c r="M213">
        <v>2.7000000000000001E-3</v>
      </c>
      <c r="N213">
        <v>0.18100000000000002</v>
      </c>
      <c r="O213">
        <v>0.7</v>
      </c>
      <c r="P213">
        <v>0.05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5.3645493910870776</v>
      </c>
      <c r="W213">
        <v>5.9630493910870772</v>
      </c>
      <c r="X213">
        <v>4.8876009097897848</v>
      </c>
      <c r="Y213">
        <v>5.4861009097897844</v>
      </c>
      <c r="Z213">
        <v>5.4801834764413995</v>
      </c>
      <c r="AA213">
        <v>5.5270971651218996</v>
      </c>
      <c r="AB213">
        <v>6.1255971651218992</v>
      </c>
      <c r="AC213">
        <f>VLOOKUP($A213,raw[],29,FALSE)*(1-interactive!$C$7)</f>
        <v>6.4266739999999838E-3</v>
      </c>
      <c r="AD213">
        <f>VLOOKUP($A213,raw[],30,FALSE)*(1-interactive!$C$7)</f>
        <v>2.7666864122438673E-4</v>
      </c>
      <c r="AE213">
        <f>VLOOKUP($A213,raw[],31,FALSE)*(1-interactive!$C$7)</f>
        <v>2.3997487133171509E-4</v>
      </c>
      <c r="AF213">
        <f>VLOOKUP($A213,raw[],32,FALSE)*(1-interactive!$C$7)</f>
        <v>3.222152181824975E-4</v>
      </c>
      <c r="AG213">
        <f>VLOOKUP($A213,raw[],33,FALSE)*(1-interactive!$C$7)</f>
        <v>3.2903608209157914E-4</v>
      </c>
      <c r="AH213">
        <f>VLOOKUP($A213,raw[],34,FALSE)*(1-interactive!$C$7)</f>
        <v>4.8147307883782337E-4</v>
      </c>
      <c r="AI213">
        <f>VLOOKUP($A213,raw[],35,FALSE)*(1-interactive!$C$7)</f>
        <v>4.4706823286200405E-4</v>
      </c>
      <c r="AJ213">
        <f>VLOOKUP($A213,raw[],36,FALSE)*(1-interactive!$C$7)</f>
        <v>4.9983351007145598E-4</v>
      </c>
      <c r="AK213">
        <f>VLOOKUP($A213,raw[],37,FALSE)*(1-interactive!$C$7)</f>
        <v>5.5668658445061315E-4</v>
      </c>
      <c r="AL213">
        <f>VLOOKUP($A213,raw[],38,FALSE)*(1-interactive!$C$7)</f>
        <v>8.872811886401473E-4</v>
      </c>
      <c r="AM213">
        <f>VLOOKUP($A213,raw[],39,FALSE)*(1-interactive!$C$7)</f>
        <v>1.5628921221263888E-3</v>
      </c>
      <c r="AN213">
        <f>VLOOKUP($A213,raw[],40,FALSE)*(1-interactive!$C$7)</f>
        <v>2.2723878829196452E-3</v>
      </c>
      <c r="AO213">
        <f>VLOOKUP($A213,raw[],41,FALSE)*(1-interactive!$C$7)</f>
        <v>4.3759788253286067E-3</v>
      </c>
      <c r="AP213">
        <f>VLOOKUP($A213,raw[],42,FALSE)*(1-interactive!$C$7)</f>
        <v>8.1702140757710234E-3</v>
      </c>
      <c r="AQ213">
        <f>VLOOKUP($A213,raw[],43,FALSE)*(1-interactive!$C$7)</f>
        <v>1.530261081775925E-2</v>
      </c>
      <c r="AR213">
        <f>VLOOKUP($A213,raw[],44,FALSE)*(1-interactive!$C$7)</f>
        <v>2.8225627597170649E-2</v>
      </c>
      <c r="AS213">
        <f>VLOOKUP($A213,raw[],45,FALSE)*(1-interactive!$C$7)</f>
        <v>5.0530930055292939E-2</v>
      </c>
      <c r="AT213">
        <f>VLOOKUP($A213,raw[],46,FALSE)*(1-interactive!$C$7)</f>
        <v>6.8852287780459556E-2</v>
      </c>
      <c r="AU213">
        <f>VLOOKUP($A213,raw[],47,FALSE)*(1-interactive!$C$7)</f>
        <v>9.3330233296054277E-2</v>
      </c>
      <c r="AV213">
        <f>VLOOKUP($A213,raw[],48,FALSE)*(1-interactive!$C$7)</f>
        <v>0.11814213132546875</v>
      </c>
      <c r="AW213">
        <f>VLOOKUP($A213,raw[],49,FALSE)*(1-interactive!$C$7)</f>
        <v>0.14006579850125997</v>
      </c>
      <c r="AX213">
        <f>VLOOKUP($A213,raw[],50,FALSE)*(1-interactive!$C$7)</f>
        <v>74.542699999999996</v>
      </c>
    </row>
    <row r="214" spans="1:50" x14ac:dyDescent="0.25">
      <c r="A214" t="s">
        <v>372</v>
      </c>
      <c r="B214" t="s">
        <v>373</v>
      </c>
      <c r="C214">
        <v>466</v>
      </c>
      <c r="D214" t="s">
        <v>207</v>
      </c>
      <c r="E214" t="s">
        <v>235</v>
      </c>
      <c r="F214" t="s">
        <v>211</v>
      </c>
      <c r="G214" t="s">
        <v>198</v>
      </c>
      <c r="J214">
        <f>VLOOKUP(raw_lb[[#This Row],[setting]],raw[],10,FALSE)*(1-interactive!$C$7)</f>
        <v>0.63459999999999994</v>
      </c>
      <c r="K214">
        <f>VLOOKUP(raw_lb[[#This Row],[setting]],raw[],11,FALSE)*(1-interactive!$C$7)</f>
        <v>0</v>
      </c>
      <c r="L214">
        <f>VLOOKUP(raw_lb[[#This Row],[setting]],raw[],12,FALSE)*(1-interactive!$C$7)</f>
        <v>0.66499999999999992</v>
      </c>
      <c r="M214">
        <v>9.4200000000000006E-2</v>
      </c>
      <c r="N214">
        <v>0.155</v>
      </c>
      <c r="O214">
        <v>7.0000000000000007E-2</v>
      </c>
      <c r="P214">
        <v>1E-3</v>
      </c>
      <c r="Q214">
        <v>0.67111823708206697</v>
      </c>
      <c r="R214">
        <v>7.7320182370820678</v>
      </c>
      <c r="S214">
        <v>37.596227404559059</v>
      </c>
      <c r="T214">
        <v>37.931515760381217</v>
      </c>
      <c r="U214">
        <v>37.777558434480667</v>
      </c>
      <c r="V214">
        <v>0.84661946602693394</v>
      </c>
      <c r="W214">
        <v>5.4351194660269337</v>
      </c>
      <c r="X214">
        <v>0.37552130681322915</v>
      </c>
      <c r="Y214">
        <v>4.9640213068132288</v>
      </c>
      <c r="Z214">
        <v>4.9619782501307483</v>
      </c>
      <c r="AA214">
        <v>0.99111481763239773</v>
      </c>
      <c r="AB214">
        <v>5.5796148176323976</v>
      </c>
      <c r="AC214">
        <f>VLOOKUP($A214,raw[],29,FALSE)*(1-interactive!$C$7)</f>
        <v>6.2529199499999938E-2</v>
      </c>
      <c r="AD214">
        <f>VLOOKUP($A214,raw[],30,FALSE)*(1-interactive!$C$7)</f>
        <v>1.0076756745080092E-2</v>
      </c>
      <c r="AE214">
        <f>VLOOKUP($A214,raw[],31,FALSE)*(1-interactive!$C$7)</f>
        <v>3.2967871149634765E-3</v>
      </c>
      <c r="AF214">
        <f>VLOOKUP($A214,raw[],32,FALSE)*(1-interactive!$C$7)</f>
        <v>1.8671165680324471E-3</v>
      </c>
      <c r="AG214">
        <f>VLOOKUP($A214,raw[],33,FALSE)*(1-interactive!$C$7)</f>
        <v>2.8206605448414528E-3</v>
      </c>
      <c r="AH214">
        <f>VLOOKUP($A214,raw[],34,FALSE)*(1-interactive!$C$7)</f>
        <v>3.6329197235775304E-3</v>
      </c>
      <c r="AI214">
        <f>VLOOKUP($A214,raw[],35,FALSE)*(1-interactive!$C$7)</f>
        <v>4.079202454613593E-3</v>
      </c>
      <c r="AJ214">
        <f>VLOOKUP($A214,raw[],36,FALSE)*(1-interactive!$C$7)</f>
        <v>4.3301449205382135E-3</v>
      </c>
      <c r="AK214">
        <f>VLOOKUP($A214,raw[],37,FALSE)*(1-interactive!$C$7)</f>
        <v>4.8594510093226588E-3</v>
      </c>
      <c r="AL214">
        <f>VLOOKUP($A214,raw[],38,FALSE)*(1-interactive!$C$7)</f>
        <v>5.7754165967564804E-3</v>
      </c>
      <c r="AM214">
        <f>VLOOKUP($A214,raw[],39,FALSE)*(1-interactive!$C$7)</f>
        <v>6.7510639095889188E-3</v>
      </c>
      <c r="AN214">
        <f>VLOOKUP($A214,raw[],40,FALSE)*(1-interactive!$C$7)</f>
        <v>9.5116052570416564E-3</v>
      </c>
      <c r="AO214">
        <f>VLOOKUP($A214,raw[],41,FALSE)*(1-interactive!$C$7)</f>
        <v>1.3588202027475222E-2</v>
      </c>
      <c r="AP214">
        <f>VLOOKUP($A214,raw[],42,FALSE)*(1-interactive!$C$7)</f>
        <v>2.1265903032231692E-2</v>
      </c>
      <c r="AQ214">
        <f>VLOOKUP($A214,raw[],43,FALSE)*(1-interactive!$C$7)</f>
        <v>3.2883552086836097E-2</v>
      </c>
      <c r="AR214">
        <f>VLOOKUP($A214,raw[],44,FALSE)*(1-interactive!$C$7)</f>
        <v>5.2730089744085065E-2</v>
      </c>
      <c r="AS214">
        <f>VLOOKUP($A214,raw[],45,FALSE)*(1-interactive!$C$7)</f>
        <v>8.1038455824475025E-2</v>
      </c>
      <c r="AT214">
        <f>VLOOKUP($A214,raw[],46,FALSE)*(1-interactive!$C$7)</f>
        <v>0.11558826376136665</v>
      </c>
      <c r="AU214">
        <f>VLOOKUP($A214,raw[],47,FALSE)*(1-interactive!$C$7)</f>
        <v>0.14704748639536355</v>
      </c>
      <c r="AV214">
        <f>VLOOKUP($A214,raw[],48,FALSE)*(1-interactive!$C$7)</f>
        <v>0.16862114773887582</v>
      </c>
      <c r="AW214">
        <f>VLOOKUP($A214,raw[],49,FALSE)*(1-interactive!$C$7)</f>
        <v>0.17859081359848822</v>
      </c>
      <c r="AX214">
        <f>VLOOKUP($A214,raw[],50,FALSE)*(1-interactive!$C$7)</f>
        <v>55.774499999999996</v>
      </c>
    </row>
    <row r="215" spans="1:50" x14ac:dyDescent="0.25">
      <c r="A215" t="s">
        <v>374</v>
      </c>
      <c r="B215" t="s">
        <v>375</v>
      </c>
      <c r="C215">
        <v>584</v>
      </c>
      <c r="D215" t="s">
        <v>260</v>
      </c>
      <c r="E215" t="s">
        <v>309</v>
      </c>
      <c r="F215" t="s">
        <v>262</v>
      </c>
      <c r="G215" t="s">
        <v>204</v>
      </c>
      <c r="J215">
        <f>VLOOKUP(raw_lb[[#This Row],[setting]],raw[],10,FALSE)*(1-interactive!$C$7)</f>
        <v>0.80844999999999989</v>
      </c>
      <c r="K215">
        <f>VLOOKUP(raw_lb[[#This Row],[setting]],raw[],11,FALSE)*(1-interactive!$C$7)</f>
        <v>0.93099999999999994</v>
      </c>
      <c r="L215">
        <f>VLOOKUP(raw_lb[[#This Row],[setting]],raw[],12,FALSE)*(1-interactive!$C$7)</f>
        <v>0.77899999999999991</v>
      </c>
      <c r="M215">
        <v>5.3499999999999999E-2</v>
      </c>
      <c r="N215">
        <v>0</v>
      </c>
      <c r="O215">
        <v>0.7</v>
      </c>
      <c r="P215">
        <v>0.05</v>
      </c>
      <c r="Q215">
        <v>1.3059775778850371</v>
      </c>
      <c r="R215">
        <v>8.3668775778850382</v>
      </c>
      <c r="S215">
        <v>40.984689502773868</v>
      </c>
      <c r="T215">
        <v>42.753131852252849</v>
      </c>
      <c r="U215">
        <v>41.941100505481316</v>
      </c>
      <c r="V215">
        <v>3.0566669365626735</v>
      </c>
      <c r="W215">
        <v>3.6551669365626736</v>
      </c>
      <c r="X215">
        <v>2.5836897012460169</v>
      </c>
      <c r="Y215">
        <v>3.182189701246017</v>
      </c>
      <c r="Z215">
        <v>3.1791425974521106</v>
      </c>
      <c r="AA215">
        <v>3.206960580142959</v>
      </c>
      <c r="AB215">
        <v>3.8054605801429591</v>
      </c>
      <c r="AC215">
        <f>VLOOKUP($A215,raw[],29,FALSE)*(1-interactive!$C$7)</f>
        <v>0</v>
      </c>
      <c r="AD215">
        <f>VLOOKUP($A215,raw[],30,FALSE)*(1-interactive!$C$7)</f>
        <v>0</v>
      </c>
      <c r="AE215">
        <f>VLOOKUP($A215,raw[],31,FALSE)*(1-interactive!$C$7)</f>
        <v>0</v>
      </c>
      <c r="AF215">
        <f>VLOOKUP($A215,raw[],32,FALSE)*(1-interactive!$C$7)</f>
        <v>0</v>
      </c>
      <c r="AG215">
        <f>VLOOKUP($A215,raw[],33,FALSE)*(1-interactive!$C$7)</f>
        <v>0</v>
      </c>
      <c r="AH215">
        <f>VLOOKUP($A215,raw[],34,FALSE)*(1-interactive!$C$7)</f>
        <v>0</v>
      </c>
      <c r="AI215">
        <f>VLOOKUP($A215,raw[],35,FALSE)*(1-interactive!$C$7)</f>
        <v>0</v>
      </c>
      <c r="AJ215">
        <f>VLOOKUP($A215,raw[],36,FALSE)*(1-interactive!$C$7)</f>
        <v>0</v>
      </c>
      <c r="AK215">
        <f>VLOOKUP($A215,raw[],37,FALSE)*(1-interactive!$C$7)</f>
        <v>0</v>
      </c>
      <c r="AL215">
        <f>VLOOKUP($A215,raw[],38,FALSE)*(1-interactive!$C$7)</f>
        <v>0</v>
      </c>
      <c r="AM215">
        <f>VLOOKUP($A215,raw[],39,FALSE)*(1-interactive!$C$7)</f>
        <v>0</v>
      </c>
      <c r="AN215">
        <f>VLOOKUP($A215,raw[],40,FALSE)*(1-interactive!$C$7)</f>
        <v>0</v>
      </c>
      <c r="AO215">
        <f>VLOOKUP($A215,raw[],41,FALSE)*(1-interactive!$C$7)</f>
        <v>0</v>
      </c>
      <c r="AP215">
        <f>VLOOKUP($A215,raw[],42,FALSE)*(1-interactive!$C$7)</f>
        <v>0</v>
      </c>
      <c r="AQ215">
        <f>VLOOKUP($A215,raw[],43,FALSE)*(1-interactive!$C$7)</f>
        <v>0</v>
      </c>
      <c r="AR215">
        <f>VLOOKUP($A215,raw[],44,FALSE)*(1-interactive!$C$7)</f>
        <v>0</v>
      </c>
      <c r="AS215">
        <f>VLOOKUP($A215,raw[],45,FALSE)*(1-interactive!$C$7)</f>
        <v>0</v>
      </c>
      <c r="AT215">
        <f>VLOOKUP($A215,raw[],46,FALSE)*(1-interactive!$C$7)</f>
        <v>0</v>
      </c>
      <c r="AU215">
        <f>VLOOKUP($A215,raw[],47,FALSE)*(1-interactive!$C$7)</f>
        <v>0</v>
      </c>
      <c r="AV215">
        <f>VLOOKUP($A215,raw[],48,FALSE)*(1-interactive!$C$7)</f>
        <v>0</v>
      </c>
      <c r="AW215">
        <f>VLOOKUP($A215,raw[],49,FALSE)*(1-interactive!$C$7)</f>
        <v>0</v>
      </c>
      <c r="AX215">
        <f>VLOOKUP($A215,raw[],50,FALSE)*(1-interactive!$C$7)</f>
        <v>0</v>
      </c>
    </row>
    <row r="216" spans="1:50" x14ac:dyDescent="0.25">
      <c r="A216" t="s">
        <v>376</v>
      </c>
      <c r="B216" t="s">
        <v>377</v>
      </c>
      <c r="C216">
        <v>478</v>
      </c>
      <c r="D216" t="s">
        <v>207</v>
      </c>
      <c r="E216" t="s">
        <v>235</v>
      </c>
      <c r="F216" t="s">
        <v>211</v>
      </c>
      <c r="G216" t="s">
        <v>212</v>
      </c>
      <c r="J216">
        <f>VLOOKUP(raw_lb[[#This Row],[setting]],raw[],10,FALSE)*(1-interactive!$C$7)</f>
        <v>0.65834999999999988</v>
      </c>
      <c r="K216">
        <f>VLOOKUP(raw_lb[[#This Row],[setting]],raw[],11,FALSE)*(1-interactive!$C$7)</f>
        <v>0</v>
      </c>
      <c r="L216">
        <f>VLOOKUP(raw_lb[[#This Row],[setting]],raw[],12,FALSE)*(1-interactive!$C$7)</f>
        <v>0.67449999999999999</v>
      </c>
      <c r="M216">
        <v>9.5199999999999993E-2</v>
      </c>
      <c r="N216">
        <v>0.155</v>
      </c>
      <c r="O216">
        <v>7.0000000000000007E-2</v>
      </c>
      <c r="P216">
        <v>1E-3</v>
      </c>
      <c r="Q216">
        <v>0.76473600590260704</v>
      </c>
      <c r="R216">
        <v>7.8256360059026076</v>
      </c>
      <c r="S216">
        <v>38.327180588301353</v>
      </c>
      <c r="T216">
        <v>38.994179751986216</v>
      </c>
      <c r="U216">
        <v>38.687907834588358</v>
      </c>
      <c r="V216">
        <v>1.2918330490726151</v>
      </c>
      <c r="W216">
        <v>5.8803330490726147</v>
      </c>
      <c r="X216">
        <v>0.81988847331068859</v>
      </c>
      <c r="Y216">
        <v>5.4083884733106888</v>
      </c>
      <c r="Z216">
        <v>5.4058258354871276</v>
      </c>
      <c r="AA216">
        <v>1.4389402003125913</v>
      </c>
      <c r="AB216">
        <v>6.0274402003125909</v>
      </c>
      <c r="AC216">
        <f>VLOOKUP($A216,raw[],29,FALSE)*(1-interactive!$C$7)</f>
        <v>5.0788538999999966E-2</v>
      </c>
      <c r="AD216">
        <f>VLOOKUP($A216,raw[],30,FALSE)*(1-interactive!$C$7)</f>
        <v>6.3701566438330928E-3</v>
      </c>
      <c r="AE216">
        <f>VLOOKUP($A216,raw[],31,FALSE)*(1-interactive!$C$7)</f>
        <v>1.0309950403332392E-3</v>
      </c>
      <c r="AF216">
        <f>VLOOKUP($A216,raw[],32,FALSE)*(1-interactive!$C$7)</f>
        <v>8.1349629941935967E-4</v>
      </c>
      <c r="AG216">
        <f>VLOOKUP($A216,raw[],33,FALSE)*(1-interactive!$C$7)</f>
        <v>1.3397897706916107E-3</v>
      </c>
      <c r="AH216">
        <f>VLOOKUP($A216,raw[],34,FALSE)*(1-interactive!$C$7)</f>
        <v>1.8756972036780776E-3</v>
      </c>
      <c r="AI216">
        <f>VLOOKUP($A216,raw[],35,FALSE)*(1-interactive!$C$7)</f>
        <v>2.0353033922800921E-3</v>
      </c>
      <c r="AJ216">
        <f>VLOOKUP($A216,raw[],36,FALSE)*(1-interactive!$C$7)</f>
        <v>2.3353861273031043E-3</v>
      </c>
      <c r="AK216">
        <f>VLOOKUP($A216,raw[],37,FALSE)*(1-interactive!$C$7)</f>
        <v>2.9359694318449297E-3</v>
      </c>
      <c r="AL216">
        <f>VLOOKUP($A216,raw[],38,FALSE)*(1-interactive!$C$7)</f>
        <v>3.960813254597303E-3</v>
      </c>
      <c r="AM216">
        <f>VLOOKUP($A216,raw[],39,FALSE)*(1-interactive!$C$7)</f>
        <v>5.7058892267120472E-3</v>
      </c>
      <c r="AN216">
        <f>VLOOKUP($A216,raw[],40,FALSE)*(1-interactive!$C$7)</f>
        <v>8.4430735574909099E-3</v>
      </c>
      <c r="AO216">
        <f>VLOOKUP($A216,raw[],41,FALSE)*(1-interactive!$C$7)</f>
        <v>1.2645849474961805E-2</v>
      </c>
      <c r="AP216">
        <f>VLOOKUP($A216,raw[],42,FALSE)*(1-interactive!$C$7)</f>
        <v>1.9247844416728156E-2</v>
      </c>
      <c r="AQ216">
        <f>VLOOKUP($A216,raw[],43,FALSE)*(1-interactive!$C$7)</f>
        <v>2.9395890883833334E-2</v>
      </c>
      <c r="AR216">
        <f>VLOOKUP($A216,raw[],44,FALSE)*(1-interactive!$C$7)</f>
        <v>4.5204664221939167E-2</v>
      </c>
      <c r="AS216">
        <f>VLOOKUP($A216,raw[],45,FALSE)*(1-interactive!$C$7)</f>
        <v>6.7948878119314951E-2</v>
      </c>
      <c r="AT216">
        <f>VLOOKUP($A216,raw[],46,FALSE)*(1-interactive!$C$7)</f>
        <v>9.7808108107710359E-2</v>
      </c>
      <c r="AU216">
        <f>VLOOKUP($A216,raw[],47,FALSE)*(1-interactive!$C$7)</f>
        <v>0.12919281889273748</v>
      </c>
      <c r="AV216">
        <f>VLOOKUP($A216,raw[],48,FALSE)*(1-interactive!$C$7)</f>
        <v>0.15450957696918016</v>
      </c>
      <c r="AW216">
        <f>VLOOKUP($A216,raw[],49,FALSE)*(1-interactive!$C$7)</f>
        <v>0.17076640927830899</v>
      </c>
      <c r="AX216">
        <f>VLOOKUP($A216,raw[],50,FALSE)*(1-interactive!$C$7)</f>
        <v>61.376649999999998</v>
      </c>
    </row>
    <row r="217" spans="1:50" x14ac:dyDescent="0.25">
      <c r="A217" t="s">
        <v>378</v>
      </c>
      <c r="B217" t="s">
        <v>379</v>
      </c>
      <c r="C217">
        <v>480</v>
      </c>
      <c r="D217" t="s">
        <v>207</v>
      </c>
      <c r="E217" t="s">
        <v>261</v>
      </c>
      <c r="F217" t="s">
        <v>262</v>
      </c>
      <c r="G217" t="s">
        <v>204</v>
      </c>
      <c r="J217">
        <f>VLOOKUP(raw_lb[[#This Row],[setting]],raw[],10,FALSE)*(1-interactive!$C$7)</f>
        <v>0.93480000000000008</v>
      </c>
      <c r="K217">
        <f>VLOOKUP(raw_lb[[#This Row],[setting]],raw[],11,FALSE)*(1-interactive!$C$7)</f>
        <v>0</v>
      </c>
      <c r="L217">
        <f>VLOOKUP(raw_lb[[#This Row],[setting]],raw[],12,FALSE)*(1-interactive!$C$7)</f>
        <v>0.88349999999999995</v>
      </c>
      <c r="M217">
        <v>3.0999999999999999E-3</v>
      </c>
      <c r="N217">
        <v>0.18100000000000002</v>
      </c>
      <c r="O217">
        <v>0.7</v>
      </c>
      <c r="P217">
        <v>0.05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4.2775146476560417</v>
      </c>
      <c r="W217">
        <v>4.8760146476560413</v>
      </c>
      <c r="X217">
        <v>3.7983421195362337</v>
      </c>
      <c r="Y217">
        <v>4.3968421195362337</v>
      </c>
      <c r="Z217">
        <v>4.3894564723026663</v>
      </c>
      <c r="AA217">
        <v>4.446925194743196</v>
      </c>
      <c r="AB217">
        <v>5.0454251947431956</v>
      </c>
      <c r="AC217">
        <f>VLOOKUP($A217,raw[],29,FALSE)*(1-interactive!$C$7)</f>
        <v>1.0658762500000054E-2</v>
      </c>
      <c r="AD217">
        <f>VLOOKUP($A217,raw[],30,FALSE)*(1-interactive!$C$7)</f>
        <v>4.7073641994770777E-4</v>
      </c>
      <c r="AE217">
        <f>VLOOKUP($A217,raw[],31,FALSE)*(1-interactive!$C$7)</f>
        <v>1.3664775731640619E-4</v>
      </c>
      <c r="AF217">
        <f>VLOOKUP($A217,raw[],32,FALSE)*(1-interactive!$C$7)</f>
        <v>1.8406350962293339E-4</v>
      </c>
      <c r="AG217">
        <f>VLOOKUP($A217,raw[],33,FALSE)*(1-interactive!$C$7)</f>
        <v>5.2348795888471523E-4</v>
      </c>
      <c r="AH217">
        <f>VLOOKUP($A217,raw[],34,FALSE)*(1-interactive!$C$7)</f>
        <v>8.3950028476004472E-4</v>
      </c>
      <c r="AI217">
        <f>VLOOKUP($A217,raw[],35,FALSE)*(1-interactive!$C$7)</f>
        <v>1.1556837505455123E-3</v>
      </c>
      <c r="AJ217">
        <f>VLOOKUP($A217,raw[],36,FALSE)*(1-interactive!$C$7)</f>
        <v>1.4347150659546808E-3</v>
      </c>
      <c r="AK217">
        <f>VLOOKUP($A217,raw[],37,FALSE)*(1-interactive!$C$7)</f>
        <v>2.1142379210167929E-3</v>
      </c>
      <c r="AL217">
        <f>VLOOKUP($A217,raw[],38,FALSE)*(1-interactive!$C$7)</f>
        <v>3.0230336089929039E-3</v>
      </c>
      <c r="AM217">
        <f>VLOOKUP($A217,raw[],39,FALSE)*(1-interactive!$C$7)</f>
        <v>4.3969258216251311E-3</v>
      </c>
      <c r="AN217">
        <f>VLOOKUP($A217,raw[],40,FALSE)*(1-interactive!$C$7)</f>
        <v>6.4932344345328781E-3</v>
      </c>
      <c r="AO217">
        <f>VLOOKUP($A217,raw[],41,FALSE)*(1-interactive!$C$7)</f>
        <v>9.0343615262566991E-3</v>
      </c>
      <c r="AP217">
        <f>VLOOKUP($A217,raw[],42,FALSE)*(1-interactive!$C$7)</f>
        <v>1.4013320339807114E-2</v>
      </c>
      <c r="AQ217">
        <f>VLOOKUP($A217,raw[],43,FALSE)*(1-interactive!$C$7)</f>
        <v>2.0068139306526202E-2</v>
      </c>
      <c r="AR217">
        <f>VLOOKUP($A217,raw[],44,FALSE)*(1-interactive!$C$7)</f>
        <v>3.0323985068246982E-2</v>
      </c>
      <c r="AS217">
        <f>VLOOKUP($A217,raw[],45,FALSE)*(1-interactive!$C$7)</f>
        <v>4.2939351201416932E-2</v>
      </c>
      <c r="AT217">
        <f>VLOOKUP($A217,raw[],46,FALSE)*(1-interactive!$C$7)</f>
        <v>6.4188418248803364E-2</v>
      </c>
      <c r="AU217">
        <f>VLOOKUP($A217,raw[],47,FALSE)*(1-interactive!$C$7)</f>
        <v>8.9982162846982072E-2</v>
      </c>
      <c r="AV217">
        <f>VLOOKUP($A217,raw[],48,FALSE)*(1-interactive!$C$7)</f>
        <v>0.11623266703021869</v>
      </c>
      <c r="AW217">
        <f>VLOOKUP($A217,raw[],49,FALSE)*(1-interactive!$C$7)</f>
        <v>0.14035236841560361</v>
      </c>
      <c r="AX217">
        <f>VLOOKUP($A217,raw[],50,FALSE)*(1-interactive!$C$7)</f>
        <v>71.024850000000001</v>
      </c>
    </row>
    <row r="218" spans="1:50" x14ac:dyDescent="0.25">
      <c r="A218" t="s">
        <v>380</v>
      </c>
      <c r="B218" t="s">
        <v>381</v>
      </c>
      <c r="C218">
        <v>484</v>
      </c>
      <c r="D218" t="s">
        <v>215</v>
      </c>
      <c r="E218" t="s">
        <v>274</v>
      </c>
      <c r="F218" t="s">
        <v>217</v>
      </c>
      <c r="G218" t="s">
        <v>204</v>
      </c>
      <c r="J218">
        <f>VLOOKUP(raw_lb[[#This Row],[setting]],raw[],10,FALSE)*(1-interactive!$C$7)</f>
        <v>0.92055000000000009</v>
      </c>
      <c r="K218">
        <f>VLOOKUP(raw_lb[[#This Row],[setting]],raw[],11,FALSE)*(1-interactive!$C$7)</f>
        <v>0.49399999999999999</v>
      </c>
      <c r="L218">
        <f>VLOOKUP(raw_lb[[#This Row],[setting]],raw[],12,FALSE)*(1-interactive!$C$7)</f>
        <v>0.75049999999999994</v>
      </c>
      <c r="M218">
        <v>6.4000000000000003E-3</v>
      </c>
      <c r="N218">
        <v>0.16440000000000002</v>
      </c>
      <c r="O218">
        <v>0.7</v>
      </c>
      <c r="P218">
        <v>0.05</v>
      </c>
      <c r="Q218">
        <v>2.92237199315979</v>
      </c>
      <c r="R218">
        <v>9.9832719931597911</v>
      </c>
      <c r="S218">
        <v>61.044730407821334</v>
      </c>
      <c r="T218">
        <v>72.412446128618654</v>
      </c>
      <c r="U218">
        <v>67.192631352527968</v>
      </c>
      <c r="V218">
        <v>1.2367370814428158</v>
      </c>
      <c r="W218">
        <v>1.2557370814428157</v>
      </c>
      <c r="X218">
        <v>0.75777355117551259</v>
      </c>
      <c r="Y218">
        <v>0.77677355117551261</v>
      </c>
      <c r="Z218">
        <v>0.76938697894014729</v>
      </c>
      <c r="AA218">
        <v>1.4055027208708122</v>
      </c>
      <c r="AB218">
        <v>1.4245027208708121</v>
      </c>
      <c r="AC218">
        <f>VLOOKUP($A218,raw[],29,FALSE)*(1-interactive!$C$7)</f>
        <v>1.2837302499999982E-2</v>
      </c>
      <c r="AD218">
        <f>VLOOKUP($A218,raw[],30,FALSE)*(1-interactive!$C$7)</f>
        <v>4.9445910111036025E-4</v>
      </c>
      <c r="AE218">
        <f>VLOOKUP($A218,raw[],31,FALSE)*(1-interactive!$C$7)</f>
        <v>2.4236534066681965E-4</v>
      </c>
      <c r="AF218">
        <f>VLOOKUP($A218,raw[],32,FALSE)*(1-interactive!$C$7)</f>
        <v>3.4426499792763814E-4</v>
      </c>
      <c r="AG218">
        <f>VLOOKUP($A218,raw[],33,FALSE)*(1-interactive!$C$7)</f>
        <v>7.2822332300784623E-4</v>
      </c>
      <c r="AH218">
        <f>VLOOKUP($A218,raw[],34,FALSE)*(1-interactive!$C$7)</f>
        <v>1.1858351659624526E-3</v>
      </c>
      <c r="AI218">
        <f>VLOOKUP($A218,raw[],35,FALSE)*(1-interactive!$C$7)</f>
        <v>1.489130950328223E-3</v>
      </c>
      <c r="AJ218">
        <f>VLOOKUP($A218,raw[],36,FALSE)*(1-interactive!$C$7)</f>
        <v>1.7155907178629667E-3</v>
      </c>
      <c r="AK218">
        <f>VLOOKUP($A218,raw[],37,FALSE)*(1-interactive!$C$7)</f>
        <v>2.0774520782972281E-3</v>
      </c>
      <c r="AL218">
        <f>VLOOKUP($A218,raw[],38,FALSE)*(1-interactive!$C$7)</f>
        <v>2.7558679507215167E-3</v>
      </c>
      <c r="AM218">
        <f>VLOOKUP($A218,raw[],39,FALSE)*(1-interactive!$C$7)</f>
        <v>3.9164624583357139E-3</v>
      </c>
      <c r="AN218">
        <f>VLOOKUP($A218,raw[],40,FALSE)*(1-interactive!$C$7)</f>
        <v>5.7745617330110487E-3</v>
      </c>
      <c r="AO218">
        <f>VLOOKUP($A218,raw[],41,FALSE)*(1-interactive!$C$7)</f>
        <v>8.634338074562653E-3</v>
      </c>
      <c r="AP218">
        <f>VLOOKUP($A218,raw[],42,FALSE)*(1-interactive!$C$7)</f>
        <v>1.2922402733861582E-2</v>
      </c>
      <c r="AQ218">
        <f>VLOOKUP($A218,raw[],43,FALSE)*(1-interactive!$C$7)</f>
        <v>1.9275278055675662E-2</v>
      </c>
      <c r="AR218">
        <f>VLOOKUP($A218,raw[],44,FALSE)*(1-interactive!$C$7)</f>
        <v>2.8491125987073776E-2</v>
      </c>
      <c r="AS218">
        <f>VLOOKUP($A218,raw[],45,FALSE)*(1-interactive!$C$7)</f>
        <v>4.1450669254957828E-2</v>
      </c>
      <c r="AT218">
        <f>VLOOKUP($A218,raw[],46,FALSE)*(1-interactive!$C$7)</f>
        <v>5.8981685553913532E-2</v>
      </c>
      <c r="AU218">
        <f>VLOOKUP($A218,raw[],47,FALSE)*(1-interactive!$C$7)</f>
        <v>8.1945657136716088E-2</v>
      </c>
      <c r="AV218">
        <f>VLOOKUP($A218,raw[],48,FALSE)*(1-interactive!$C$7)</f>
        <v>0.11087861754099526</v>
      </c>
      <c r="AW218">
        <f>VLOOKUP($A218,raw[],49,FALSE)*(1-interactive!$C$7)</f>
        <v>0.14263497998635119</v>
      </c>
      <c r="AX218">
        <f>VLOOKUP($A218,raw[],50,FALSE)*(1-interactive!$C$7)</f>
        <v>71.228149999999999</v>
      </c>
    </row>
    <row r="219" spans="1:50" x14ac:dyDescent="0.25">
      <c r="A219" t="s">
        <v>382</v>
      </c>
      <c r="B219" t="s">
        <v>383</v>
      </c>
      <c r="C219">
        <v>583</v>
      </c>
      <c r="D219" t="s">
        <v>260</v>
      </c>
      <c r="E219" t="s">
        <v>309</v>
      </c>
      <c r="F219" t="s">
        <v>262</v>
      </c>
      <c r="G219" t="s">
        <v>212</v>
      </c>
      <c r="J219">
        <f>VLOOKUP(raw_lb[[#This Row],[setting]],raw[],10,FALSE)*(1-interactive!$C$7)</f>
        <v>0.82650000000000001</v>
      </c>
      <c r="K219">
        <f>VLOOKUP(raw_lb[[#This Row],[setting]],raw[],11,FALSE)*(1-interactive!$C$7)</f>
        <v>0.60799999999999998</v>
      </c>
      <c r="L219">
        <f>VLOOKUP(raw_lb[[#This Row],[setting]],raw[],12,FALSE)*(1-interactive!$C$7)</f>
        <v>0.83599999999999997</v>
      </c>
      <c r="M219">
        <v>3.15E-2</v>
      </c>
      <c r="N219">
        <v>0.1832</v>
      </c>
      <c r="O219">
        <v>0.7</v>
      </c>
      <c r="P219">
        <v>0.05</v>
      </c>
      <c r="Q219">
        <v>1.5083261735419602</v>
      </c>
      <c r="R219">
        <v>8.5692261735419617</v>
      </c>
      <c r="S219">
        <v>42.717964358558497</v>
      </c>
      <c r="T219">
        <v>45.283200318804461</v>
      </c>
      <c r="U219">
        <v>44.105298188040067</v>
      </c>
      <c r="V219">
        <v>2.2502775901906644</v>
      </c>
      <c r="W219">
        <v>2.8487775901906645</v>
      </c>
      <c r="X219">
        <v>1.7740949092624825</v>
      </c>
      <c r="Y219">
        <v>2.3725949092624825</v>
      </c>
      <c r="Z219">
        <v>2.3674283949893851</v>
      </c>
      <c r="AA219">
        <v>2.4104623230865156</v>
      </c>
      <c r="AB219">
        <v>3.0089623230865157</v>
      </c>
      <c r="AC219">
        <f>VLOOKUP($A219,raw[],29,FALSE)*(1-interactive!$C$7)</f>
        <v>2.2268826499999995E-2</v>
      </c>
      <c r="AD219">
        <f>VLOOKUP($A219,raw[],30,FALSE)*(1-interactive!$C$7)</f>
        <v>2.0566424892264393E-3</v>
      </c>
      <c r="AE219">
        <f>VLOOKUP($A219,raw[],31,FALSE)*(1-interactive!$C$7)</f>
        <v>6.0817698273438431E-4</v>
      </c>
      <c r="AF219">
        <f>VLOOKUP($A219,raw[],32,FALSE)*(1-interactive!$C$7)</f>
        <v>5.2006244037974846E-4</v>
      </c>
      <c r="AG219">
        <f>VLOOKUP($A219,raw[],33,FALSE)*(1-interactive!$C$7)</f>
        <v>1.0209858997394673E-3</v>
      </c>
      <c r="AH219">
        <f>VLOOKUP($A219,raw[],34,FALSE)*(1-interactive!$C$7)</f>
        <v>1.3211932623687611E-3</v>
      </c>
      <c r="AI219">
        <f>VLOOKUP($A219,raw[],35,FALSE)*(1-interactive!$C$7)</f>
        <v>1.4028519285606894E-3</v>
      </c>
      <c r="AJ219">
        <f>VLOOKUP($A219,raw[],36,FALSE)*(1-interactive!$C$7)</f>
        <v>1.6514360602495643E-3</v>
      </c>
      <c r="AK219">
        <f>VLOOKUP($A219,raw[],37,FALSE)*(1-interactive!$C$7)</f>
        <v>2.186388687741788E-3</v>
      </c>
      <c r="AL219">
        <f>VLOOKUP($A219,raw[],38,FALSE)*(1-interactive!$C$7)</f>
        <v>3.0708404370362687E-3</v>
      </c>
      <c r="AM219">
        <f>VLOOKUP($A219,raw[],39,FALSE)*(1-interactive!$C$7)</f>
        <v>4.615029120718866E-3</v>
      </c>
      <c r="AN219">
        <f>VLOOKUP($A219,raw[],40,FALSE)*(1-interactive!$C$7)</f>
        <v>7.0759433398840657E-3</v>
      </c>
      <c r="AO219">
        <f>VLOOKUP($A219,raw[],41,FALSE)*(1-interactive!$C$7)</f>
        <v>1.0969510089321472E-2</v>
      </c>
      <c r="AP219">
        <f>VLOOKUP($A219,raw[],42,FALSE)*(1-interactive!$C$7)</f>
        <v>2.0804818467542251E-2</v>
      </c>
      <c r="AQ219">
        <f>VLOOKUP($A219,raw[],43,FALSE)*(1-interactive!$C$7)</f>
        <v>3.846332129457454E-2</v>
      </c>
      <c r="AR219">
        <f>VLOOKUP($A219,raw[],44,FALSE)*(1-interactive!$C$7)</f>
        <v>6.0833631878848035E-2</v>
      </c>
      <c r="AS219">
        <f>VLOOKUP($A219,raw[],45,FALSE)*(1-interactive!$C$7)</f>
        <v>8.6802476440788007E-2</v>
      </c>
      <c r="AT219">
        <f>VLOOKUP($A219,raw[],46,FALSE)*(1-interactive!$C$7)</f>
        <v>0.118263570156922</v>
      </c>
      <c r="AU219">
        <f>VLOOKUP($A219,raw[],47,FALSE)*(1-interactive!$C$7)</f>
        <v>0.14966755659005301</v>
      </c>
      <c r="AV219">
        <f>VLOOKUP($A219,raw[],48,FALSE)*(1-interactive!$C$7)</f>
        <v>0.17032987991889367</v>
      </c>
      <c r="AW219">
        <f>VLOOKUP($A219,raw[],49,FALSE)*(1-interactive!$C$7)</f>
        <v>0.17982245974531211</v>
      </c>
      <c r="AX219">
        <f>VLOOKUP($A219,raw[],50,FALSE)*(1-interactive!$C$7)</f>
        <v>64.311199999999999</v>
      </c>
    </row>
    <row r="220" spans="1:50" x14ac:dyDescent="0.25">
      <c r="A220" t="s">
        <v>384</v>
      </c>
      <c r="B220" t="s">
        <v>385</v>
      </c>
      <c r="C220">
        <v>498</v>
      </c>
      <c r="D220" t="s">
        <v>201</v>
      </c>
      <c r="E220" t="s">
        <v>229</v>
      </c>
      <c r="F220" t="s">
        <v>203</v>
      </c>
      <c r="G220" t="s">
        <v>212</v>
      </c>
      <c r="J220">
        <f>VLOOKUP(raw_lb[[#This Row],[setting]],raw[],10,FALSE)*(1-interactive!$C$7)</f>
        <v>0.94430000000000003</v>
      </c>
      <c r="K220">
        <f>VLOOKUP(raw_lb[[#This Row],[setting]],raw[],11,FALSE)*(1-interactive!$C$7)</f>
        <v>0.90249999999999997</v>
      </c>
      <c r="L220">
        <f>VLOOKUP(raw_lb[[#This Row],[setting]],raw[],12,FALSE)*(1-interactive!$C$7)</f>
        <v>0.82650000000000001</v>
      </c>
      <c r="M220">
        <v>4.07E-2</v>
      </c>
      <c r="N220">
        <v>0.16339999999999999</v>
      </c>
      <c r="O220">
        <v>0.7</v>
      </c>
      <c r="P220">
        <v>0.05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2.5228306104641796</v>
      </c>
      <c r="W220">
        <v>6.3893306104641798</v>
      </c>
      <c r="X220">
        <v>2.0489986858939617</v>
      </c>
      <c r="Y220">
        <v>5.9154986858939616</v>
      </c>
      <c r="Z220">
        <v>5.911649093855587</v>
      </c>
      <c r="AA220">
        <v>2.6757615808840258</v>
      </c>
      <c r="AB220">
        <v>6.5422615808840261</v>
      </c>
      <c r="AC220">
        <f>VLOOKUP($A220,raw[],29,FALSE)*(1-interactive!$C$7)</f>
        <v>1.1738266500000035E-2</v>
      </c>
      <c r="AD220">
        <f>VLOOKUP($A220,raw[],30,FALSE)*(1-interactive!$C$7)</f>
        <v>4.9070569390326181E-4</v>
      </c>
      <c r="AE220">
        <f>VLOOKUP($A220,raw[],31,FALSE)*(1-interactive!$C$7)</f>
        <v>2.1444712448363674E-4</v>
      </c>
      <c r="AF220">
        <f>VLOOKUP($A220,raw[],32,FALSE)*(1-interactive!$C$7)</f>
        <v>1.6767244707217139E-4</v>
      </c>
      <c r="AG220">
        <f>VLOOKUP($A220,raw[],33,FALSE)*(1-interactive!$C$7)</f>
        <v>3.916121812267729E-4</v>
      </c>
      <c r="AH220">
        <f>VLOOKUP($A220,raw[],34,FALSE)*(1-interactive!$C$7)</f>
        <v>5.3046595858423969E-4</v>
      </c>
      <c r="AI220">
        <f>VLOOKUP($A220,raw[],35,FALSE)*(1-interactive!$C$7)</f>
        <v>7.9779275812687635E-4</v>
      </c>
      <c r="AJ220">
        <f>VLOOKUP($A220,raw[],36,FALSE)*(1-interactive!$C$7)</f>
        <v>1.2265838923937525E-3</v>
      </c>
      <c r="AK220">
        <f>VLOOKUP($A220,raw[],37,FALSE)*(1-interactive!$C$7)</f>
        <v>2.1935378834641124E-3</v>
      </c>
      <c r="AL220">
        <f>VLOOKUP($A220,raw[],38,FALSE)*(1-interactive!$C$7)</f>
        <v>3.0848464685099795E-3</v>
      </c>
      <c r="AM220">
        <f>VLOOKUP($A220,raw[],39,FALSE)*(1-interactive!$C$7)</f>
        <v>5.4709328944127266E-3</v>
      </c>
      <c r="AN220">
        <f>VLOOKUP($A220,raw[],40,FALSE)*(1-interactive!$C$7)</f>
        <v>8.1243798531169704E-3</v>
      </c>
      <c r="AO220">
        <f>VLOOKUP($A220,raw[],41,FALSE)*(1-interactive!$C$7)</f>
        <v>1.2180832134898763E-2</v>
      </c>
      <c r="AP220">
        <f>VLOOKUP($A220,raw[],42,FALSE)*(1-interactive!$C$7)</f>
        <v>2.0037179311686134E-2</v>
      </c>
      <c r="AQ220">
        <f>VLOOKUP($A220,raw[],43,FALSE)*(1-interactive!$C$7)</f>
        <v>2.600372432669678E-2</v>
      </c>
      <c r="AR220">
        <f>VLOOKUP($A220,raw[],44,FALSE)*(1-interactive!$C$7)</f>
        <v>4.0310558335660829E-2</v>
      </c>
      <c r="AS220">
        <f>VLOOKUP($A220,raw[],45,FALSE)*(1-interactive!$C$7)</f>
        <v>6.0562429311274202E-2</v>
      </c>
      <c r="AT220">
        <f>VLOOKUP($A220,raw[],46,FALSE)*(1-interactive!$C$7)</f>
        <v>8.7519550326657244E-2</v>
      </c>
      <c r="AU220">
        <f>VLOOKUP($A220,raw[],47,FALSE)*(1-interactive!$C$7)</f>
        <v>0.11769538150225735</v>
      </c>
      <c r="AV220">
        <f>VLOOKUP($A220,raw[],48,FALSE)*(1-interactive!$C$7)</f>
        <v>0.14262414438552201</v>
      </c>
      <c r="AW220">
        <f>VLOOKUP($A220,raw[],49,FALSE)*(1-interactive!$C$7)</f>
        <v>0.16449709277903463</v>
      </c>
      <c r="AX220">
        <f>VLOOKUP($A220,raw[],50,FALSE)*(1-interactive!$C$7)</f>
        <v>68.099799999999988</v>
      </c>
    </row>
    <row r="221" spans="1:50" x14ac:dyDescent="0.25">
      <c r="A221" t="s">
        <v>386</v>
      </c>
      <c r="B221" t="s">
        <v>387</v>
      </c>
      <c r="C221">
        <v>496</v>
      </c>
      <c r="D221" t="s">
        <v>260</v>
      </c>
      <c r="E221" t="s">
        <v>220</v>
      </c>
      <c r="F221" t="s">
        <v>203</v>
      </c>
      <c r="G221" t="s">
        <v>212</v>
      </c>
      <c r="J221">
        <f>VLOOKUP(raw_lb[[#This Row],[setting]],raw[],10,FALSE)*(1-interactive!$C$7)</f>
        <v>0.93480000000000008</v>
      </c>
      <c r="K221">
        <f>VLOOKUP(raw_lb[[#This Row],[setting]],raw[],11,FALSE)*(1-interactive!$C$7)</f>
        <v>0.93099999999999994</v>
      </c>
      <c r="L221">
        <f>VLOOKUP(raw_lb[[#This Row],[setting]],raw[],12,FALSE)*(1-interactive!$C$7)</f>
        <v>0.91199999999999992</v>
      </c>
      <c r="M221">
        <v>8.2299999999999998E-2</v>
      </c>
      <c r="N221">
        <v>0.16309999999999999</v>
      </c>
      <c r="O221">
        <v>0.7</v>
      </c>
      <c r="P221">
        <v>0.05</v>
      </c>
      <c r="Q221">
        <v>0.94233643318192706</v>
      </c>
      <c r="R221">
        <v>8.003236433181927</v>
      </c>
      <c r="S221">
        <v>39.721579182318706</v>
      </c>
      <c r="T221">
        <v>41.021879263298544</v>
      </c>
      <c r="U221">
        <v>40.424808950954876</v>
      </c>
      <c r="V221">
        <v>3.2440489721940819</v>
      </c>
      <c r="W221">
        <v>7.1105489721940822</v>
      </c>
      <c r="X221">
        <v>2.7660564280880218</v>
      </c>
      <c r="Y221">
        <v>6.632556428088022</v>
      </c>
      <c r="Z221">
        <v>6.6257222787364825</v>
      </c>
      <c r="AA221">
        <v>3.4098184257530986</v>
      </c>
      <c r="AB221">
        <v>7.2763184257530984</v>
      </c>
      <c r="AC221">
        <f>VLOOKUP($A221,raw[],29,FALSE)*(1-interactive!$C$7)</f>
        <v>1.7187076999999974E-2</v>
      </c>
      <c r="AD221">
        <f>VLOOKUP($A221,raw[],30,FALSE)*(1-interactive!$C$7)</f>
        <v>1.0346775341576111E-3</v>
      </c>
      <c r="AE221">
        <f>VLOOKUP($A221,raw[],31,FALSE)*(1-interactive!$C$7)</f>
        <v>3.4269282604917109E-4</v>
      </c>
      <c r="AF221">
        <f>VLOOKUP($A221,raw[],32,FALSE)*(1-interactive!$C$7)</f>
        <v>3.1910321579373618E-4</v>
      </c>
      <c r="AG221">
        <f>VLOOKUP($A221,raw[],33,FALSE)*(1-interactive!$C$7)</f>
        <v>4.9493929739430397E-4</v>
      </c>
      <c r="AH221">
        <f>VLOOKUP($A221,raw[],34,FALSE)*(1-interactive!$C$7)</f>
        <v>8.5619521564759291E-4</v>
      </c>
      <c r="AI221">
        <f>VLOOKUP($A221,raw[],35,FALSE)*(1-interactive!$C$7)</f>
        <v>1.2240992648668591E-3</v>
      </c>
      <c r="AJ221">
        <f>VLOOKUP($A221,raw[],36,FALSE)*(1-interactive!$C$7)</f>
        <v>1.8498156968859254E-3</v>
      </c>
      <c r="AK221">
        <f>VLOOKUP($A221,raw[],37,FALSE)*(1-interactive!$C$7)</f>
        <v>2.6932097931661628E-3</v>
      </c>
      <c r="AL221">
        <f>VLOOKUP($A221,raw[],38,FALSE)*(1-interactive!$C$7)</f>
        <v>4.128238358177304E-3</v>
      </c>
      <c r="AM221">
        <f>VLOOKUP($A221,raw[],39,FALSE)*(1-interactive!$C$7)</f>
        <v>7.1013024209583067E-3</v>
      </c>
      <c r="AN221">
        <f>VLOOKUP($A221,raw[],40,FALSE)*(1-interactive!$C$7)</f>
        <v>1.0618014587171522E-2</v>
      </c>
      <c r="AO221">
        <f>VLOOKUP($A221,raw[],41,FALSE)*(1-interactive!$C$7)</f>
        <v>1.4397549207143971E-2</v>
      </c>
      <c r="AP221">
        <f>VLOOKUP($A221,raw[],42,FALSE)*(1-interactive!$C$7)</f>
        <v>2.0216557051855641E-2</v>
      </c>
      <c r="AQ221">
        <f>VLOOKUP($A221,raw[],43,FALSE)*(1-interactive!$C$7)</f>
        <v>2.7565094646609514E-2</v>
      </c>
      <c r="AR221">
        <f>VLOOKUP($A221,raw[],44,FALSE)*(1-interactive!$C$7)</f>
        <v>4.3845330982583142E-2</v>
      </c>
      <c r="AS221">
        <f>VLOOKUP($A221,raw[],45,FALSE)*(1-interactive!$C$7)</f>
        <v>6.2588998745244345E-2</v>
      </c>
      <c r="AT221">
        <f>VLOOKUP($A221,raw[],46,FALSE)*(1-interactive!$C$7)</f>
        <v>8.5520990892157769E-2</v>
      </c>
      <c r="AU221">
        <f>VLOOKUP($A221,raw[],47,FALSE)*(1-interactive!$C$7)</f>
        <v>0.11148821121680133</v>
      </c>
      <c r="AV221">
        <f>VLOOKUP($A221,raw[],48,FALSE)*(1-interactive!$C$7)</f>
        <v>0.13643041704868589</v>
      </c>
      <c r="AW221">
        <f>VLOOKUP($A221,raw[],49,FALSE)*(1-interactive!$C$7)</f>
        <v>0.15685835251538757</v>
      </c>
      <c r="AX221">
        <f>VLOOKUP($A221,raw[],50,FALSE)*(1-interactive!$C$7)</f>
        <v>66.071550000000002</v>
      </c>
    </row>
    <row r="222" spans="1:50" x14ac:dyDescent="0.25">
      <c r="A222" t="s">
        <v>388</v>
      </c>
      <c r="B222" t="s">
        <v>389</v>
      </c>
      <c r="C222">
        <v>499</v>
      </c>
      <c r="D222" t="s">
        <v>201</v>
      </c>
      <c r="E222" t="s">
        <v>202</v>
      </c>
      <c r="F222" t="s">
        <v>203</v>
      </c>
      <c r="G222" t="s">
        <v>204</v>
      </c>
      <c r="J222">
        <f>VLOOKUP(raw_lb[[#This Row],[setting]],raw[],10,FALSE)*(1-interactive!$C$7)</f>
        <v>0.93669999999999998</v>
      </c>
      <c r="K222">
        <f>VLOOKUP(raw_lb[[#This Row],[setting]],raw[],11,FALSE)*(1-interactive!$C$7)</f>
        <v>0</v>
      </c>
      <c r="L222">
        <f>VLOOKUP(raw_lb[[#This Row],[setting]],raw[],12,FALSE)*(1-interactive!$C$7)</f>
        <v>0.49399999999999999</v>
      </c>
      <c r="M222">
        <v>8.6999999999999994E-3</v>
      </c>
      <c r="N222">
        <v>0.16329999999999997</v>
      </c>
      <c r="O222">
        <v>0.7</v>
      </c>
      <c r="P222">
        <v>0.05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3.0786430636259543</v>
      </c>
      <c r="W222">
        <v>6.9451430636259541</v>
      </c>
      <c r="X222">
        <v>2.600860481871476</v>
      </c>
      <c r="Y222">
        <v>6.4673604818714763</v>
      </c>
      <c r="Z222">
        <v>6.4610068471399771</v>
      </c>
      <c r="AA222">
        <v>3.2437646333572316</v>
      </c>
      <c r="AB222">
        <v>7.1102646333572324</v>
      </c>
      <c r="AC222">
        <f>VLOOKUP($A222,raw[],29,FALSE)*(1-interactive!$C$7)</f>
        <v>2.6210405000000464E-3</v>
      </c>
      <c r="AD222">
        <f>VLOOKUP($A222,raw[],30,FALSE)*(1-interactive!$C$7)</f>
        <v>1.0429374540062592E-4</v>
      </c>
      <c r="AE222">
        <f>VLOOKUP($A222,raw[],31,FALSE)*(1-interactive!$C$7)</f>
        <v>1.2314889593689613E-4</v>
      </c>
      <c r="AF222">
        <f>VLOOKUP($A222,raw[],32,FALSE)*(1-interactive!$C$7)</f>
        <v>1.3386213083016766E-4</v>
      </c>
      <c r="AG222">
        <f>VLOOKUP($A222,raw[],33,FALSE)*(1-interactive!$C$7)</f>
        <v>2.4685270109297164E-4</v>
      </c>
      <c r="AH222">
        <f>VLOOKUP($A222,raw[],34,FALSE)*(1-interactive!$C$7)</f>
        <v>3.6586245624027012E-4</v>
      </c>
      <c r="AI222">
        <f>VLOOKUP($A222,raw[],35,FALSE)*(1-interactive!$C$7)</f>
        <v>5.5664347295768441E-4</v>
      </c>
      <c r="AJ222">
        <f>VLOOKUP($A222,raw[],36,FALSE)*(1-interactive!$C$7)</f>
        <v>5.5427680249059462E-4</v>
      </c>
      <c r="AK222">
        <f>VLOOKUP($A222,raw[],37,FALSE)*(1-interactive!$C$7)</f>
        <v>9.2242188556577553E-4</v>
      </c>
      <c r="AL222">
        <f>VLOOKUP($A222,raw[],38,FALSE)*(1-interactive!$C$7)</f>
        <v>1.4316426674477287E-3</v>
      </c>
      <c r="AM222">
        <f>VLOOKUP($A222,raw[],39,FALSE)*(1-interactive!$C$7)</f>
        <v>2.4329816400606614E-3</v>
      </c>
      <c r="AN222">
        <f>VLOOKUP($A222,raw[],40,FALSE)*(1-interactive!$C$7)</f>
        <v>4.5430094714786892E-3</v>
      </c>
      <c r="AO222">
        <f>VLOOKUP($A222,raw[],41,FALSE)*(1-interactive!$C$7)</f>
        <v>8.1042670430410205E-3</v>
      </c>
      <c r="AP222">
        <f>VLOOKUP($A222,raw[],42,FALSE)*(1-interactive!$C$7)</f>
        <v>1.2155327883148249E-2</v>
      </c>
      <c r="AQ222">
        <f>VLOOKUP($A222,raw[],43,FALSE)*(1-interactive!$C$7)</f>
        <v>2.0126847256531098E-2</v>
      </c>
      <c r="AR222">
        <f>VLOOKUP($A222,raw[],44,FALSE)*(1-interactive!$C$7)</f>
        <v>2.9426599249038326E-2</v>
      </c>
      <c r="AS222">
        <f>VLOOKUP($A222,raw[],45,FALSE)*(1-interactive!$C$7)</f>
        <v>4.887883261272255E-2</v>
      </c>
      <c r="AT222">
        <f>VLOOKUP($A222,raw[],46,FALSE)*(1-interactive!$C$7)</f>
        <v>7.7063946051068116E-2</v>
      </c>
      <c r="AU222">
        <f>VLOOKUP($A222,raw[],47,FALSE)*(1-interactive!$C$7)</f>
        <v>0.1117260127560994</v>
      </c>
      <c r="AV222">
        <f>VLOOKUP($A222,raw[],48,FALSE)*(1-interactive!$C$7)</f>
        <v>0.1479933124985566</v>
      </c>
      <c r="AW222">
        <f>VLOOKUP($A222,raw[],49,FALSE)*(1-interactive!$C$7)</f>
        <v>0.17016617947094131</v>
      </c>
      <c r="AX222">
        <f>VLOOKUP($A222,raw[],50,FALSE)*(1-interactive!$C$7)</f>
        <v>72.819400000000002</v>
      </c>
    </row>
    <row r="223" spans="1:50" x14ac:dyDescent="0.25">
      <c r="A223" t="s">
        <v>390</v>
      </c>
      <c r="B223" t="s">
        <v>391</v>
      </c>
      <c r="C223">
        <v>504</v>
      </c>
      <c r="D223" t="s">
        <v>196</v>
      </c>
      <c r="E223" t="s">
        <v>197</v>
      </c>
      <c r="F223" t="s">
        <v>197</v>
      </c>
      <c r="G223" t="s">
        <v>212</v>
      </c>
      <c r="J223">
        <f>VLOOKUP(raw_lb[[#This Row],[setting]],raw[],10,FALSE)*(1-interactive!$C$7)</f>
        <v>0.81794999999999995</v>
      </c>
      <c r="K223">
        <f>VLOOKUP(raw_lb[[#This Row],[setting]],raw[],11,FALSE)*(1-interactive!$C$7)</f>
        <v>0.38949999999999996</v>
      </c>
      <c r="L223">
        <f>VLOOKUP(raw_lb[[#This Row],[setting]],raw[],12,FALSE)*(1-interactive!$C$7)</f>
        <v>0.9405</v>
      </c>
      <c r="M223">
        <v>1.21E-2</v>
      </c>
      <c r="N223">
        <v>0.14980000000000002</v>
      </c>
      <c r="O223">
        <v>0.7</v>
      </c>
      <c r="P223">
        <v>0.05</v>
      </c>
      <c r="Q223">
        <v>1.3728965435978</v>
      </c>
      <c r="R223">
        <v>8.4337965435978006</v>
      </c>
      <c r="S223">
        <v>42.392043882635825</v>
      </c>
      <c r="T223">
        <v>44.858136015423618</v>
      </c>
      <c r="U223">
        <v>43.725758634594477</v>
      </c>
      <c r="V223">
        <v>1.8461401518215967</v>
      </c>
      <c r="W223">
        <v>2.3021401518215967</v>
      </c>
      <c r="X223">
        <v>1.3708647690453837</v>
      </c>
      <c r="Y223">
        <v>1.8268647690453836</v>
      </c>
      <c r="Z223">
        <v>1.8219646841844102</v>
      </c>
      <c r="AA223">
        <v>2.003525221848514</v>
      </c>
      <c r="AB223">
        <v>2.459525221848514</v>
      </c>
      <c r="AC223">
        <f>VLOOKUP($A223,raw[],29,FALSE)*(1-interactive!$C$7)</f>
        <v>1.8875293500000064E-2</v>
      </c>
      <c r="AD223">
        <f>VLOOKUP($A223,raw[],30,FALSE)*(1-interactive!$C$7)</f>
        <v>8.5650414969413698E-4</v>
      </c>
      <c r="AE223">
        <f>VLOOKUP($A223,raw[],31,FALSE)*(1-interactive!$C$7)</f>
        <v>3.9984769965251197E-4</v>
      </c>
      <c r="AF223">
        <f>VLOOKUP($A223,raw[],32,FALSE)*(1-interactive!$C$7)</f>
        <v>2.4296351582322627E-4</v>
      </c>
      <c r="AG223">
        <f>VLOOKUP($A223,raw[],33,FALSE)*(1-interactive!$C$7)</f>
        <v>3.9420558930539746E-4</v>
      </c>
      <c r="AH223">
        <f>VLOOKUP($A223,raw[],34,FALSE)*(1-interactive!$C$7)</f>
        <v>5.7432954523667845E-4</v>
      </c>
      <c r="AI223">
        <f>VLOOKUP($A223,raw[],35,FALSE)*(1-interactive!$C$7)</f>
        <v>6.3552315196445071E-4</v>
      </c>
      <c r="AJ223">
        <f>VLOOKUP($A223,raw[],36,FALSE)*(1-interactive!$C$7)</f>
        <v>7.0574568938854671E-4</v>
      </c>
      <c r="AK223">
        <f>VLOOKUP($A223,raw[],37,FALSE)*(1-interactive!$C$7)</f>
        <v>9.5137129687938382E-4</v>
      </c>
      <c r="AL223">
        <f>VLOOKUP($A223,raw[],38,FALSE)*(1-interactive!$C$7)</f>
        <v>1.2642595670064691E-3</v>
      </c>
      <c r="AM223">
        <f>VLOOKUP($A223,raw[],39,FALSE)*(1-interactive!$C$7)</f>
        <v>1.8054080828093112E-3</v>
      </c>
      <c r="AN223">
        <f>VLOOKUP($A223,raw[],40,FALSE)*(1-interactive!$C$7)</f>
        <v>2.7577877378462635E-3</v>
      </c>
      <c r="AO223">
        <f>VLOOKUP($A223,raw[],41,FALSE)*(1-interactive!$C$7)</f>
        <v>4.283856273541534E-3</v>
      </c>
      <c r="AP223">
        <f>VLOOKUP($A223,raw[],42,FALSE)*(1-interactive!$C$7)</f>
        <v>7.4320729215778588E-3</v>
      </c>
      <c r="AQ223">
        <f>VLOOKUP($A223,raw[],43,FALSE)*(1-interactive!$C$7)</f>
        <v>1.3213399071246024E-2</v>
      </c>
      <c r="AR223">
        <f>VLOOKUP($A223,raw[],44,FALSE)*(1-interactive!$C$7)</f>
        <v>2.6343554368299809E-2</v>
      </c>
      <c r="AS223">
        <f>VLOOKUP($A223,raw[],45,FALSE)*(1-interactive!$C$7)</f>
        <v>4.467083794193033E-2</v>
      </c>
      <c r="AT223">
        <f>VLOOKUP($A223,raw[],46,FALSE)*(1-interactive!$C$7)</f>
        <v>8.7399132494828988E-2</v>
      </c>
      <c r="AU223">
        <f>VLOOKUP($A223,raw[],47,FALSE)*(1-interactive!$C$7)</f>
        <v>0.13239106888338972</v>
      </c>
      <c r="AV223">
        <f>VLOOKUP($A223,raw[],48,FALSE)*(1-interactive!$C$7)</f>
        <v>0.16455770580630139</v>
      </c>
      <c r="AW223">
        <f>VLOOKUP($A223,raw[],49,FALSE)*(1-interactive!$C$7)</f>
        <v>0.17516608604530076</v>
      </c>
      <c r="AX223">
        <f>VLOOKUP($A223,raw[],50,FALSE)*(1-interactive!$C$7)</f>
        <v>72.513499999999993</v>
      </c>
    </row>
    <row r="224" spans="1:50" x14ac:dyDescent="0.25">
      <c r="A224" t="s">
        <v>392</v>
      </c>
      <c r="B224" t="s">
        <v>393</v>
      </c>
      <c r="C224">
        <v>508</v>
      </c>
      <c r="D224" t="s">
        <v>207</v>
      </c>
      <c r="E224" t="s">
        <v>255</v>
      </c>
      <c r="F224" t="s">
        <v>211</v>
      </c>
      <c r="G224" t="s">
        <v>198</v>
      </c>
      <c r="J224">
        <f>VLOOKUP(raw_lb[[#This Row],[setting]],raw[],10,FALSE)*(1-interactive!$C$7)</f>
        <v>0.52059999999999995</v>
      </c>
      <c r="K224">
        <f>VLOOKUP(raw_lb[[#This Row],[setting]],raw[],11,FALSE)*(1-interactive!$C$7)</f>
        <v>0</v>
      </c>
      <c r="L224">
        <f>VLOOKUP(raw_lb[[#This Row],[setting]],raw[],12,FALSE)*(1-interactive!$C$7)</f>
        <v>0.75049999999999994</v>
      </c>
      <c r="M224">
        <v>7.7000000000000002E-3</v>
      </c>
      <c r="N224">
        <v>0.15560000000000002</v>
      </c>
      <c r="O224">
        <v>7.0000000000000007E-2</v>
      </c>
      <c r="P224">
        <v>1E-3</v>
      </c>
      <c r="Q224">
        <v>0.63224912280701806</v>
      </c>
      <c r="R224">
        <v>7.6931491228070179</v>
      </c>
      <c r="S224">
        <v>37.378351761893747</v>
      </c>
      <c r="T224">
        <v>37.620473476172343</v>
      </c>
      <c r="U224">
        <v>37.509296302776669</v>
      </c>
      <c r="V224">
        <v>0.87373397810293407</v>
      </c>
      <c r="W224">
        <v>5.4622339781029341</v>
      </c>
      <c r="X224">
        <v>0.40420196097558214</v>
      </c>
      <c r="Y224">
        <v>4.9927019609755821</v>
      </c>
      <c r="Z224">
        <v>4.9917145662334939</v>
      </c>
      <c r="AA224">
        <v>1.0133966626990805</v>
      </c>
      <c r="AB224">
        <v>5.6018966626990805</v>
      </c>
      <c r="AC224">
        <f>VLOOKUP($A224,raw[],29,FALSE)*(1-interactive!$C$7)</f>
        <v>5.1220019500000054E-2</v>
      </c>
      <c r="AD224">
        <f>VLOOKUP($A224,raw[],30,FALSE)*(1-interactive!$C$7)</f>
        <v>4.856362466008444E-3</v>
      </c>
      <c r="AE224">
        <f>VLOOKUP($A224,raw[],31,FALSE)*(1-interactive!$C$7)</f>
        <v>1.3312215768755706E-3</v>
      </c>
      <c r="AF224">
        <f>VLOOKUP($A224,raw[],32,FALSE)*(1-interactive!$C$7)</f>
        <v>1.0401581021276709E-3</v>
      </c>
      <c r="AG224">
        <f>VLOOKUP($A224,raw[],33,FALSE)*(1-interactive!$C$7)</f>
        <v>1.6399982963431706E-3</v>
      </c>
      <c r="AH224">
        <f>VLOOKUP($A224,raw[],34,FALSE)*(1-interactive!$C$7)</f>
        <v>2.7221837874036228E-3</v>
      </c>
      <c r="AI224">
        <f>VLOOKUP($A224,raw[],35,FALSE)*(1-interactive!$C$7)</f>
        <v>4.1707275307711475E-3</v>
      </c>
      <c r="AJ224">
        <f>VLOOKUP($A224,raw[],36,FALSE)*(1-interactive!$C$7)</f>
        <v>5.7643347459793888E-3</v>
      </c>
      <c r="AK224">
        <f>VLOOKUP($A224,raw[],37,FALSE)*(1-interactive!$C$7)</f>
        <v>7.9949510529019642E-3</v>
      </c>
      <c r="AL224">
        <f>VLOOKUP($A224,raw[],38,FALSE)*(1-interactive!$C$7)</f>
        <v>9.5782106750065647E-3</v>
      </c>
      <c r="AM224">
        <f>VLOOKUP($A224,raw[],39,FALSE)*(1-interactive!$C$7)</f>
        <v>1.1270090558925644E-2</v>
      </c>
      <c r="AN224">
        <f>VLOOKUP($A224,raw[],40,FALSE)*(1-interactive!$C$7)</f>
        <v>1.379266152660532E-2</v>
      </c>
      <c r="AO224">
        <f>VLOOKUP($A224,raw[],41,FALSE)*(1-interactive!$C$7)</f>
        <v>1.7059467830708774E-2</v>
      </c>
      <c r="AP224">
        <f>VLOOKUP($A224,raw[],42,FALSE)*(1-interactive!$C$7)</f>
        <v>2.2998261987161421E-2</v>
      </c>
      <c r="AQ224">
        <f>VLOOKUP($A224,raw[],43,FALSE)*(1-interactive!$C$7)</f>
        <v>3.2626727217979108E-2</v>
      </c>
      <c r="AR224">
        <f>VLOOKUP($A224,raw[],44,FALSE)*(1-interactive!$C$7)</f>
        <v>4.7760692695172038E-2</v>
      </c>
      <c r="AS224">
        <f>VLOOKUP($A224,raw[],45,FALSE)*(1-interactive!$C$7)</f>
        <v>6.9878922432894036E-2</v>
      </c>
      <c r="AT224">
        <f>VLOOKUP($A224,raw[],46,FALSE)*(1-interactive!$C$7)</f>
        <v>0.10290583556713905</v>
      </c>
      <c r="AU224">
        <f>VLOOKUP($A224,raw[],47,FALSE)*(1-interactive!$C$7)</f>
        <v>0.14062568220594418</v>
      </c>
      <c r="AV224">
        <f>VLOOKUP($A224,raw[],48,FALSE)*(1-interactive!$C$7)</f>
        <v>0.16924857029673171</v>
      </c>
      <c r="AW224">
        <f>VLOOKUP($A224,raw[],49,FALSE)*(1-interactive!$C$7)</f>
        <v>0.1787038569630241</v>
      </c>
      <c r="AX224">
        <f>VLOOKUP($A224,raw[],50,FALSE)*(1-interactive!$C$7)</f>
        <v>57.051299999999998</v>
      </c>
    </row>
    <row r="225" spans="1:50" x14ac:dyDescent="0.25">
      <c r="A225" t="s">
        <v>394</v>
      </c>
      <c r="B225" t="s">
        <v>395</v>
      </c>
      <c r="C225">
        <v>104</v>
      </c>
      <c r="D225" t="s">
        <v>225</v>
      </c>
      <c r="E225" t="s">
        <v>261</v>
      </c>
      <c r="F225" t="s">
        <v>262</v>
      </c>
      <c r="G225" t="s">
        <v>212</v>
      </c>
      <c r="J225">
        <f>VLOOKUP(raw_lb[[#This Row],[setting]],raw[],10,FALSE)*(1-interactive!$C$7)</f>
        <v>0.35244999999999999</v>
      </c>
      <c r="K225">
        <f>VLOOKUP(raw_lb[[#This Row],[setting]],raw[],11,FALSE)*(1-interactive!$C$7)</f>
        <v>0.19949999999999998</v>
      </c>
      <c r="L225">
        <f>VLOOKUP(raw_lb[[#This Row],[setting]],raw[],12,FALSE)*(1-interactive!$C$7)</f>
        <v>0.79799999999999993</v>
      </c>
      <c r="M225">
        <v>4.5700000000000005E-2</v>
      </c>
      <c r="N225">
        <v>0.18100000000000002</v>
      </c>
      <c r="O225">
        <v>0.7</v>
      </c>
      <c r="P225">
        <v>0.05</v>
      </c>
      <c r="Q225">
        <v>0.711777083333333</v>
      </c>
      <c r="R225">
        <v>7.772677083333333</v>
      </c>
      <c r="S225">
        <v>37.660776551295399</v>
      </c>
      <c r="T225">
        <v>38.008498973526628</v>
      </c>
      <c r="U225">
        <v>37.848832187153704</v>
      </c>
      <c r="V225">
        <v>1.1775377151163933</v>
      </c>
      <c r="W225">
        <v>1.7760377151163933</v>
      </c>
      <c r="X225">
        <v>0.70597580627761691</v>
      </c>
      <c r="Y225">
        <v>1.3044758062776167</v>
      </c>
      <c r="Z225">
        <v>1.3020257857058359</v>
      </c>
      <c r="AA225">
        <v>1.3234640655649348</v>
      </c>
      <c r="AB225">
        <v>1.9219640655649348</v>
      </c>
      <c r="AC225">
        <f>VLOOKUP($A225,raw[],29,FALSE)*(1-interactive!$C$7)</f>
        <v>3.6499465499999988E-2</v>
      </c>
      <c r="AD225">
        <f>VLOOKUP($A225,raw[],30,FALSE)*(1-interactive!$C$7)</f>
        <v>2.3865035092105751E-3</v>
      </c>
      <c r="AE225">
        <f>VLOOKUP($A225,raw[],31,FALSE)*(1-interactive!$C$7)</f>
        <v>1.0192950197325081E-3</v>
      </c>
      <c r="AF225">
        <f>VLOOKUP($A225,raw[],32,FALSE)*(1-interactive!$C$7)</f>
        <v>8.2756855707476261E-4</v>
      </c>
      <c r="AG225">
        <f>VLOOKUP($A225,raw[],33,FALSE)*(1-interactive!$C$7)</f>
        <v>1.3413161150521613E-3</v>
      </c>
      <c r="AH225">
        <f>VLOOKUP($A225,raw[],34,FALSE)*(1-interactive!$C$7)</f>
        <v>1.8954846475889907E-3</v>
      </c>
      <c r="AI225">
        <f>VLOOKUP($A225,raw[],35,FALSE)*(1-interactive!$C$7)</f>
        <v>2.0536486819303086E-3</v>
      </c>
      <c r="AJ225">
        <f>VLOOKUP($A225,raw[],36,FALSE)*(1-interactive!$C$7)</f>
        <v>2.3638667828369954E-3</v>
      </c>
      <c r="AK225">
        <f>VLOOKUP($A225,raw[],37,FALSE)*(1-interactive!$C$7)</f>
        <v>2.9882626590387214E-3</v>
      </c>
      <c r="AL225">
        <f>VLOOKUP($A225,raw[],38,FALSE)*(1-interactive!$C$7)</f>
        <v>4.0336526595469123E-3</v>
      </c>
      <c r="AM225">
        <f>VLOOKUP($A225,raw[],39,FALSE)*(1-interactive!$C$7)</f>
        <v>5.7659155863809446E-3</v>
      </c>
      <c r="AN225">
        <f>VLOOKUP($A225,raw[],40,FALSE)*(1-interactive!$C$7)</f>
        <v>8.4519508108738158E-3</v>
      </c>
      <c r="AO225">
        <f>VLOOKUP($A225,raw[],41,FALSE)*(1-interactive!$C$7)</f>
        <v>1.2520934020103108E-2</v>
      </c>
      <c r="AP225">
        <f>VLOOKUP($A225,raw[],42,FALSE)*(1-interactive!$C$7)</f>
        <v>1.891476914136217E-2</v>
      </c>
      <c r="AQ225">
        <f>VLOOKUP($A225,raw[],43,FALSE)*(1-interactive!$C$7)</f>
        <v>2.8989960993456389E-2</v>
      </c>
      <c r="AR225">
        <f>VLOOKUP($A225,raw[],44,FALSE)*(1-interactive!$C$7)</f>
        <v>4.482126722495669E-2</v>
      </c>
      <c r="AS225">
        <f>VLOOKUP($A225,raw[],45,FALSE)*(1-interactive!$C$7)</f>
        <v>6.7378635027513234E-2</v>
      </c>
      <c r="AT225">
        <f>VLOOKUP($A225,raw[],46,FALSE)*(1-interactive!$C$7)</f>
        <v>9.7036107213252967E-2</v>
      </c>
      <c r="AU225">
        <f>VLOOKUP($A225,raw[],47,FALSE)*(1-interactive!$C$7)</f>
        <v>0.12844851345922201</v>
      </c>
      <c r="AV225">
        <f>VLOOKUP($A225,raw[],48,FALSE)*(1-interactive!$C$7)</f>
        <v>0.15398833038853049</v>
      </c>
      <c r="AW225">
        <f>VLOOKUP($A225,raw[],49,FALSE)*(1-interactive!$C$7)</f>
        <v>0.17052376186149343</v>
      </c>
      <c r="AX225">
        <f>VLOOKUP($A225,raw[],50,FALSE)*(1-interactive!$C$7)</f>
        <v>63.421049999999994</v>
      </c>
    </row>
    <row r="226" spans="1:50" x14ac:dyDescent="0.25">
      <c r="A226" t="s">
        <v>396</v>
      </c>
      <c r="B226" t="s">
        <v>397</v>
      </c>
      <c r="C226">
        <v>516</v>
      </c>
      <c r="D226" t="s">
        <v>207</v>
      </c>
      <c r="E226" t="s">
        <v>245</v>
      </c>
      <c r="F226" t="s">
        <v>211</v>
      </c>
      <c r="G226" t="s">
        <v>204</v>
      </c>
      <c r="J226">
        <f>VLOOKUP(raw_lb[[#This Row],[setting]],raw[],10,FALSE)*(1-interactive!$C$7)</f>
        <v>0.83030000000000004</v>
      </c>
      <c r="K226">
        <f>VLOOKUP(raw_lb[[#This Row],[setting]],raw[],11,FALSE)*(1-interactive!$C$7)</f>
        <v>0.76949999999999996</v>
      </c>
      <c r="L226">
        <f>VLOOKUP(raw_lb[[#This Row],[setting]],raw[],12,FALSE)*(1-interactive!$C$7)</f>
        <v>0.82650000000000001</v>
      </c>
      <c r="M226">
        <v>4.9699999999999994E-2</v>
      </c>
      <c r="N226">
        <v>0.15109999999999998</v>
      </c>
      <c r="O226">
        <v>7.0000000000000007E-2</v>
      </c>
      <c r="P226">
        <v>1E-3</v>
      </c>
      <c r="Q226">
        <v>1.7831752037864801</v>
      </c>
      <c r="R226">
        <v>8.8440752037864812</v>
      </c>
      <c r="S226">
        <v>45.783201558432168</v>
      </c>
      <c r="T226">
        <v>49.800737033701687</v>
      </c>
      <c r="U226">
        <v>47.955969663339481</v>
      </c>
      <c r="V226">
        <v>2.6653600483907498</v>
      </c>
      <c r="W226">
        <v>7.2538600483907496</v>
      </c>
      <c r="X226">
        <v>2.1922505905566503</v>
      </c>
      <c r="Y226">
        <v>6.7807505905566501</v>
      </c>
      <c r="Z226">
        <v>6.7775641770719837</v>
      </c>
      <c r="AA226">
        <v>2.8160616928820028</v>
      </c>
      <c r="AB226">
        <v>7.4045616928820026</v>
      </c>
      <c r="AC226">
        <f>VLOOKUP($A226,raw[],29,FALSE)*(1-interactive!$C$7)</f>
        <v>3.1724204999999998E-2</v>
      </c>
      <c r="AD226">
        <f>VLOOKUP($A226,raw[],30,FALSE)*(1-interactive!$C$7)</f>
        <v>2.7445204928874503E-3</v>
      </c>
      <c r="AE226">
        <f>VLOOKUP($A226,raw[],31,FALSE)*(1-interactive!$C$7)</f>
        <v>1.1635121142374067E-3</v>
      </c>
      <c r="AF226">
        <f>VLOOKUP($A226,raw[],32,FALSE)*(1-interactive!$C$7)</f>
        <v>9.3902794006062856E-4</v>
      </c>
      <c r="AG226">
        <f>VLOOKUP($A226,raw[],33,FALSE)*(1-interactive!$C$7)</f>
        <v>1.5819636691246455E-3</v>
      </c>
      <c r="AH226">
        <f>VLOOKUP($A226,raw[],34,FALSE)*(1-interactive!$C$7)</f>
        <v>2.585918502122185E-3</v>
      </c>
      <c r="AI226">
        <f>VLOOKUP($A226,raw[],35,FALSE)*(1-interactive!$C$7)</f>
        <v>3.7259428067210752E-3</v>
      </c>
      <c r="AJ226">
        <f>VLOOKUP($A226,raw[],36,FALSE)*(1-interactive!$C$7)</f>
        <v>4.9597843819352413E-3</v>
      </c>
      <c r="AK226">
        <f>VLOOKUP($A226,raw[],37,FALSE)*(1-interactive!$C$7)</f>
        <v>6.6948018620077987E-3</v>
      </c>
      <c r="AL226">
        <f>VLOOKUP($A226,raw[],38,FALSE)*(1-interactive!$C$7)</f>
        <v>8.1939252537602415E-3</v>
      </c>
      <c r="AM226">
        <f>VLOOKUP($A226,raw[],39,FALSE)*(1-interactive!$C$7)</f>
        <v>9.9918977995677189E-3</v>
      </c>
      <c r="AN226">
        <f>VLOOKUP($A226,raw[],40,FALSE)*(1-interactive!$C$7)</f>
        <v>1.2786166821256759E-2</v>
      </c>
      <c r="AO226">
        <f>VLOOKUP($A226,raw[],41,FALSE)*(1-interactive!$C$7)</f>
        <v>1.5992361336201653E-2</v>
      </c>
      <c r="AP226">
        <f>VLOOKUP($A226,raw[],42,FALSE)*(1-interactive!$C$7)</f>
        <v>2.1914537153476174E-2</v>
      </c>
      <c r="AQ226">
        <f>VLOOKUP($A226,raw[],43,FALSE)*(1-interactive!$C$7)</f>
        <v>3.1774691806230659E-2</v>
      </c>
      <c r="AR226">
        <f>VLOOKUP($A226,raw[],44,FALSE)*(1-interactive!$C$7)</f>
        <v>4.7257267440035083E-2</v>
      </c>
      <c r="AS226">
        <f>VLOOKUP($A226,raw[],45,FALSE)*(1-interactive!$C$7)</f>
        <v>6.9551744124068476E-2</v>
      </c>
      <c r="AT226">
        <f>VLOOKUP($A226,raw[],46,FALSE)*(1-interactive!$C$7)</f>
        <v>0.10197397665093527</v>
      </c>
      <c r="AU226">
        <f>VLOOKUP($A226,raw[],47,FALSE)*(1-interactive!$C$7)</f>
        <v>0.13949468516599511</v>
      </c>
      <c r="AV226">
        <f>VLOOKUP($A226,raw[],48,FALSE)*(1-interactive!$C$7)</f>
        <v>0.16911516525652456</v>
      </c>
      <c r="AW226">
        <f>VLOOKUP($A226,raw[],49,FALSE)*(1-interactive!$C$7)</f>
        <v>0.17910810637073443</v>
      </c>
      <c r="AX226">
        <f>VLOOKUP($A226,raw[],50,FALSE)*(1-interactive!$C$7)</f>
        <v>59.872799999999998</v>
      </c>
    </row>
    <row r="227" spans="1:50" x14ac:dyDescent="0.25">
      <c r="A227" t="s">
        <v>398</v>
      </c>
      <c r="B227" t="s">
        <v>399</v>
      </c>
      <c r="C227">
        <v>520</v>
      </c>
      <c r="D227" t="s">
        <v>260</v>
      </c>
      <c r="E227" t="s">
        <v>309</v>
      </c>
      <c r="F227" t="s">
        <v>262</v>
      </c>
      <c r="G227" t="s">
        <v>204</v>
      </c>
      <c r="J227">
        <f>VLOOKUP(raw_lb[[#This Row],[setting]],raw[],10,FALSE)*(1-interactive!$C$7)</f>
        <v>0.93764999999999998</v>
      </c>
      <c r="K227">
        <f>VLOOKUP(raw_lb[[#This Row],[setting]],raw[],11,FALSE)*(1-interactive!$C$7)</f>
        <v>0.9405</v>
      </c>
      <c r="L227">
        <f>VLOOKUP(raw_lb[[#This Row],[setting]],raw[],12,FALSE)*(1-interactive!$C$7)</f>
        <v>0.90249999999999997</v>
      </c>
      <c r="M227">
        <v>9.9600000000000008E-2</v>
      </c>
      <c r="N227">
        <v>0</v>
      </c>
      <c r="O227">
        <v>0.7</v>
      </c>
      <c r="P227">
        <v>0.05</v>
      </c>
      <c r="Q227">
        <v>1.2006219650448751</v>
      </c>
      <c r="R227">
        <v>8.2615219650448761</v>
      </c>
      <c r="S227">
        <v>40.686191795900932</v>
      </c>
      <c r="T227">
        <v>42.354110435973659</v>
      </c>
      <c r="U227">
        <v>41.588237451760953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f>VLOOKUP($A227,raw[],29,FALSE)*(1-interactive!$C$7)</f>
        <v>0</v>
      </c>
      <c r="AD227">
        <f>VLOOKUP($A227,raw[],30,FALSE)*(1-interactive!$C$7)</f>
        <v>0</v>
      </c>
      <c r="AE227">
        <f>VLOOKUP($A227,raw[],31,FALSE)*(1-interactive!$C$7)</f>
        <v>0</v>
      </c>
      <c r="AF227">
        <f>VLOOKUP($A227,raw[],32,FALSE)*(1-interactive!$C$7)</f>
        <v>0</v>
      </c>
      <c r="AG227">
        <f>VLOOKUP($A227,raw[],33,FALSE)*(1-interactive!$C$7)</f>
        <v>0</v>
      </c>
      <c r="AH227">
        <f>VLOOKUP($A227,raw[],34,FALSE)*(1-interactive!$C$7)</f>
        <v>0</v>
      </c>
      <c r="AI227">
        <f>VLOOKUP($A227,raw[],35,FALSE)*(1-interactive!$C$7)</f>
        <v>0</v>
      </c>
      <c r="AJ227">
        <f>VLOOKUP($A227,raw[],36,FALSE)*(1-interactive!$C$7)</f>
        <v>0</v>
      </c>
      <c r="AK227">
        <f>VLOOKUP($A227,raw[],37,FALSE)*(1-interactive!$C$7)</f>
        <v>0</v>
      </c>
      <c r="AL227">
        <f>VLOOKUP($A227,raw[],38,FALSE)*(1-interactive!$C$7)</f>
        <v>0</v>
      </c>
      <c r="AM227">
        <f>VLOOKUP($A227,raw[],39,FALSE)*(1-interactive!$C$7)</f>
        <v>0</v>
      </c>
      <c r="AN227">
        <f>VLOOKUP($A227,raw[],40,FALSE)*(1-interactive!$C$7)</f>
        <v>0</v>
      </c>
      <c r="AO227">
        <f>VLOOKUP($A227,raw[],41,FALSE)*(1-interactive!$C$7)</f>
        <v>0</v>
      </c>
      <c r="AP227">
        <f>VLOOKUP($A227,raw[],42,FALSE)*(1-interactive!$C$7)</f>
        <v>0</v>
      </c>
      <c r="AQ227">
        <f>VLOOKUP($A227,raw[],43,FALSE)*(1-interactive!$C$7)</f>
        <v>0</v>
      </c>
      <c r="AR227">
        <f>VLOOKUP($A227,raw[],44,FALSE)*(1-interactive!$C$7)</f>
        <v>0</v>
      </c>
      <c r="AS227">
        <f>VLOOKUP($A227,raw[],45,FALSE)*(1-interactive!$C$7)</f>
        <v>0</v>
      </c>
      <c r="AT227">
        <f>VLOOKUP($A227,raw[],46,FALSE)*(1-interactive!$C$7)</f>
        <v>0</v>
      </c>
      <c r="AU227">
        <f>VLOOKUP($A227,raw[],47,FALSE)*(1-interactive!$C$7)</f>
        <v>0</v>
      </c>
      <c r="AV227">
        <f>VLOOKUP($A227,raw[],48,FALSE)*(1-interactive!$C$7)</f>
        <v>0</v>
      </c>
      <c r="AW227">
        <f>VLOOKUP($A227,raw[],49,FALSE)*(1-interactive!$C$7)</f>
        <v>0</v>
      </c>
      <c r="AX227">
        <f>VLOOKUP($A227,raw[],50,FALSE)*(1-interactive!$C$7)</f>
        <v>0</v>
      </c>
    </row>
    <row r="228" spans="1:50" x14ac:dyDescent="0.25">
      <c r="A228" t="s">
        <v>400</v>
      </c>
      <c r="B228" t="s">
        <v>401</v>
      </c>
      <c r="C228">
        <v>524</v>
      </c>
      <c r="D228" t="s">
        <v>225</v>
      </c>
      <c r="E228" t="s">
        <v>226</v>
      </c>
      <c r="F228" t="s">
        <v>226</v>
      </c>
      <c r="G228" t="s">
        <v>198</v>
      </c>
      <c r="J228">
        <f>VLOOKUP(raw_lb[[#This Row],[setting]],raw[],10,FALSE)*(1-interactive!$C$7)</f>
        <v>0.5452999999999999</v>
      </c>
      <c r="K228">
        <f>VLOOKUP(raw_lb[[#This Row],[setting]],raw[],11,FALSE)*(1-interactive!$C$7)</f>
        <v>0</v>
      </c>
      <c r="L228">
        <f>VLOOKUP(raw_lb[[#This Row],[setting]],raw[],12,FALSE)*(1-interactive!$C$7)</f>
        <v>0.79799999999999993</v>
      </c>
      <c r="M228">
        <v>6.6E-3</v>
      </c>
      <c r="N228">
        <v>0.1482</v>
      </c>
      <c r="O228">
        <v>0.7</v>
      </c>
      <c r="P228">
        <v>0.05</v>
      </c>
      <c r="Q228">
        <v>0.64636582278481003</v>
      </c>
      <c r="R228">
        <v>7.7072658227848105</v>
      </c>
      <c r="S228">
        <v>37.480383576805835</v>
      </c>
      <c r="T228">
        <v>37.768262035673594</v>
      </c>
      <c r="U228">
        <v>37.636074332336946</v>
      </c>
      <c r="V228">
        <v>1.2887472480589692</v>
      </c>
      <c r="W228">
        <v>3.0081023360168202</v>
      </c>
      <c r="X228">
        <v>0.81807329624383807</v>
      </c>
      <c r="Y228">
        <v>2.5374283842016889</v>
      </c>
      <c r="Z228">
        <v>2.5356682413919316</v>
      </c>
      <c r="AA228">
        <v>1.4319336168345482</v>
      </c>
      <c r="AB228">
        <v>3.1512887047923992</v>
      </c>
      <c r="AC228">
        <f>VLOOKUP($A228,raw[],29,FALSE)*(1-interactive!$C$7)</f>
        <v>2.6545451000000015E-2</v>
      </c>
      <c r="AD228">
        <f>VLOOKUP($A228,raw[],30,FALSE)*(1-interactive!$C$7)</f>
        <v>1.3909836725489043E-3</v>
      </c>
      <c r="AE228">
        <f>VLOOKUP($A228,raw[],31,FALSE)*(1-interactive!$C$7)</f>
        <v>5.6747491603321857E-4</v>
      </c>
      <c r="AF228">
        <f>VLOOKUP($A228,raw[],32,FALSE)*(1-interactive!$C$7)</f>
        <v>4.6501464148559899E-4</v>
      </c>
      <c r="AG228">
        <f>VLOOKUP($A228,raw[],33,FALSE)*(1-interactive!$C$7)</f>
        <v>8.1649669985534642E-4</v>
      </c>
      <c r="AH228">
        <f>VLOOKUP($A228,raw[],34,FALSE)*(1-interactive!$C$7)</f>
        <v>1.127915250751052E-3</v>
      </c>
      <c r="AI228">
        <f>VLOOKUP($A228,raw[],35,FALSE)*(1-interactive!$C$7)</f>
        <v>1.2255917151599524E-3</v>
      </c>
      <c r="AJ228">
        <f>VLOOKUP($A228,raw[],36,FALSE)*(1-interactive!$C$7)</f>
        <v>1.4428965725559679E-3</v>
      </c>
      <c r="AK228">
        <f>VLOOKUP($A228,raw[],37,FALSE)*(1-interactive!$C$7)</f>
        <v>1.884744347575717E-3</v>
      </c>
      <c r="AL228">
        <f>VLOOKUP($A228,raw[],38,FALSE)*(1-interactive!$C$7)</f>
        <v>2.7077414869851909E-3</v>
      </c>
      <c r="AM228">
        <f>VLOOKUP($A228,raw[],39,FALSE)*(1-interactive!$C$7)</f>
        <v>4.2316656620476041E-3</v>
      </c>
      <c r="AN228">
        <f>VLOOKUP($A228,raw[],40,FALSE)*(1-interactive!$C$7)</f>
        <v>6.6046061303757803E-3</v>
      </c>
      <c r="AO228">
        <f>VLOOKUP($A228,raw[],41,FALSE)*(1-interactive!$C$7)</f>
        <v>1.0404027703424728E-2</v>
      </c>
      <c r="AP228">
        <f>VLOOKUP($A228,raw[],42,FALSE)*(1-interactive!$C$7)</f>
        <v>1.6321855280767666E-2</v>
      </c>
      <c r="AQ228">
        <f>VLOOKUP($A228,raw[],43,FALSE)*(1-interactive!$C$7)</f>
        <v>2.5898110847068209E-2</v>
      </c>
      <c r="AR228">
        <f>VLOOKUP($A228,raw[],44,FALSE)*(1-interactive!$C$7)</f>
        <v>4.1048853815573716E-2</v>
      </c>
      <c r="AS228">
        <f>VLOOKUP($A228,raw[],45,FALSE)*(1-interactive!$C$7)</f>
        <v>6.3434359263953521E-2</v>
      </c>
      <c r="AT228">
        <f>VLOOKUP($A228,raw[],46,FALSE)*(1-interactive!$C$7)</f>
        <v>9.3705080727038773E-2</v>
      </c>
      <c r="AU228">
        <f>VLOOKUP($A228,raw[],47,FALSE)*(1-interactive!$C$7)</f>
        <v>0.12635839879288988</v>
      </c>
      <c r="AV228">
        <f>VLOOKUP($A228,raw[],48,FALSE)*(1-interactive!$C$7)</f>
        <v>0.15313669618889267</v>
      </c>
      <c r="AW228">
        <f>VLOOKUP($A228,raw[],49,FALSE)*(1-interactive!$C$7)</f>
        <v>0.17039284856014719</v>
      </c>
      <c r="AX228">
        <f>VLOOKUP($A228,raw[],50,FALSE)*(1-interactive!$C$7)</f>
        <v>66.790700000000001</v>
      </c>
    </row>
    <row r="229" spans="1:50" x14ac:dyDescent="0.25">
      <c r="A229" t="s">
        <v>402</v>
      </c>
      <c r="B229" t="s">
        <v>403</v>
      </c>
      <c r="C229">
        <v>558</v>
      </c>
      <c r="D229" t="s">
        <v>215</v>
      </c>
      <c r="E229" t="s">
        <v>274</v>
      </c>
      <c r="F229" t="s">
        <v>217</v>
      </c>
      <c r="G229" t="s">
        <v>212</v>
      </c>
      <c r="J229">
        <f>VLOOKUP(raw_lb[[#This Row],[setting]],raw[],10,FALSE)*(1-interactive!$C$7)</f>
        <v>0.67449999999999999</v>
      </c>
      <c r="K229">
        <f>VLOOKUP(raw_lb[[#This Row],[setting]],raw[],11,FALSE)*(1-interactive!$C$7)</f>
        <v>0</v>
      </c>
      <c r="L229">
        <f>VLOOKUP(raw_lb[[#This Row],[setting]],raw[],12,FALSE)*(1-interactive!$C$7)</f>
        <v>0.874</v>
      </c>
      <c r="M229">
        <v>2.3999999999999998E-3</v>
      </c>
      <c r="N229">
        <v>0.16440000000000002</v>
      </c>
      <c r="O229">
        <v>0.7</v>
      </c>
      <c r="P229">
        <v>0.05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2.0870530805362884</v>
      </c>
      <c r="W229">
        <v>2.1060530805362885</v>
      </c>
      <c r="X229">
        <v>1.6144257859363789</v>
      </c>
      <c r="Y229">
        <v>1.6334257859363788</v>
      </c>
      <c r="Z229">
        <v>1.6302642613917764</v>
      </c>
      <c r="AA229">
        <v>2.2362669070477552</v>
      </c>
      <c r="AB229">
        <v>2.2552669070477553</v>
      </c>
      <c r="AC229">
        <f>VLOOKUP($A229,raw[],29,FALSE)*(1-interactive!$C$7)</f>
        <v>1.5944828500000053E-2</v>
      </c>
      <c r="AD229">
        <f>VLOOKUP($A229,raw[],30,FALSE)*(1-interactive!$C$7)</f>
        <v>8.3740337842558505E-4</v>
      </c>
      <c r="AE229">
        <f>VLOOKUP($A229,raw[],31,FALSE)*(1-interactive!$C$7)</f>
        <v>4.3792634123399331E-4</v>
      </c>
      <c r="AF229">
        <f>VLOOKUP($A229,raw[],32,FALSE)*(1-interactive!$C$7)</f>
        <v>4.3765516254758364E-4</v>
      </c>
      <c r="AG229">
        <f>VLOOKUP($A229,raw[],33,FALSE)*(1-interactive!$C$7)</f>
        <v>1.0747365795624585E-3</v>
      </c>
      <c r="AH229">
        <f>VLOOKUP($A229,raw[],34,FALSE)*(1-interactive!$C$7)</f>
        <v>1.4323156347979295E-3</v>
      </c>
      <c r="AI229">
        <f>VLOOKUP($A229,raw[],35,FALSE)*(1-interactive!$C$7)</f>
        <v>1.6805103980700605E-3</v>
      </c>
      <c r="AJ229">
        <f>VLOOKUP($A229,raw[],36,FALSE)*(1-interactive!$C$7)</f>
        <v>2.0210303090451697E-3</v>
      </c>
      <c r="AK229">
        <f>VLOOKUP($A229,raw[],37,FALSE)*(1-interactive!$C$7)</f>
        <v>2.5642519566147345E-3</v>
      </c>
      <c r="AL229">
        <f>VLOOKUP($A229,raw[],38,FALSE)*(1-interactive!$C$7)</f>
        <v>3.2632799243072874E-3</v>
      </c>
      <c r="AM229">
        <f>VLOOKUP($A229,raw[],39,FALSE)*(1-interactive!$C$7)</f>
        <v>4.2917538458424583E-3</v>
      </c>
      <c r="AN229">
        <f>VLOOKUP($A229,raw[],40,FALSE)*(1-interactive!$C$7)</f>
        <v>6.0380138750979473E-3</v>
      </c>
      <c r="AO229">
        <f>VLOOKUP($A229,raw[],41,FALSE)*(1-interactive!$C$7)</f>
        <v>8.5906702972358834E-3</v>
      </c>
      <c r="AP229">
        <f>VLOOKUP($A229,raw[],42,FALSE)*(1-interactive!$C$7)</f>
        <v>1.2374345894257649E-2</v>
      </c>
      <c r="AQ229">
        <f>VLOOKUP($A229,raw[],43,FALSE)*(1-interactive!$C$7)</f>
        <v>1.8074151782531259E-2</v>
      </c>
      <c r="AR229">
        <f>VLOOKUP($A229,raw[],44,FALSE)*(1-interactive!$C$7)</f>
        <v>2.6154771693124083E-2</v>
      </c>
      <c r="AS229">
        <f>VLOOKUP($A229,raw[],45,FALSE)*(1-interactive!$C$7)</f>
        <v>3.8368944009701887E-2</v>
      </c>
      <c r="AT229">
        <f>VLOOKUP($A229,raw[],46,FALSE)*(1-interactive!$C$7)</f>
        <v>6.2466379812237072E-2</v>
      </c>
      <c r="AU229">
        <f>VLOOKUP($A229,raw[],47,FALSE)*(1-interactive!$C$7)</f>
        <v>8.8087652571535807E-2</v>
      </c>
      <c r="AV229">
        <f>VLOOKUP($A229,raw[],48,FALSE)*(1-interactive!$C$7)</f>
        <v>0.11497718618628529</v>
      </c>
      <c r="AW229">
        <f>VLOOKUP($A229,raw[],49,FALSE)*(1-interactive!$C$7)</f>
        <v>0.13816143670701386</v>
      </c>
      <c r="AX229">
        <f>VLOOKUP($A229,raw[],50,FALSE)*(1-interactive!$C$7)</f>
        <v>70.446299999999994</v>
      </c>
    </row>
    <row r="230" spans="1:50" x14ac:dyDescent="0.25">
      <c r="A230" t="s">
        <v>404</v>
      </c>
      <c r="B230" t="s">
        <v>405</v>
      </c>
      <c r="C230">
        <v>562</v>
      </c>
      <c r="D230" t="s">
        <v>207</v>
      </c>
      <c r="E230" t="s">
        <v>235</v>
      </c>
      <c r="F230" t="s">
        <v>211</v>
      </c>
      <c r="G230" t="s">
        <v>198</v>
      </c>
      <c r="J230">
        <f>VLOOKUP(raw_lb[[#This Row],[setting]],raw[],10,FALSE)*(1-interactive!$C$7)</f>
        <v>0.55859999999999999</v>
      </c>
      <c r="K230">
        <f>VLOOKUP(raw_lb[[#This Row],[setting]],raw[],11,FALSE)*(1-interactive!$C$7)</f>
        <v>0</v>
      </c>
      <c r="L230">
        <f>VLOOKUP(raw_lb[[#This Row],[setting]],raw[],12,FALSE)*(1-interactive!$C$7)</f>
        <v>0.76949999999999996</v>
      </c>
      <c r="M230">
        <v>8.7100000000000011E-2</v>
      </c>
      <c r="N230">
        <v>0.155</v>
      </c>
      <c r="O230">
        <v>7.0000000000000007E-2</v>
      </c>
      <c r="P230">
        <v>1E-3</v>
      </c>
      <c r="Q230">
        <v>0.60280786516853901</v>
      </c>
      <c r="R230">
        <v>7.66370786516854</v>
      </c>
      <c r="S230">
        <v>37.159242351987146</v>
      </c>
      <c r="T230">
        <v>37.302648422129757</v>
      </c>
      <c r="U230">
        <v>37.236799385938426</v>
      </c>
      <c r="V230">
        <v>0.85417528436150902</v>
      </c>
      <c r="W230">
        <v>5.4426752843615089</v>
      </c>
      <c r="X230">
        <v>0.38420955289239095</v>
      </c>
      <c r="Y230">
        <v>4.9727095528923906</v>
      </c>
      <c r="Z230">
        <v>4.9714426625010555</v>
      </c>
      <c r="AA230">
        <v>0.9951762874979625</v>
      </c>
      <c r="AB230">
        <v>5.583676287497962</v>
      </c>
      <c r="AC230">
        <f>VLOOKUP($A230,raw[],29,FALSE)*(1-interactive!$C$7)</f>
        <v>4.4002232999999988E-2</v>
      </c>
      <c r="AD230">
        <f>VLOOKUP($A230,raw[],30,FALSE)*(1-interactive!$C$7)</f>
        <v>9.5474699235655065E-3</v>
      </c>
      <c r="AE230">
        <f>VLOOKUP($A230,raw[],31,FALSE)*(1-interactive!$C$7)</f>
        <v>2.1129401223891676E-3</v>
      </c>
      <c r="AF230">
        <f>VLOOKUP($A230,raw[],32,FALSE)*(1-interactive!$C$7)</f>
        <v>1.2644162304743935E-3</v>
      </c>
      <c r="AG230">
        <f>VLOOKUP($A230,raw[],33,FALSE)*(1-interactive!$C$7)</f>
        <v>2.1081601042844374E-3</v>
      </c>
      <c r="AH230">
        <f>VLOOKUP($A230,raw[],34,FALSE)*(1-interactive!$C$7)</f>
        <v>2.7555545488676474E-3</v>
      </c>
      <c r="AI230">
        <f>VLOOKUP($A230,raw[],35,FALSE)*(1-interactive!$C$7)</f>
        <v>3.4556613717438519E-3</v>
      </c>
      <c r="AJ230">
        <f>VLOOKUP($A230,raw[],36,FALSE)*(1-interactive!$C$7)</f>
        <v>3.6963985796733818E-3</v>
      </c>
      <c r="AK230">
        <f>VLOOKUP($A230,raw[],37,FALSE)*(1-interactive!$C$7)</f>
        <v>4.2495114001263453E-3</v>
      </c>
      <c r="AL230">
        <f>VLOOKUP($A230,raw[],38,FALSE)*(1-interactive!$C$7)</f>
        <v>5.1419717999589797E-3</v>
      </c>
      <c r="AM230">
        <f>VLOOKUP($A230,raw[],39,FALSE)*(1-interactive!$C$7)</f>
        <v>6.6147089865430629E-3</v>
      </c>
      <c r="AN230">
        <f>VLOOKUP($A230,raw[],40,FALSE)*(1-interactive!$C$7)</f>
        <v>9.55414793217489E-3</v>
      </c>
      <c r="AO230">
        <f>VLOOKUP($A230,raw[],41,FALSE)*(1-interactive!$C$7)</f>
        <v>1.375634296577782E-2</v>
      </c>
      <c r="AP230">
        <f>VLOOKUP($A230,raw[],42,FALSE)*(1-interactive!$C$7)</f>
        <v>1.9495724055795961E-2</v>
      </c>
      <c r="AQ230">
        <f>VLOOKUP($A230,raw[],43,FALSE)*(1-interactive!$C$7)</f>
        <v>2.9484359242459145E-2</v>
      </c>
      <c r="AR230">
        <f>VLOOKUP($A230,raw[],44,FALSE)*(1-interactive!$C$7)</f>
        <v>4.796525179671271E-2</v>
      </c>
      <c r="AS230">
        <f>VLOOKUP($A230,raw[],45,FALSE)*(1-interactive!$C$7)</f>
        <v>7.5419863307138832E-2</v>
      </c>
      <c r="AT230">
        <f>VLOOKUP($A230,raw[],46,FALSE)*(1-interactive!$C$7)</f>
        <v>0.1104036325038866</v>
      </c>
      <c r="AU230">
        <f>VLOOKUP($A230,raw[],47,FALSE)*(1-interactive!$C$7)</f>
        <v>0.14358583382082996</v>
      </c>
      <c r="AV230">
        <f>VLOOKUP($A230,raw[],48,FALSE)*(1-interactive!$C$7)</f>
        <v>0.16647381207051634</v>
      </c>
      <c r="AW230">
        <f>VLOOKUP($A230,raw[],49,FALSE)*(1-interactive!$C$7)</f>
        <v>0.17697206575818969</v>
      </c>
      <c r="AX230">
        <f>VLOOKUP($A230,raw[],50,FALSE)*(1-interactive!$C$7)</f>
        <v>58.709049999999998</v>
      </c>
    </row>
    <row r="231" spans="1:50" x14ac:dyDescent="0.25">
      <c r="A231" t="s">
        <v>406</v>
      </c>
      <c r="B231" t="s">
        <v>407</v>
      </c>
      <c r="C231">
        <v>566</v>
      </c>
      <c r="D231" t="s">
        <v>207</v>
      </c>
      <c r="E231" t="s">
        <v>235</v>
      </c>
      <c r="F231" t="s">
        <v>211</v>
      </c>
      <c r="G231" t="s">
        <v>212</v>
      </c>
      <c r="J231">
        <f>VLOOKUP(raw_lb[[#This Row],[setting]],raw[],10,FALSE)*(1-interactive!$C$7)</f>
        <v>0.37429999999999997</v>
      </c>
      <c r="K231">
        <f>VLOOKUP(raw_lb[[#This Row],[setting]],raw[],11,FALSE)*(1-interactive!$C$7)</f>
        <v>0</v>
      </c>
      <c r="L231">
        <f>VLOOKUP(raw_lb[[#This Row],[setting]],raw[],12,FALSE)*(1-interactive!$C$7)</f>
        <v>0.54149999999999998</v>
      </c>
      <c r="M231">
        <v>5.1699999999999996E-2</v>
      </c>
      <c r="N231">
        <v>0.155</v>
      </c>
      <c r="O231">
        <v>7.0000000000000007E-2</v>
      </c>
      <c r="P231">
        <v>1E-3</v>
      </c>
      <c r="Q231">
        <v>0.84435311203319507</v>
      </c>
      <c r="R231">
        <v>7.9052531120331953</v>
      </c>
      <c r="S231">
        <v>38.634579640118517</v>
      </c>
      <c r="T231">
        <v>39.420131345292873</v>
      </c>
      <c r="U231">
        <v>39.059422606724524</v>
      </c>
      <c r="V231">
        <v>0.5934685210288374</v>
      </c>
      <c r="W231">
        <v>5.1819685210288373</v>
      </c>
      <c r="X231">
        <v>0.12051780975552527</v>
      </c>
      <c r="Y231">
        <v>4.7090178097555251</v>
      </c>
      <c r="Z231">
        <v>4.7057495045794262</v>
      </c>
      <c r="AA231">
        <v>0.7436803189896608</v>
      </c>
      <c r="AB231">
        <v>5.3321803189896606</v>
      </c>
      <c r="AC231">
        <f>VLOOKUP($A231,raw[],29,FALSE)*(1-interactive!$C$7)</f>
        <v>5.9048665500000048E-2</v>
      </c>
      <c r="AD231">
        <f>VLOOKUP($A231,raw[],30,FALSE)*(1-interactive!$C$7)</f>
        <v>1.0027517677229533E-2</v>
      </c>
      <c r="AE231">
        <f>VLOOKUP($A231,raw[],31,FALSE)*(1-interactive!$C$7)</f>
        <v>5.6146480694000784E-3</v>
      </c>
      <c r="AF231">
        <f>VLOOKUP($A231,raw[],32,FALSE)*(1-interactive!$C$7)</f>
        <v>3.0550994782269922E-3</v>
      </c>
      <c r="AG231">
        <f>VLOOKUP($A231,raw[],33,FALSE)*(1-interactive!$C$7)</f>
        <v>4.8095114123836618E-3</v>
      </c>
      <c r="AH231">
        <f>VLOOKUP($A231,raw[],34,FALSE)*(1-interactive!$C$7)</f>
        <v>5.8008155239096778E-3</v>
      </c>
      <c r="AI231">
        <f>VLOOKUP($A231,raw[],35,FALSE)*(1-interactive!$C$7)</f>
        <v>6.3789270107266474E-3</v>
      </c>
      <c r="AJ231">
        <f>VLOOKUP($A231,raw[],36,FALSE)*(1-interactive!$C$7)</f>
        <v>6.6826422520068745E-3</v>
      </c>
      <c r="AK231">
        <f>VLOOKUP($A231,raw[],37,FALSE)*(1-interactive!$C$7)</f>
        <v>7.3168459852606497E-3</v>
      </c>
      <c r="AL231">
        <f>VLOOKUP($A231,raw[],38,FALSE)*(1-interactive!$C$7)</f>
        <v>8.3127819725202241E-3</v>
      </c>
      <c r="AM231">
        <f>VLOOKUP($A231,raw[],39,FALSE)*(1-interactive!$C$7)</f>
        <v>9.6256285964555904E-3</v>
      </c>
      <c r="AN231">
        <f>VLOOKUP($A231,raw[],40,FALSE)*(1-interactive!$C$7)</f>
        <v>1.2711681050821559E-2</v>
      </c>
      <c r="AO231">
        <f>VLOOKUP($A231,raw[],41,FALSE)*(1-interactive!$C$7)</f>
        <v>1.7397701428286914E-2</v>
      </c>
      <c r="AP231">
        <f>VLOOKUP($A231,raw[],42,FALSE)*(1-interactive!$C$7)</f>
        <v>2.6774142736731121E-2</v>
      </c>
      <c r="AQ231">
        <f>VLOOKUP($A231,raw[],43,FALSE)*(1-interactive!$C$7)</f>
        <v>4.0290624259295887E-2</v>
      </c>
      <c r="AR231">
        <f>VLOOKUP($A231,raw[],44,FALSE)*(1-interactive!$C$7)</f>
        <v>6.2423389304718906E-2</v>
      </c>
      <c r="AS231">
        <f>VLOOKUP($A231,raw[],45,FALSE)*(1-interactive!$C$7)</f>
        <v>9.2059244265893445E-2</v>
      </c>
      <c r="AT231">
        <f>VLOOKUP($A231,raw[],46,FALSE)*(1-interactive!$C$7)</f>
        <v>0.12599400336954539</v>
      </c>
      <c r="AU231">
        <f>VLOOKUP($A231,raw[],47,FALSE)*(1-interactive!$C$7)</f>
        <v>0.15441394223615879</v>
      </c>
      <c r="AV231">
        <f>VLOOKUP($A231,raw[],48,FALSE)*(1-interactive!$C$7)</f>
        <v>0.17181653055795049</v>
      </c>
      <c r="AW231">
        <f>VLOOKUP($A231,raw[],49,FALSE)*(1-interactive!$C$7)</f>
        <v>0.1770889043157382</v>
      </c>
      <c r="AX231">
        <f>VLOOKUP($A231,raw[],50,FALSE)*(1-interactive!$C$7)</f>
        <v>51.467199999999998</v>
      </c>
    </row>
    <row r="232" spans="1:50" x14ac:dyDescent="0.25">
      <c r="A232" t="s">
        <v>408</v>
      </c>
      <c r="B232" t="s">
        <v>409</v>
      </c>
      <c r="C232">
        <v>807</v>
      </c>
      <c r="D232" t="s">
        <v>201</v>
      </c>
      <c r="E232" t="s">
        <v>202</v>
      </c>
      <c r="F232" t="s">
        <v>203</v>
      </c>
      <c r="G232" t="s">
        <v>204</v>
      </c>
      <c r="J232">
        <f>VLOOKUP(raw_lb[[#This Row],[setting]],raw[],10,FALSE)*(1-interactive!$C$7)</f>
        <v>0.9414499999999999</v>
      </c>
      <c r="K232">
        <f>VLOOKUP(raw_lb[[#This Row],[setting]],raw[],11,FALSE)*(1-interactive!$C$7)</f>
        <v>0.92149999999999999</v>
      </c>
      <c r="L232">
        <f>VLOOKUP(raw_lb[[#This Row],[setting]],raw[],12,FALSE)*(1-interactive!$C$7)</f>
        <v>0.79799999999999993</v>
      </c>
      <c r="M232">
        <v>1.03E-2</v>
      </c>
      <c r="N232">
        <v>0.16329999999999997</v>
      </c>
      <c r="O232">
        <v>0.7</v>
      </c>
      <c r="P232">
        <v>0.05</v>
      </c>
      <c r="Q232">
        <v>1.7337935074356201</v>
      </c>
      <c r="R232">
        <v>8.7946935074356212</v>
      </c>
      <c r="S232">
        <v>47.197294450388974</v>
      </c>
      <c r="T232">
        <v>51.976517298756477</v>
      </c>
      <c r="U232">
        <v>49.781999186687685</v>
      </c>
      <c r="V232">
        <v>3.0116637276195397</v>
      </c>
      <c r="W232">
        <v>6.8781637276195404</v>
      </c>
      <c r="X232">
        <v>2.5359989901029971</v>
      </c>
      <c r="Y232">
        <v>6.4024989901029974</v>
      </c>
      <c r="Z232">
        <v>6.3974055257315499</v>
      </c>
      <c r="AA232">
        <v>3.1702502351309025</v>
      </c>
      <c r="AB232">
        <v>7.0367502351309028</v>
      </c>
      <c r="AC232">
        <f>VLOOKUP($A232,raw[],29,FALSE)*(1-interactive!$C$7)</f>
        <v>1.0154834999999933E-2</v>
      </c>
      <c r="AD232">
        <f>VLOOKUP($A232,raw[],30,FALSE)*(1-interactive!$C$7)</f>
        <v>2.7047291614255099E-4</v>
      </c>
      <c r="AE232">
        <f>VLOOKUP($A232,raw[],31,FALSE)*(1-interactive!$C$7)</f>
        <v>1.3250031846294633E-4</v>
      </c>
      <c r="AF232">
        <f>VLOOKUP($A232,raw[],32,FALSE)*(1-interactive!$C$7)</f>
        <v>1.759380207843138E-4</v>
      </c>
      <c r="AG232">
        <f>VLOOKUP($A232,raw[],33,FALSE)*(1-interactive!$C$7)</f>
        <v>2.7696716081456271E-4</v>
      </c>
      <c r="AH232">
        <f>VLOOKUP($A232,raw[],34,FALSE)*(1-interactive!$C$7)</f>
        <v>2.9802353231511865E-4</v>
      </c>
      <c r="AI232">
        <f>VLOOKUP($A232,raw[],35,FALSE)*(1-interactive!$C$7)</f>
        <v>4.4430692201107307E-4</v>
      </c>
      <c r="AJ232">
        <f>VLOOKUP($A232,raw[],36,FALSE)*(1-interactive!$C$7)</f>
        <v>5.3079149329916591E-4</v>
      </c>
      <c r="AK232">
        <f>VLOOKUP($A232,raw[],37,FALSE)*(1-interactive!$C$7)</f>
        <v>8.4651888102711594E-4</v>
      </c>
      <c r="AL232">
        <f>VLOOKUP($A232,raw[],38,FALSE)*(1-interactive!$C$7)</f>
        <v>1.5460707338922123E-3</v>
      </c>
      <c r="AM232">
        <f>VLOOKUP($A232,raw[],39,FALSE)*(1-interactive!$C$7)</f>
        <v>2.3879528108412418E-3</v>
      </c>
      <c r="AN232">
        <f>VLOOKUP($A232,raw[],40,FALSE)*(1-interactive!$C$7)</f>
        <v>4.4545012750539636E-3</v>
      </c>
      <c r="AO232">
        <f>VLOOKUP($A232,raw[],41,FALSE)*(1-interactive!$C$7)</f>
        <v>7.5720767705574916E-3</v>
      </c>
      <c r="AP232">
        <f>VLOOKUP($A232,raw[],42,FALSE)*(1-interactive!$C$7)</f>
        <v>1.2511948372376555E-2</v>
      </c>
      <c r="AQ232">
        <f>VLOOKUP($A232,raw[],43,FALSE)*(1-interactive!$C$7)</f>
        <v>1.9364195228316873E-2</v>
      </c>
      <c r="AR232">
        <f>VLOOKUP($A232,raw[],44,FALSE)*(1-interactive!$C$7)</f>
        <v>3.0417303977783351E-2</v>
      </c>
      <c r="AS232">
        <f>VLOOKUP($A232,raw[],45,FALSE)*(1-interactive!$C$7)</f>
        <v>5.3976580421549812E-2</v>
      </c>
      <c r="AT232">
        <f>VLOOKUP($A232,raw[],46,FALSE)*(1-interactive!$C$7)</f>
        <v>8.6952502476853016E-2</v>
      </c>
      <c r="AU232">
        <f>VLOOKUP($A232,raw[],47,FALSE)*(1-interactive!$C$7)</f>
        <v>0.12323479313347013</v>
      </c>
      <c r="AV232">
        <f>VLOOKUP($A232,raw[],48,FALSE)*(1-interactive!$C$7)</f>
        <v>0.1584157010486904</v>
      </c>
      <c r="AW232">
        <f>VLOOKUP($A232,raw[],49,FALSE)*(1-interactive!$C$7)</f>
        <v>0.17693515833224979</v>
      </c>
      <c r="AX232">
        <f>VLOOKUP($A232,raw[],50,FALSE)*(1-interactive!$C$7)</f>
        <v>71.822849999999988</v>
      </c>
    </row>
    <row r="233" spans="1:50" x14ac:dyDescent="0.25">
      <c r="A233" t="s">
        <v>410</v>
      </c>
      <c r="B233" t="s">
        <v>411</v>
      </c>
      <c r="C233">
        <v>586</v>
      </c>
      <c r="D233" t="s">
        <v>196</v>
      </c>
      <c r="E233" t="s">
        <v>226</v>
      </c>
      <c r="F233" t="s">
        <v>226</v>
      </c>
      <c r="G233" t="s">
        <v>212</v>
      </c>
      <c r="J233">
        <f>VLOOKUP(raw_lb[[#This Row],[setting]],raw[],10,FALSE)*(1-interactive!$C$7)</f>
        <v>0.62890000000000001</v>
      </c>
      <c r="K233">
        <f>VLOOKUP(raw_lb[[#This Row],[setting]],raw[],11,FALSE)*(1-interactive!$C$7)</f>
        <v>0</v>
      </c>
      <c r="L233">
        <f>VLOOKUP(raw_lb[[#This Row],[setting]],raw[],12,FALSE)*(1-interactive!$C$7)</f>
        <v>0.73149999999999993</v>
      </c>
      <c r="M233">
        <v>2.7400000000000001E-2</v>
      </c>
      <c r="N233">
        <v>0.1482</v>
      </c>
      <c r="O233">
        <v>0.7</v>
      </c>
      <c r="P233">
        <v>0.05</v>
      </c>
      <c r="Q233">
        <v>0.71411273885350302</v>
      </c>
      <c r="R233">
        <v>7.7750127388535031</v>
      </c>
      <c r="S233">
        <v>37.97795744727874</v>
      </c>
      <c r="T233">
        <v>38.489545812968615</v>
      </c>
      <c r="U233">
        <v>38.25463524904427</v>
      </c>
      <c r="V233">
        <v>0.72267279556518793</v>
      </c>
      <c r="W233">
        <v>2.4420278835230391</v>
      </c>
      <c r="X233">
        <v>0.25168773595337857</v>
      </c>
      <c r="Y233">
        <v>1.9710428239112296</v>
      </c>
      <c r="Z233">
        <v>1.9689006801002984</v>
      </c>
      <c r="AA233">
        <v>0.86681915411337451</v>
      </c>
      <c r="AB233">
        <v>2.5861742420712255</v>
      </c>
      <c r="AC233">
        <f>VLOOKUP($A233,raw[],29,FALSE)*(1-interactive!$C$7)</f>
        <v>5.8266872499999955E-2</v>
      </c>
      <c r="AD233">
        <f>VLOOKUP($A233,raw[],30,FALSE)*(1-interactive!$C$7)</f>
        <v>3.4323076104403444E-3</v>
      </c>
      <c r="AE233">
        <f>VLOOKUP($A233,raw[],31,FALSE)*(1-interactive!$C$7)</f>
        <v>1.0088719933404821E-3</v>
      </c>
      <c r="AF233">
        <f>VLOOKUP($A233,raw[],32,FALSE)*(1-interactive!$C$7)</f>
        <v>6.4999906649596385E-4</v>
      </c>
      <c r="AG233">
        <f>VLOOKUP($A233,raw[],33,FALSE)*(1-interactive!$C$7)</f>
        <v>8.5628998969895689E-4</v>
      </c>
      <c r="AH233">
        <f>VLOOKUP($A233,raw[],34,FALSE)*(1-interactive!$C$7)</f>
        <v>1.1473223685621403E-3</v>
      </c>
      <c r="AI233">
        <f>VLOOKUP($A233,raw[],35,FALSE)*(1-interactive!$C$7)</f>
        <v>1.2803164036631562E-3</v>
      </c>
      <c r="AJ233">
        <f>VLOOKUP($A233,raw[],36,FALSE)*(1-interactive!$C$7)</f>
        <v>1.6089883062195734E-3</v>
      </c>
      <c r="AK233">
        <f>VLOOKUP($A233,raw[],37,FALSE)*(1-interactive!$C$7)</f>
        <v>2.1461096922397063E-3</v>
      </c>
      <c r="AL233">
        <f>VLOOKUP($A233,raw[],38,FALSE)*(1-interactive!$C$7)</f>
        <v>3.0249491935646806E-3</v>
      </c>
      <c r="AM233">
        <f>VLOOKUP($A233,raw[],39,FALSE)*(1-interactive!$C$7)</f>
        <v>4.4601539023797019E-3</v>
      </c>
      <c r="AN233">
        <f>VLOOKUP($A233,raw[],40,FALSE)*(1-interactive!$C$7)</f>
        <v>6.7972543118157624E-3</v>
      </c>
      <c r="AO233">
        <f>VLOOKUP($A233,raw[],41,FALSE)*(1-interactive!$C$7)</f>
        <v>1.0528797442182205E-2</v>
      </c>
      <c r="AP233">
        <f>VLOOKUP($A233,raw[],42,FALSE)*(1-interactive!$C$7)</f>
        <v>1.6854380775617295E-2</v>
      </c>
      <c r="AQ233">
        <f>VLOOKUP($A233,raw[],43,FALSE)*(1-interactive!$C$7)</f>
        <v>2.6257311158854057E-2</v>
      </c>
      <c r="AR233">
        <f>VLOOKUP($A233,raw[],44,FALSE)*(1-interactive!$C$7)</f>
        <v>4.006087254055244E-2</v>
      </c>
      <c r="AS233">
        <f>VLOOKUP($A233,raw[],45,FALSE)*(1-interactive!$C$7)</f>
        <v>6.0671704320405917E-2</v>
      </c>
      <c r="AT233">
        <f>VLOOKUP($A233,raw[],46,FALSE)*(1-interactive!$C$7)</f>
        <v>8.969681302552375E-2</v>
      </c>
      <c r="AU233">
        <f>VLOOKUP($A233,raw[],47,FALSE)*(1-interactive!$C$7)</f>
        <v>0.12542884675011584</v>
      </c>
      <c r="AV233">
        <f>VLOOKUP($A233,raw[],48,FALSE)*(1-interactive!$C$7)</f>
        <v>0.1554211436704761</v>
      </c>
      <c r="AW233">
        <f>VLOOKUP($A233,raw[],49,FALSE)*(1-interactive!$C$7)</f>
        <v>0.17211953083261053</v>
      </c>
      <c r="AX233">
        <f>VLOOKUP($A233,raw[],50,FALSE)*(1-interactive!$C$7)</f>
        <v>63.666149999999995</v>
      </c>
    </row>
    <row r="234" spans="1:50" x14ac:dyDescent="0.25">
      <c r="A234" t="s">
        <v>412</v>
      </c>
      <c r="B234" t="s">
        <v>413</v>
      </c>
      <c r="C234">
        <v>275</v>
      </c>
      <c r="D234" t="s">
        <v>196</v>
      </c>
      <c r="E234" t="s">
        <v>197</v>
      </c>
      <c r="F234" t="s">
        <v>197</v>
      </c>
      <c r="G234" t="s">
        <v>212</v>
      </c>
      <c r="J234">
        <f>VLOOKUP(raw_lb[[#This Row],[setting]],raw[],10,FALSE)*(1-interactive!$C$7)</f>
        <v>0.94334999999999991</v>
      </c>
      <c r="K234">
        <f>VLOOKUP(raw_lb[[#This Row],[setting]],raw[],11,FALSE)*(1-interactive!$C$7)</f>
        <v>0.9405</v>
      </c>
      <c r="L234">
        <f>VLOOKUP(raw_lb[[#This Row],[setting]],raw[],12,FALSE)*(1-interactive!$C$7)</f>
        <v>0.9405</v>
      </c>
      <c r="M234">
        <v>0</v>
      </c>
      <c r="N234">
        <v>0</v>
      </c>
      <c r="O234">
        <v>0.7</v>
      </c>
      <c r="P234">
        <v>0.05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f>VLOOKUP($A234,raw[],29,FALSE)*(1-interactive!$C$7)</f>
        <v>1.6587446500000054E-2</v>
      </c>
      <c r="AD234">
        <f>VLOOKUP($A234,raw[],30,FALSE)*(1-interactive!$C$7)</f>
        <v>7.037017126425159E-4</v>
      </c>
      <c r="AE234">
        <f>VLOOKUP($A234,raw[],31,FALSE)*(1-interactive!$C$7)</f>
        <v>3.284659056045653E-4</v>
      </c>
      <c r="AF234">
        <f>VLOOKUP($A234,raw[],32,FALSE)*(1-interactive!$C$7)</f>
        <v>2.7539792122736835E-4</v>
      </c>
      <c r="AG234">
        <f>VLOOKUP($A234,raw[],33,FALSE)*(1-interactive!$C$7)</f>
        <v>5.0865787034511025E-4</v>
      </c>
      <c r="AH234">
        <f>VLOOKUP($A234,raw[],34,FALSE)*(1-interactive!$C$7)</f>
        <v>7.1103169412148001E-4</v>
      </c>
      <c r="AI234">
        <f>VLOOKUP($A234,raw[],35,FALSE)*(1-interactive!$C$7)</f>
        <v>7.6648695611900106E-4</v>
      </c>
      <c r="AJ234">
        <f>VLOOKUP($A234,raw[],36,FALSE)*(1-interactive!$C$7)</f>
        <v>9.0415255027702184E-4</v>
      </c>
      <c r="AK234">
        <f>VLOOKUP($A234,raw[],37,FALSE)*(1-interactive!$C$7)</f>
        <v>1.2084903650569003E-3</v>
      </c>
      <c r="AL234">
        <f>VLOOKUP($A234,raw[],38,FALSE)*(1-interactive!$C$7)</f>
        <v>1.8284269934887866E-3</v>
      </c>
      <c r="AM234">
        <f>VLOOKUP($A234,raw[],39,FALSE)*(1-interactive!$C$7)</f>
        <v>3.052307083836297E-3</v>
      </c>
      <c r="AN234">
        <f>VLOOKUP($A234,raw[],40,FALSE)*(1-interactive!$C$7)</f>
        <v>4.9580530766036796E-3</v>
      </c>
      <c r="AO234">
        <f>VLOOKUP($A234,raw[],41,FALSE)*(1-interactive!$C$7)</f>
        <v>8.1694915889647373E-3</v>
      </c>
      <c r="AP234">
        <f>VLOOKUP($A234,raw[],42,FALSE)*(1-interactive!$C$7)</f>
        <v>1.3050382256843272E-2</v>
      </c>
      <c r="AQ234">
        <f>VLOOKUP($A234,raw[],43,FALSE)*(1-interactive!$C$7)</f>
        <v>2.158403305455003E-2</v>
      </c>
      <c r="AR234">
        <f>VLOOKUP($A234,raw[],44,FALSE)*(1-interactive!$C$7)</f>
        <v>3.5282204541545667E-2</v>
      </c>
      <c r="AS234">
        <f>VLOOKUP($A234,raw[],45,FALSE)*(1-interactive!$C$7)</f>
        <v>5.5575733509615727E-2</v>
      </c>
      <c r="AT234">
        <f>VLOOKUP($A234,raw[],46,FALSE)*(1-interactive!$C$7)</f>
        <v>8.4928227488228827E-2</v>
      </c>
      <c r="AU234">
        <f>VLOOKUP($A234,raw[],47,FALSE)*(1-interactive!$C$7)</f>
        <v>0.11839358477080038</v>
      </c>
      <c r="AV234">
        <f>VLOOKUP($A234,raw[],48,FALSE)*(1-interactive!$C$7)</f>
        <v>0.14717919673425997</v>
      </c>
      <c r="AW234">
        <f>VLOOKUP($A234,raw[],49,FALSE)*(1-interactive!$C$7)</f>
        <v>0.16723153367903548</v>
      </c>
      <c r="AX234">
        <f>VLOOKUP($A234,raw[],50,FALSE)*(1-interactive!$C$7)</f>
        <v>70.125199999999992</v>
      </c>
    </row>
    <row r="235" spans="1:50" x14ac:dyDescent="0.25">
      <c r="A235" t="s">
        <v>414</v>
      </c>
      <c r="B235" t="s">
        <v>415</v>
      </c>
      <c r="C235">
        <v>598</v>
      </c>
      <c r="D235" t="s">
        <v>260</v>
      </c>
      <c r="E235" t="s">
        <v>309</v>
      </c>
      <c r="F235" t="s">
        <v>262</v>
      </c>
      <c r="G235" t="s">
        <v>212</v>
      </c>
      <c r="J235">
        <f>VLOOKUP(raw_lb[[#This Row],[setting]],raw[],10,FALSE)*(1-interactive!$C$7)</f>
        <v>0.51965000000000006</v>
      </c>
      <c r="K235">
        <f>VLOOKUP(raw_lb[[#This Row],[setting]],raw[],11,FALSE)*(1-interactive!$C$7)</f>
        <v>0.22799999999999998</v>
      </c>
      <c r="L235">
        <f>VLOOKUP(raw_lb[[#This Row],[setting]],raw[],12,FALSE)*(1-interactive!$C$7)</f>
        <v>0.3705</v>
      </c>
      <c r="M235">
        <v>5.2600000000000001E-2</v>
      </c>
      <c r="N235">
        <v>0.1832</v>
      </c>
      <c r="O235">
        <v>0.7</v>
      </c>
      <c r="P235">
        <v>0.05</v>
      </c>
      <c r="Q235">
        <v>1.0451000000000001</v>
      </c>
      <c r="R235">
        <v>8.1060000000000016</v>
      </c>
      <c r="S235">
        <v>39.865643765903307</v>
      </c>
      <c r="T235">
        <v>41.187439582592198</v>
      </c>
      <c r="U235">
        <v>40.580498882772901</v>
      </c>
      <c r="V235">
        <v>0.84427867711295379</v>
      </c>
      <c r="W235">
        <v>1.4427786771129538</v>
      </c>
      <c r="X235">
        <v>0.3699007250991232</v>
      </c>
      <c r="Y235">
        <v>0.96840072509912312</v>
      </c>
      <c r="Z235">
        <v>0.96431595838840167</v>
      </c>
      <c r="AA235">
        <v>0.99889453221594882</v>
      </c>
      <c r="AB235">
        <v>1.5973945322159486</v>
      </c>
      <c r="AC235">
        <f>VLOOKUP($A235,raw[],29,FALSE)*(1-interactive!$C$7)</f>
        <v>3.9862427499999985E-2</v>
      </c>
      <c r="AD235">
        <f>VLOOKUP($A235,raw[],30,FALSE)*(1-interactive!$C$7)</f>
        <v>2.7425085164803392E-3</v>
      </c>
      <c r="AE235">
        <f>VLOOKUP($A235,raw[],31,FALSE)*(1-interactive!$C$7)</f>
        <v>1.1126690046897427E-3</v>
      </c>
      <c r="AF235">
        <f>VLOOKUP($A235,raw[],32,FALSE)*(1-interactive!$C$7)</f>
        <v>8.7856461584272087E-4</v>
      </c>
      <c r="AG235">
        <f>VLOOKUP($A235,raw[],33,FALSE)*(1-interactive!$C$7)</f>
        <v>1.591970417313456E-3</v>
      </c>
      <c r="AH235">
        <f>VLOOKUP($A235,raw[],34,FALSE)*(1-interactive!$C$7)</f>
        <v>2.1475322920813857E-3</v>
      </c>
      <c r="AI235">
        <f>VLOOKUP($A235,raw[],35,FALSE)*(1-interactive!$C$7)</f>
        <v>2.333815596729094E-3</v>
      </c>
      <c r="AJ235">
        <f>VLOOKUP($A235,raw[],36,FALSE)*(1-interactive!$C$7)</f>
        <v>2.713260347670964E-3</v>
      </c>
      <c r="AK235">
        <f>VLOOKUP($A235,raw[],37,FALSE)*(1-interactive!$C$7)</f>
        <v>3.4604096621546629E-3</v>
      </c>
      <c r="AL235">
        <f>VLOOKUP($A235,raw[],38,FALSE)*(1-interactive!$C$7)</f>
        <v>4.6173709669435287E-3</v>
      </c>
      <c r="AM235">
        <f>VLOOKUP($A235,raw[],39,FALSE)*(1-interactive!$C$7)</f>
        <v>6.5213093953485927E-3</v>
      </c>
      <c r="AN235">
        <f>VLOOKUP($A235,raw[],40,FALSE)*(1-interactive!$C$7)</f>
        <v>9.4907312099841556E-3</v>
      </c>
      <c r="AO235">
        <f>VLOOKUP($A235,raw[],41,FALSE)*(1-interactive!$C$7)</f>
        <v>1.3934149207456061E-2</v>
      </c>
      <c r="AP235">
        <f>VLOOKUP($A235,raw[],42,FALSE)*(1-interactive!$C$7)</f>
        <v>2.306112727262892E-2</v>
      </c>
      <c r="AQ235">
        <f>VLOOKUP($A235,raw[],43,FALSE)*(1-interactive!$C$7)</f>
        <v>3.7892501083956427E-2</v>
      </c>
      <c r="AR235">
        <f>VLOOKUP($A235,raw[],44,FALSE)*(1-interactive!$C$7)</f>
        <v>5.887438387718133E-2</v>
      </c>
      <c r="AS235">
        <f>VLOOKUP($A235,raw[],45,FALSE)*(1-interactive!$C$7)</f>
        <v>8.5143203825770536E-2</v>
      </c>
      <c r="AT235">
        <f>VLOOKUP($A235,raw[],46,FALSE)*(1-interactive!$C$7)</f>
        <v>0.11566724374497482</v>
      </c>
      <c r="AU235">
        <f>VLOOKUP($A235,raw[],47,FALSE)*(1-interactive!$C$7)</f>
        <v>0.14547164414357391</v>
      </c>
      <c r="AV235">
        <f>VLOOKUP($A235,raw[],48,FALSE)*(1-interactive!$C$7)</f>
        <v>0.16619436888699293</v>
      </c>
      <c r="AW235">
        <f>VLOOKUP($A235,raw[],49,FALSE)*(1-interactive!$C$7)</f>
        <v>0.17710006830361921</v>
      </c>
      <c r="AX235">
        <f>VLOOKUP($A235,raw[],50,FALSE)*(1-interactive!$C$7)</f>
        <v>60.943449999999991</v>
      </c>
    </row>
    <row r="236" spans="1:50" x14ac:dyDescent="0.25">
      <c r="A236" t="s">
        <v>416</v>
      </c>
      <c r="B236" t="s">
        <v>417</v>
      </c>
      <c r="C236">
        <v>600</v>
      </c>
      <c r="D236" t="s">
        <v>215</v>
      </c>
      <c r="E236" t="s">
        <v>248</v>
      </c>
      <c r="F236" t="s">
        <v>217</v>
      </c>
      <c r="G236" t="s">
        <v>204</v>
      </c>
      <c r="J236">
        <f>VLOOKUP(raw_lb[[#This Row],[setting]],raw[],10,FALSE)*(1-interactive!$C$7)</f>
        <v>0.88539999999999996</v>
      </c>
      <c r="K236">
        <f>VLOOKUP(raw_lb[[#This Row],[setting]],raw[],11,FALSE)*(1-interactive!$C$7)</f>
        <v>0</v>
      </c>
      <c r="L236">
        <f>VLOOKUP(raw_lb[[#This Row],[setting]],raw[],12,FALSE)*(1-interactive!$C$7)</f>
        <v>0.75049999999999994</v>
      </c>
      <c r="M236">
        <v>4.4000000000000003E-3</v>
      </c>
      <c r="N236">
        <v>0.17010000000000003</v>
      </c>
      <c r="O236">
        <v>0.7</v>
      </c>
      <c r="P236">
        <v>0.05</v>
      </c>
      <c r="Q236">
        <v>1.3610167309175021</v>
      </c>
      <c r="R236">
        <v>8.421916730917502</v>
      </c>
      <c r="S236">
        <v>42.213563882915636</v>
      </c>
      <c r="T236">
        <v>44.592946441216867</v>
      </c>
      <c r="U236">
        <v>43.500384264185044</v>
      </c>
      <c r="V236">
        <v>2.09158606061784</v>
      </c>
      <c r="W236">
        <v>2.1105860606178402</v>
      </c>
      <c r="X236">
        <v>1.6170922448078797</v>
      </c>
      <c r="Y236">
        <v>1.6360922448078796</v>
      </c>
      <c r="Z236">
        <v>1.6317525081702065</v>
      </c>
      <c r="AA236">
        <v>2.2465594382917491</v>
      </c>
      <c r="AB236">
        <v>2.2655594382917492</v>
      </c>
      <c r="AC236">
        <f>VLOOKUP($A236,raw[],29,FALSE)*(1-interactive!$C$7)</f>
        <v>1.8073664499999947E-2</v>
      </c>
      <c r="AD236">
        <f>VLOOKUP($A236,raw[],30,FALSE)*(1-interactive!$C$7)</f>
        <v>5.9645487532207411E-4</v>
      </c>
      <c r="AE236">
        <f>VLOOKUP($A236,raw[],31,FALSE)*(1-interactive!$C$7)</f>
        <v>5.240093861750136E-4</v>
      </c>
      <c r="AF236">
        <f>VLOOKUP($A236,raw[],32,FALSE)*(1-interactive!$C$7)</f>
        <v>4.265597868771494E-4</v>
      </c>
      <c r="AG236">
        <f>VLOOKUP($A236,raw[],33,FALSE)*(1-interactive!$C$7)</f>
        <v>9.9922007723632789E-4</v>
      </c>
      <c r="AH236">
        <f>VLOOKUP($A236,raw[],34,FALSE)*(1-interactive!$C$7)</f>
        <v>1.5198128920204813E-3</v>
      </c>
      <c r="AI236">
        <f>VLOOKUP($A236,raw[],35,FALSE)*(1-interactive!$C$7)</f>
        <v>1.8519387665525441E-3</v>
      </c>
      <c r="AJ236">
        <f>VLOOKUP($A236,raw[],36,FALSE)*(1-interactive!$C$7)</f>
        <v>1.8862738056124758E-3</v>
      </c>
      <c r="AK236">
        <f>VLOOKUP($A236,raw[],37,FALSE)*(1-interactive!$C$7)</f>
        <v>2.2335986358099067E-3</v>
      </c>
      <c r="AL236">
        <f>VLOOKUP($A236,raw[],38,FALSE)*(1-interactive!$C$7)</f>
        <v>2.7341748406630555E-3</v>
      </c>
      <c r="AM236">
        <f>VLOOKUP($A236,raw[],39,FALSE)*(1-interactive!$C$7)</f>
        <v>3.9916862789858426E-3</v>
      </c>
      <c r="AN236">
        <f>VLOOKUP($A236,raw[],40,FALSE)*(1-interactive!$C$7)</f>
        <v>5.7943425397515829E-3</v>
      </c>
      <c r="AO236">
        <f>VLOOKUP($A236,raw[],41,FALSE)*(1-interactive!$C$7)</f>
        <v>8.1074471103820683E-3</v>
      </c>
      <c r="AP236">
        <f>VLOOKUP($A236,raw[],42,FALSE)*(1-interactive!$C$7)</f>
        <v>1.2558120587683472E-2</v>
      </c>
      <c r="AQ236">
        <f>VLOOKUP($A236,raw[],43,FALSE)*(1-interactive!$C$7)</f>
        <v>1.8304594943666798E-2</v>
      </c>
      <c r="AR236">
        <f>VLOOKUP($A236,raw[],44,FALSE)*(1-interactive!$C$7)</f>
        <v>2.6319132215071466E-2</v>
      </c>
      <c r="AS236">
        <f>VLOOKUP($A236,raw[],45,FALSE)*(1-interactive!$C$7)</f>
        <v>3.7006259002706494E-2</v>
      </c>
      <c r="AT236">
        <f>VLOOKUP($A236,raw[],46,FALSE)*(1-interactive!$C$7)</f>
        <v>6.6402473334044601E-2</v>
      </c>
      <c r="AU236">
        <f>VLOOKUP($A236,raw[],47,FALSE)*(1-interactive!$C$7)</f>
        <v>9.4913464453572308E-2</v>
      </c>
      <c r="AV236">
        <f>VLOOKUP($A236,raw[],48,FALSE)*(1-interactive!$C$7)</f>
        <v>0.12257774557800728</v>
      </c>
      <c r="AW236">
        <f>VLOOKUP($A236,raw[],49,FALSE)*(1-interactive!$C$7)</f>
        <v>0.14544814336410306</v>
      </c>
      <c r="AX236">
        <f>VLOOKUP($A236,raw[],50,FALSE)*(1-interactive!$C$7)</f>
        <v>70.377899999999997</v>
      </c>
    </row>
    <row r="237" spans="1:50" x14ac:dyDescent="0.25">
      <c r="A237" t="s">
        <v>418</v>
      </c>
      <c r="B237" t="s">
        <v>419</v>
      </c>
      <c r="C237">
        <v>604</v>
      </c>
      <c r="D237" t="s">
        <v>215</v>
      </c>
      <c r="E237" t="s">
        <v>240</v>
      </c>
      <c r="F237" t="s">
        <v>217</v>
      </c>
      <c r="G237" t="s">
        <v>204</v>
      </c>
      <c r="J237">
        <f>VLOOKUP(raw_lb[[#This Row],[setting]],raw[],10,FALSE)*(1-interactive!$C$7)</f>
        <v>0.86449999999999994</v>
      </c>
      <c r="K237">
        <f>VLOOKUP(raw_lb[[#This Row],[setting]],raw[],11,FALSE)*(1-interactive!$C$7)</f>
        <v>0.71249999999999991</v>
      </c>
      <c r="L237">
        <f>VLOOKUP(raw_lb[[#This Row],[setting]],raw[],12,FALSE)*(1-interactive!$C$7)</f>
        <v>0.68399999999999994</v>
      </c>
      <c r="M237">
        <v>0.01</v>
      </c>
      <c r="N237">
        <v>0.16269999999999998</v>
      </c>
      <c r="O237">
        <v>0.7</v>
      </c>
      <c r="P237">
        <v>0.05</v>
      </c>
      <c r="Q237">
        <v>1.9677194877211501</v>
      </c>
      <c r="R237">
        <v>9.0286194877211514</v>
      </c>
      <c r="S237">
        <v>48.063445000766905</v>
      </c>
      <c r="T237">
        <v>53.171718640893317</v>
      </c>
      <c r="U237">
        <v>50.826107360496508</v>
      </c>
      <c r="V237">
        <v>1.3836476635287176</v>
      </c>
      <c r="W237">
        <v>1.4026476635287175</v>
      </c>
      <c r="X237">
        <v>0.90784624652016077</v>
      </c>
      <c r="Y237">
        <v>0.92684624652016079</v>
      </c>
      <c r="Z237">
        <v>0.92176778464639286</v>
      </c>
      <c r="AA237">
        <v>1.542655924901154</v>
      </c>
      <c r="AB237">
        <v>1.5616559249011539</v>
      </c>
      <c r="AC237">
        <f>VLOOKUP($A237,raw[],29,FALSE)*(1-interactive!$C$7)</f>
        <v>1.2148020500000014E-2</v>
      </c>
      <c r="AD237">
        <f>VLOOKUP($A237,raw[],30,FALSE)*(1-interactive!$C$7)</f>
        <v>8.3146311816255478E-4</v>
      </c>
      <c r="AE237">
        <f>VLOOKUP($A237,raw[],31,FALSE)*(1-interactive!$C$7)</f>
        <v>4.702041708533504E-4</v>
      </c>
      <c r="AF237">
        <f>VLOOKUP($A237,raw[],32,FALSE)*(1-interactive!$C$7)</f>
        <v>3.1909528730386557E-4</v>
      </c>
      <c r="AG237">
        <f>VLOOKUP($A237,raw[],33,FALSE)*(1-interactive!$C$7)</f>
        <v>7.5478191803101215E-4</v>
      </c>
      <c r="AH237">
        <f>VLOOKUP($A237,raw[],34,FALSE)*(1-interactive!$C$7)</f>
        <v>1.1212737516538636E-3</v>
      </c>
      <c r="AI237">
        <f>VLOOKUP($A237,raw[],35,FALSE)*(1-interactive!$C$7)</f>
        <v>1.4548397604334552E-3</v>
      </c>
      <c r="AJ237">
        <f>VLOOKUP($A237,raw[],36,FALSE)*(1-interactive!$C$7)</f>
        <v>1.5992634334729828E-3</v>
      </c>
      <c r="AK237">
        <f>VLOOKUP($A237,raw[],37,FALSE)*(1-interactive!$C$7)</f>
        <v>1.9124378268532644E-3</v>
      </c>
      <c r="AL237">
        <f>VLOOKUP($A237,raw[],38,FALSE)*(1-interactive!$C$7)</f>
        <v>2.4373439660064773E-3</v>
      </c>
      <c r="AM237">
        <f>VLOOKUP($A237,raw[],39,FALSE)*(1-interactive!$C$7)</f>
        <v>3.2513172957055357E-3</v>
      </c>
      <c r="AN237">
        <f>VLOOKUP($A237,raw[],40,FALSE)*(1-interactive!$C$7)</f>
        <v>4.5215476769519449E-3</v>
      </c>
      <c r="AO237">
        <f>VLOOKUP($A237,raw[],41,FALSE)*(1-interactive!$C$7)</f>
        <v>6.4528149515858972E-3</v>
      </c>
      <c r="AP237">
        <f>VLOOKUP($A237,raw[],42,FALSE)*(1-interactive!$C$7)</f>
        <v>9.7305599372724573E-3</v>
      </c>
      <c r="AQ237">
        <f>VLOOKUP($A237,raw[],43,FALSE)*(1-interactive!$C$7)</f>
        <v>1.4510473339758545E-2</v>
      </c>
      <c r="AR237">
        <f>VLOOKUP($A237,raw[],44,FALSE)*(1-interactive!$C$7)</f>
        <v>2.4481011470699515E-2</v>
      </c>
      <c r="AS237">
        <f>VLOOKUP($A237,raw[],45,FALSE)*(1-interactive!$C$7)</f>
        <v>3.7884473843180035E-2</v>
      </c>
      <c r="AT237">
        <f>VLOOKUP($A237,raw[],46,FALSE)*(1-interactive!$C$7)</f>
        <v>5.9437506740438649E-2</v>
      </c>
      <c r="AU237">
        <f>VLOOKUP($A237,raw[],47,FALSE)*(1-interactive!$C$7)</f>
        <v>8.8501208387771743E-2</v>
      </c>
      <c r="AV237">
        <f>VLOOKUP($A237,raw[],48,FALSE)*(1-interactive!$C$7)</f>
        <v>0.11746947052396935</v>
      </c>
      <c r="AW237">
        <f>VLOOKUP($A237,raw[],49,FALSE)*(1-interactive!$C$7)</f>
        <v>0.14243210044712673</v>
      </c>
      <c r="AX237">
        <f>VLOOKUP($A237,raw[],50,FALSE)*(1-interactive!$C$7)</f>
        <v>72.588549999999998</v>
      </c>
    </row>
    <row r="238" spans="1:50" x14ac:dyDescent="0.25">
      <c r="A238" t="s">
        <v>420</v>
      </c>
      <c r="B238" t="s">
        <v>421</v>
      </c>
      <c r="C238">
        <v>608</v>
      </c>
      <c r="D238" t="s">
        <v>260</v>
      </c>
      <c r="E238" t="s">
        <v>261</v>
      </c>
      <c r="F238" t="s">
        <v>262</v>
      </c>
      <c r="G238" t="s">
        <v>212</v>
      </c>
      <c r="J238">
        <f>VLOOKUP(raw_lb[[#This Row],[setting]],raw[],10,FALSE)*(1-interactive!$C$7)</f>
        <v>0.73814999999999997</v>
      </c>
      <c r="K238">
        <f>VLOOKUP(raw_lb[[#This Row],[setting]],raw[],11,FALSE)*(1-interactive!$C$7)</f>
        <v>0.50349999999999995</v>
      </c>
      <c r="L238">
        <f>VLOOKUP(raw_lb[[#This Row],[setting]],raw[],12,FALSE)*(1-interactive!$C$7)</f>
        <v>0.67449999999999999</v>
      </c>
      <c r="M238">
        <v>3.1699999999999999E-2</v>
      </c>
      <c r="N238">
        <v>0.18099999999999999</v>
      </c>
      <c r="O238">
        <v>0.7</v>
      </c>
      <c r="P238">
        <v>0.05</v>
      </c>
      <c r="Q238">
        <v>1.016721419676214</v>
      </c>
      <c r="R238">
        <v>8.0776214196762144</v>
      </c>
      <c r="S238">
        <v>39.958459642751897</v>
      </c>
      <c r="T238">
        <v>41.343332938513662</v>
      </c>
      <c r="U238">
        <v>40.707428393592153</v>
      </c>
      <c r="V238">
        <v>0.71327271465860342</v>
      </c>
      <c r="W238">
        <v>1.3117727146586033</v>
      </c>
      <c r="X238">
        <v>0.23767098247891702</v>
      </c>
      <c r="Y238">
        <v>0.83617098247891697</v>
      </c>
      <c r="Z238">
        <v>0.83134094367721578</v>
      </c>
      <c r="AA238">
        <v>0.87166480570195315</v>
      </c>
      <c r="AB238">
        <v>1.4701648057019532</v>
      </c>
      <c r="AC238">
        <f>VLOOKUP($A238,raw[],29,FALSE)*(1-interactive!$C$7)</f>
        <v>1.8672781999999968E-2</v>
      </c>
      <c r="AD238">
        <f>VLOOKUP($A238,raw[],30,FALSE)*(1-interactive!$C$7)</f>
        <v>1.9421207203459956E-3</v>
      </c>
      <c r="AE238">
        <f>VLOOKUP($A238,raw[],31,FALSE)*(1-interactive!$C$7)</f>
        <v>5.8233734379831343E-4</v>
      </c>
      <c r="AF238">
        <f>VLOOKUP($A238,raw[],32,FALSE)*(1-interactive!$C$7)</f>
        <v>5.0546568584214802E-4</v>
      </c>
      <c r="AG238">
        <f>VLOOKUP($A238,raw[],33,FALSE)*(1-interactive!$C$7)</f>
        <v>1.0812385462544293E-3</v>
      </c>
      <c r="AH238">
        <f>VLOOKUP($A238,raw[],34,FALSE)*(1-interactive!$C$7)</f>
        <v>1.5124143203958972E-3</v>
      </c>
      <c r="AI238">
        <f>VLOOKUP($A238,raw[],35,FALSE)*(1-interactive!$C$7)</f>
        <v>1.6528953933132166E-3</v>
      </c>
      <c r="AJ238">
        <f>VLOOKUP($A238,raw[],36,FALSE)*(1-interactive!$C$7)</f>
        <v>1.9725140785456503E-3</v>
      </c>
      <c r="AK238">
        <f>VLOOKUP($A238,raw[],37,FALSE)*(1-interactive!$C$7)</f>
        <v>2.6178735582355304E-3</v>
      </c>
      <c r="AL238">
        <f>VLOOKUP($A238,raw[],38,FALSE)*(1-interactive!$C$7)</f>
        <v>3.6751349247755838E-3</v>
      </c>
      <c r="AM238">
        <f>VLOOKUP($A238,raw[],39,FALSE)*(1-interactive!$C$7)</f>
        <v>5.445079321599061E-3</v>
      </c>
      <c r="AN238">
        <f>VLOOKUP($A238,raw[],40,FALSE)*(1-interactive!$C$7)</f>
        <v>8.1466394857097821E-3</v>
      </c>
      <c r="AO238">
        <f>VLOOKUP($A238,raw[],41,FALSE)*(1-interactive!$C$7)</f>
        <v>1.2154970688764689E-2</v>
      </c>
      <c r="AP238">
        <f>VLOOKUP($A238,raw[],42,FALSE)*(1-interactive!$C$7)</f>
        <v>1.6566711347105391E-2</v>
      </c>
      <c r="AQ238">
        <f>VLOOKUP($A238,raw[],43,FALSE)*(1-interactive!$C$7)</f>
        <v>2.2355722171012921E-2</v>
      </c>
      <c r="AR238">
        <f>VLOOKUP($A238,raw[],44,FALSE)*(1-interactive!$C$7)</f>
        <v>3.2069031907145724E-2</v>
      </c>
      <c r="AS238">
        <f>VLOOKUP($A238,raw[],45,FALSE)*(1-interactive!$C$7)</f>
        <v>4.9148212973042012E-2</v>
      </c>
      <c r="AT238">
        <f>VLOOKUP($A238,raw[],46,FALSE)*(1-interactive!$C$7)</f>
        <v>7.2194901963303346E-2</v>
      </c>
      <c r="AU238">
        <f>VLOOKUP($A238,raw[],47,FALSE)*(1-interactive!$C$7)</f>
        <v>9.9520621089581374E-2</v>
      </c>
      <c r="AV238">
        <f>VLOOKUP($A238,raw[],48,FALSE)*(1-interactive!$C$7)</f>
        <v>0.12563182071428741</v>
      </c>
      <c r="AW238">
        <f>VLOOKUP($A238,raw[],49,FALSE)*(1-interactive!$C$7)</f>
        <v>0.14895189608500492</v>
      </c>
      <c r="AX238">
        <f>VLOOKUP($A238,raw[],50,FALSE)*(1-interactive!$C$7)</f>
        <v>67.483249999999998</v>
      </c>
    </row>
    <row r="239" spans="1:50" x14ac:dyDescent="0.25">
      <c r="A239" t="s">
        <v>422</v>
      </c>
      <c r="B239" t="s">
        <v>423</v>
      </c>
      <c r="C239">
        <v>642</v>
      </c>
      <c r="D239" t="s">
        <v>201</v>
      </c>
      <c r="E239" t="s">
        <v>202</v>
      </c>
      <c r="F239" t="s">
        <v>203</v>
      </c>
      <c r="G239" t="s">
        <v>204</v>
      </c>
      <c r="J239">
        <f>VLOOKUP(raw_lb[[#This Row],[setting]],raw[],10,FALSE)*(1-interactive!$C$7)</f>
        <v>0.90155000000000007</v>
      </c>
      <c r="K239">
        <f>VLOOKUP(raw_lb[[#This Row],[setting]],raw[],11,FALSE)*(1-interactive!$C$7)</f>
        <v>0.92149999999999999</v>
      </c>
      <c r="L239">
        <f>VLOOKUP(raw_lb[[#This Row],[setting]],raw[],12,FALSE)*(1-interactive!$C$7)</f>
        <v>0.82650000000000001</v>
      </c>
      <c r="M239">
        <v>3.7200000000000004E-2</v>
      </c>
      <c r="N239">
        <v>0.16329999999999997</v>
      </c>
      <c r="O239">
        <v>0.7</v>
      </c>
      <c r="P239">
        <v>0.05</v>
      </c>
      <c r="Q239">
        <v>2.4032522633744899</v>
      </c>
      <c r="R239">
        <v>9.4641522633744906</v>
      </c>
      <c r="S239">
        <v>55.104826864631633</v>
      </c>
      <c r="T239">
        <v>63.651214073166443</v>
      </c>
      <c r="U239">
        <v>59.726893714619202</v>
      </c>
      <c r="V239">
        <v>1.6721694017776052</v>
      </c>
      <c r="W239">
        <v>5.5386694017776055</v>
      </c>
      <c r="X239">
        <v>1.1878997396077415</v>
      </c>
      <c r="Y239">
        <v>5.0543997396077422</v>
      </c>
      <c r="Z239">
        <v>5.0440138913638197</v>
      </c>
      <c r="AA239">
        <v>1.8573082482192163</v>
      </c>
      <c r="AB239">
        <v>5.7238082482192167</v>
      </c>
      <c r="AC239">
        <f>VLOOKUP($A239,raw[],29,FALSE)*(1-interactive!$C$7)</f>
        <v>6.3500279999999911E-3</v>
      </c>
      <c r="AD239">
        <f>VLOOKUP($A239,raw[],30,FALSE)*(1-interactive!$C$7)</f>
        <v>2.8802485223833351E-4</v>
      </c>
      <c r="AE239">
        <f>VLOOKUP($A239,raw[],31,FALSE)*(1-interactive!$C$7)</f>
        <v>1.3537898723100145E-4</v>
      </c>
      <c r="AF239">
        <f>VLOOKUP($A239,raw[],32,FALSE)*(1-interactive!$C$7)</f>
        <v>1.8509876642345733E-4</v>
      </c>
      <c r="AG239">
        <f>VLOOKUP($A239,raw[],33,FALSE)*(1-interactive!$C$7)</f>
        <v>3.4309362399519622E-4</v>
      </c>
      <c r="AH239">
        <f>VLOOKUP($A239,raw[],34,FALSE)*(1-interactive!$C$7)</f>
        <v>4.4579137219563002E-4</v>
      </c>
      <c r="AI239">
        <f>VLOOKUP($A239,raw[],35,FALSE)*(1-interactive!$C$7)</f>
        <v>6.1866670684252725E-4</v>
      </c>
      <c r="AJ239">
        <f>VLOOKUP($A239,raw[],36,FALSE)*(1-interactive!$C$7)</f>
        <v>7.080192274657621E-4</v>
      </c>
      <c r="AK239">
        <f>VLOOKUP($A239,raw[],37,FALSE)*(1-interactive!$C$7)</f>
        <v>1.1423606510693337E-3</v>
      </c>
      <c r="AL239">
        <f>VLOOKUP($A239,raw[],38,FALSE)*(1-interactive!$C$7)</f>
        <v>2.1321994703945349E-3</v>
      </c>
      <c r="AM239">
        <f>VLOOKUP($A239,raw[],39,FALSE)*(1-interactive!$C$7)</f>
        <v>3.3602561836229118E-3</v>
      </c>
      <c r="AN239">
        <f>VLOOKUP($A239,raw[],40,FALSE)*(1-interactive!$C$7)</f>
        <v>6.0233345476741283E-3</v>
      </c>
      <c r="AO239">
        <f>VLOOKUP($A239,raw[],41,FALSE)*(1-interactive!$C$7)</f>
        <v>1.0104645804220666E-2</v>
      </c>
      <c r="AP239">
        <f>VLOOKUP($A239,raw[],42,FALSE)*(1-interactive!$C$7)</f>
        <v>1.4592311173596344E-2</v>
      </c>
      <c r="AQ239">
        <f>VLOOKUP($A239,raw[],43,FALSE)*(1-interactive!$C$7)</f>
        <v>1.8969550758949235E-2</v>
      </c>
      <c r="AR239">
        <f>VLOOKUP($A239,raw[],44,FALSE)*(1-interactive!$C$7)</f>
        <v>2.7476099765296011E-2</v>
      </c>
      <c r="AS239">
        <f>VLOOKUP($A239,raw[],45,FALSE)*(1-interactive!$C$7)</f>
        <v>4.393508434877693E-2</v>
      </c>
      <c r="AT239">
        <f>VLOOKUP($A239,raw[],46,FALSE)*(1-interactive!$C$7)</f>
        <v>6.9845727271232463E-2</v>
      </c>
      <c r="AU239">
        <f>VLOOKUP($A239,raw[],47,FALSE)*(1-interactive!$C$7)</f>
        <v>0.10322178652396333</v>
      </c>
      <c r="AV239">
        <f>VLOOKUP($A239,raw[],48,FALSE)*(1-interactive!$C$7)</f>
        <v>0.13568145651748781</v>
      </c>
      <c r="AW239">
        <f>VLOOKUP($A239,raw[],49,FALSE)*(1-interactive!$C$7)</f>
        <v>0.15994952815893027</v>
      </c>
      <c r="AX239">
        <f>VLOOKUP($A239,raw[],50,FALSE)*(1-interactive!$C$7)</f>
        <v>72.03564999999999</v>
      </c>
    </row>
    <row r="240" spans="1:50" x14ac:dyDescent="0.25">
      <c r="A240" t="s">
        <v>424</v>
      </c>
      <c r="B240" t="s">
        <v>425</v>
      </c>
      <c r="C240">
        <v>643</v>
      </c>
      <c r="D240" t="s">
        <v>201</v>
      </c>
      <c r="E240" t="s">
        <v>229</v>
      </c>
      <c r="F240" t="s">
        <v>203</v>
      </c>
      <c r="G240" t="s">
        <v>204</v>
      </c>
      <c r="J240">
        <f>VLOOKUP(raw_lb[[#This Row],[setting]],raw[],10,FALSE)*(1-interactive!$C$7)</f>
        <v>0.93764999999999998</v>
      </c>
      <c r="K240">
        <f>VLOOKUP(raw_lb[[#This Row],[setting]],raw[],11,FALSE)*(1-interactive!$C$7)</f>
        <v>0</v>
      </c>
      <c r="L240">
        <f>VLOOKUP(raw_lb[[#This Row],[setting]],raw[],12,FALSE)*(1-interactive!$C$7)</f>
        <v>0.92149999999999999</v>
      </c>
      <c r="M240">
        <v>2.9100000000000001E-2</v>
      </c>
      <c r="N240">
        <v>0.16339999999999999</v>
      </c>
      <c r="O240">
        <v>0.7</v>
      </c>
      <c r="P240">
        <v>0.05</v>
      </c>
      <c r="Q240">
        <v>3.31488285793698</v>
      </c>
      <c r="R240">
        <v>10.375782857936981</v>
      </c>
      <c r="S240">
        <v>62.09419787684547</v>
      </c>
      <c r="T240">
        <v>73.803836548766185</v>
      </c>
      <c r="U240">
        <v>68.42701798085011</v>
      </c>
      <c r="V240">
        <v>1.4267338658307096</v>
      </c>
      <c r="W240">
        <v>5.2932338658307101</v>
      </c>
      <c r="X240">
        <v>0.94592201258015596</v>
      </c>
      <c r="Y240">
        <v>4.8124220125801562</v>
      </c>
      <c r="Z240">
        <v>4.8041979771077079</v>
      </c>
      <c r="AA240">
        <v>1.6012029018927352</v>
      </c>
      <c r="AB240">
        <v>5.4677029018927357</v>
      </c>
      <c r="AC240">
        <f>VLOOKUP($A240,raw[],29,FALSE)*(1-interactive!$C$7)</f>
        <v>5.4706035000000267E-3</v>
      </c>
      <c r="AD240">
        <f>VLOOKUP($A240,raw[],30,FALSE)*(1-interactive!$C$7)</f>
        <v>3.2367401150546539E-4</v>
      </c>
      <c r="AE240">
        <f>VLOOKUP($A240,raw[],31,FALSE)*(1-interactive!$C$7)</f>
        <v>1.8729099826196951E-4</v>
      </c>
      <c r="AF240">
        <f>VLOOKUP($A240,raw[],32,FALSE)*(1-interactive!$C$7)</f>
        <v>2.4698274612734613E-4</v>
      </c>
      <c r="AG240">
        <f>VLOOKUP($A240,raw[],33,FALSE)*(1-interactive!$C$7)</f>
        <v>5.9500966648748908E-4</v>
      </c>
      <c r="AH240">
        <f>VLOOKUP($A240,raw[],34,FALSE)*(1-interactive!$C$7)</f>
        <v>1.0551206096273207E-3</v>
      </c>
      <c r="AI240">
        <f>VLOOKUP($A240,raw[],35,FALSE)*(1-interactive!$C$7)</f>
        <v>1.6945007005218563E-3</v>
      </c>
      <c r="AJ240">
        <f>VLOOKUP($A240,raw[],36,FALSE)*(1-interactive!$C$7)</f>
        <v>2.8437315991563916E-3</v>
      </c>
      <c r="AK240">
        <f>VLOOKUP($A240,raw[],37,FALSE)*(1-interactive!$C$7)</f>
        <v>4.1703219458116125E-3</v>
      </c>
      <c r="AL240">
        <f>VLOOKUP($A240,raw[],38,FALSE)*(1-interactive!$C$7)</f>
        <v>5.0043817922165194E-3</v>
      </c>
      <c r="AM240">
        <f>VLOOKUP($A240,raw[],39,FALSE)*(1-interactive!$C$7)</f>
        <v>6.1493883564960649E-3</v>
      </c>
      <c r="AN240">
        <f>VLOOKUP($A240,raw[],40,FALSE)*(1-interactive!$C$7)</f>
        <v>8.3909551855863643E-3</v>
      </c>
      <c r="AO240">
        <f>VLOOKUP($A240,raw[],41,FALSE)*(1-interactive!$C$7)</f>
        <v>1.1714690330774383E-2</v>
      </c>
      <c r="AP240">
        <f>VLOOKUP($A240,raw[],42,FALSE)*(1-interactive!$C$7)</f>
        <v>1.6849062634857387E-2</v>
      </c>
      <c r="AQ240">
        <f>VLOOKUP($A240,raw[],43,FALSE)*(1-interactive!$C$7)</f>
        <v>2.2780049402458816E-2</v>
      </c>
      <c r="AR240">
        <f>VLOOKUP($A240,raw[],44,FALSE)*(1-interactive!$C$7)</f>
        <v>3.1424495158527327E-2</v>
      </c>
      <c r="AS240">
        <f>VLOOKUP($A240,raw[],45,FALSE)*(1-interactive!$C$7)</f>
        <v>4.7196941089161906E-2</v>
      </c>
      <c r="AT240">
        <f>VLOOKUP($A240,raw[],46,FALSE)*(1-interactive!$C$7)</f>
        <v>7.0986452606725189E-2</v>
      </c>
      <c r="AU240">
        <f>VLOOKUP($A240,raw[],47,FALSE)*(1-interactive!$C$7)</f>
        <v>9.5637247821059965E-2</v>
      </c>
      <c r="AV240">
        <f>VLOOKUP($A240,raw[],48,FALSE)*(1-interactive!$C$7)</f>
        <v>0.12513115172212536</v>
      </c>
      <c r="AW240">
        <f>VLOOKUP($A240,raw[],49,FALSE)*(1-interactive!$C$7)</f>
        <v>0.15058502233458926</v>
      </c>
      <c r="AX240">
        <f>VLOOKUP($A240,raw[],50,FALSE)*(1-interactive!$C$7)</f>
        <v>68.674549999999996</v>
      </c>
    </row>
    <row r="241" spans="1:50" x14ac:dyDescent="0.25">
      <c r="A241" t="s">
        <v>426</v>
      </c>
      <c r="B241" t="s">
        <v>427</v>
      </c>
      <c r="C241">
        <v>646</v>
      </c>
      <c r="D241" t="s">
        <v>207</v>
      </c>
      <c r="E241" t="s">
        <v>255</v>
      </c>
      <c r="F241" t="s">
        <v>211</v>
      </c>
      <c r="G241" t="s">
        <v>198</v>
      </c>
      <c r="J241">
        <f>VLOOKUP(raw_lb[[#This Row],[setting]],raw[],10,FALSE)*(1-interactive!$C$7)</f>
        <v>0.86165000000000003</v>
      </c>
      <c r="K241">
        <f>VLOOKUP(raw_lb[[#This Row],[setting]],raw[],11,FALSE)*(1-interactive!$C$7)</f>
        <v>0</v>
      </c>
      <c r="L241">
        <f>VLOOKUP(raw_lb[[#This Row],[setting]],raw[],12,FALSE)*(1-interactive!$C$7)</f>
        <v>0.86449999999999994</v>
      </c>
      <c r="M241">
        <v>2.0199999999999999E-2</v>
      </c>
      <c r="N241">
        <v>0.15560000000000002</v>
      </c>
      <c r="O241">
        <v>7.0000000000000007E-2</v>
      </c>
      <c r="P241">
        <v>1E-3</v>
      </c>
      <c r="Q241">
        <v>0.67319523809523807</v>
      </c>
      <c r="R241">
        <v>7.7340952380952395</v>
      </c>
      <c r="S241">
        <v>37.556642212749082</v>
      </c>
      <c r="T241">
        <v>37.870246853348242</v>
      </c>
      <c r="U241">
        <v>37.726246231142738</v>
      </c>
      <c r="V241">
        <v>1.5775312295677517</v>
      </c>
      <c r="W241">
        <v>6.1660312295677517</v>
      </c>
      <c r="X241">
        <v>1.1067683441901808</v>
      </c>
      <c r="Y241">
        <v>5.6952683441901808</v>
      </c>
      <c r="Z241">
        <v>5.6935198282611772</v>
      </c>
      <c r="AA241">
        <v>1.7209920219074306</v>
      </c>
      <c r="AB241">
        <v>6.3094920219074302</v>
      </c>
      <c r="AC241">
        <f>VLOOKUP($A241,raw[],29,FALSE)*(1-interactive!$C$7)</f>
        <v>2.7734908000000068E-2</v>
      </c>
      <c r="AD241">
        <f>VLOOKUP($A241,raw[],30,FALSE)*(1-interactive!$C$7)</f>
        <v>2.2537152813000344E-3</v>
      </c>
      <c r="AE241">
        <f>VLOOKUP($A241,raw[],31,FALSE)*(1-interactive!$C$7)</f>
        <v>9.0098704642285895E-4</v>
      </c>
      <c r="AF241">
        <f>VLOOKUP($A241,raw[],32,FALSE)*(1-interactive!$C$7)</f>
        <v>6.9749025206191284E-4</v>
      </c>
      <c r="AG241">
        <f>VLOOKUP($A241,raw[],33,FALSE)*(1-interactive!$C$7)</f>
        <v>1.2188440033484927E-3</v>
      </c>
      <c r="AH241">
        <f>VLOOKUP($A241,raw[],34,FALSE)*(1-interactive!$C$7)</f>
        <v>1.8347775285385533E-3</v>
      </c>
      <c r="AI241">
        <f>VLOOKUP($A241,raw[],35,FALSE)*(1-interactive!$C$7)</f>
        <v>2.2150426001786945E-3</v>
      </c>
      <c r="AJ241">
        <f>VLOOKUP($A241,raw[],36,FALSE)*(1-interactive!$C$7)</f>
        <v>2.6652116430645151E-3</v>
      </c>
      <c r="AK241">
        <f>VLOOKUP($A241,raw[],37,FALSE)*(1-interactive!$C$7)</f>
        <v>3.3421373673868703E-3</v>
      </c>
      <c r="AL241">
        <f>VLOOKUP($A241,raw[],38,FALSE)*(1-interactive!$C$7)</f>
        <v>4.2910002488462809E-3</v>
      </c>
      <c r="AM241">
        <f>VLOOKUP($A241,raw[],39,FALSE)*(1-interactive!$C$7)</f>
        <v>5.5316875625050187E-3</v>
      </c>
      <c r="AN241">
        <f>VLOOKUP($A241,raw[],40,FALSE)*(1-interactive!$C$7)</f>
        <v>7.9955715948974611E-3</v>
      </c>
      <c r="AO241">
        <f>VLOOKUP($A241,raw[],41,FALSE)*(1-interactive!$C$7)</f>
        <v>1.0771706429857966E-2</v>
      </c>
      <c r="AP241">
        <f>VLOOKUP($A241,raw[],42,FALSE)*(1-interactive!$C$7)</f>
        <v>1.6102723458545482E-2</v>
      </c>
      <c r="AQ241">
        <f>VLOOKUP($A241,raw[],43,FALSE)*(1-interactive!$C$7)</f>
        <v>2.4774889946243221E-2</v>
      </c>
      <c r="AR241">
        <f>VLOOKUP($A241,raw[],44,FALSE)*(1-interactive!$C$7)</f>
        <v>3.8322315450047134E-2</v>
      </c>
      <c r="AS241">
        <f>VLOOKUP($A241,raw[],45,FALSE)*(1-interactive!$C$7)</f>
        <v>5.9299069274399561E-2</v>
      </c>
      <c r="AT241">
        <f>VLOOKUP($A241,raw[],46,FALSE)*(1-interactive!$C$7)</f>
        <v>9.0289633084927365E-2</v>
      </c>
      <c r="AU241">
        <f>VLOOKUP($A241,raw[],47,FALSE)*(1-interactive!$C$7)</f>
        <v>0.12781025248167344</v>
      </c>
      <c r="AV241">
        <f>VLOOKUP($A241,raw[],48,FALSE)*(1-interactive!$C$7)</f>
        <v>0.16315915976099893</v>
      </c>
      <c r="AW241">
        <f>VLOOKUP($A241,raw[],49,FALSE)*(1-interactive!$C$7)</f>
        <v>0.17775006944941502</v>
      </c>
      <c r="AX241">
        <f>VLOOKUP($A241,raw[],50,FALSE)*(1-interactive!$C$7)</f>
        <v>65.016099999999994</v>
      </c>
    </row>
    <row r="242" spans="1:50" x14ac:dyDescent="0.25">
      <c r="A242" t="s">
        <v>428</v>
      </c>
      <c r="B242" t="s">
        <v>429</v>
      </c>
      <c r="C242">
        <v>662</v>
      </c>
      <c r="D242" t="s">
        <v>215</v>
      </c>
      <c r="E242" t="s">
        <v>232</v>
      </c>
      <c r="F242" t="s">
        <v>217</v>
      </c>
      <c r="G242" t="s">
        <v>204</v>
      </c>
      <c r="J242">
        <f>VLOOKUP(raw_lb[[#This Row],[setting]],raw[],10,FALSE)*(1-interactive!$C$7)</f>
        <v>0.94904999999999995</v>
      </c>
      <c r="K242">
        <f>VLOOKUP(raw_lb[[#This Row],[setting]],raw[],11,FALSE)*(1-interactive!$C$7)</f>
        <v>0.81699999999999995</v>
      </c>
      <c r="L242">
        <f>VLOOKUP(raw_lb[[#This Row],[setting]],raw[],12,FALSE)*(1-interactive!$C$7)</f>
        <v>0.81699999999999995</v>
      </c>
      <c r="M242">
        <v>4.0000000000000001E-3</v>
      </c>
      <c r="N242">
        <v>0.16309999999999999</v>
      </c>
      <c r="O242">
        <v>0.7</v>
      </c>
      <c r="P242">
        <v>0.05</v>
      </c>
      <c r="Q242">
        <v>2.7089722845895903</v>
      </c>
      <c r="R242">
        <v>9.7698722845895904</v>
      </c>
      <c r="S242">
        <v>53.365413412568572</v>
      </c>
      <c r="T242">
        <v>60.847380128023715</v>
      </c>
      <c r="U242">
        <v>57.411819160915698</v>
      </c>
      <c r="V242">
        <v>5.4927377781177471</v>
      </c>
      <c r="W242">
        <v>5.5117377781177472</v>
      </c>
      <c r="X242">
        <v>5.013929608043119</v>
      </c>
      <c r="Y242">
        <v>5.0329296080431192</v>
      </c>
      <c r="Z242">
        <v>5.0262417356194504</v>
      </c>
      <c r="AA242">
        <v>5.6610240203797746</v>
      </c>
      <c r="AB242">
        <v>5.6800240203797747</v>
      </c>
      <c r="AC242">
        <f>VLOOKUP($A242,raw[],29,FALSE)*(1-interactive!$C$7)</f>
        <v>1.1865899000000011E-2</v>
      </c>
      <c r="AD242">
        <f>VLOOKUP($A242,raw[],30,FALSE)*(1-interactive!$C$7)</f>
        <v>8.7697136568537341E-4</v>
      </c>
      <c r="AE242">
        <f>VLOOKUP($A242,raw[],31,FALSE)*(1-interactive!$C$7)</f>
        <v>3.205517832210011E-4</v>
      </c>
      <c r="AF242">
        <f>VLOOKUP($A242,raw[],32,FALSE)*(1-interactive!$C$7)</f>
        <v>2.9779527313745867E-4</v>
      </c>
      <c r="AG242">
        <f>VLOOKUP($A242,raw[],33,FALSE)*(1-interactive!$C$7)</f>
        <v>7.0356452927267284E-4</v>
      </c>
      <c r="AH242">
        <f>VLOOKUP($A242,raw[],34,FALSE)*(1-interactive!$C$7)</f>
        <v>9.5995232420524059E-4</v>
      </c>
      <c r="AI242">
        <f>VLOOKUP($A242,raw[],35,FALSE)*(1-interactive!$C$7)</f>
        <v>1.0191377778745259E-3</v>
      </c>
      <c r="AJ242">
        <f>VLOOKUP($A242,raw[],36,FALSE)*(1-interactive!$C$7)</f>
        <v>1.2238535681393747E-3</v>
      </c>
      <c r="AK242">
        <f>VLOOKUP($A242,raw[],37,FALSE)*(1-interactive!$C$7)</f>
        <v>1.6835060642859045E-3</v>
      </c>
      <c r="AL242">
        <f>VLOOKUP($A242,raw[],38,FALSE)*(1-interactive!$C$7)</f>
        <v>2.4874055811780721E-3</v>
      </c>
      <c r="AM242">
        <f>VLOOKUP($A242,raw[],39,FALSE)*(1-interactive!$C$7)</f>
        <v>3.8912438117560577E-3</v>
      </c>
      <c r="AN242">
        <f>VLOOKUP($A242,raw[],40,FALSE)*(1-interactive!$C$7)</f>
        <v>6.1107474172022707E-3</v>
      </c>
      <c r="AO242">
        <f>VLOOKUP($A242,raw[],41,FALSE)*(1-interactive!$C$7)</f>
        <v>9.4760679974909504E-3</v>
      </c>
      <c r="AP242">
        <f>VLOOKUP($A242,raw[],42,FALSE)*(1-interactive!$C$7)</f>
        <v>1.1957434715743405E-2</v>
      </c>
      <c r="AQ242">
        <f>VLOOKUP($A242,raw[],43,FALSE)*(1-interactive!$C$7)</f>
        <v>1.526770389096857E-2</v>
      </c>
      <c r="AR242">
        <f>VLOOKUP($A242,raw[],44,FALSE)*(1-interactive!$C$7)</f>
        <v>2.2324082300017731E-2</v>
      </c>
      <c r="AS242">
        <f>VLOOKUP($A242,raw[],45,FALSE)*(1-interactive!$C$7)</f>
        <v>3.7326059722944595E-2</v>
      </c>
      <c r="AT242">
        <f>VLOOKUP($A242,raw[],46,FALSE)*(1-interactive!$C$7)</f>
        <v>5.9120439077888783E-2</v>
      </c>
      <c r="AU242">
        <f>VLOOKUP($A242,raw[],47,FALSE)*(1-interactive!$C$7)</f>
        <v>8.7446892268160908E-2</v>
      </c>
      <c r="AV242">
        <f>VLOOKUP($A242,raw[],48,FALSE)*(1-interactive!$C$7)</f>
        <v>0.11592100297827845</v>
      </c>
      <c r="AW242">
        <f>VLOOKUP($A242,raw[],49,FALSE)*(1-interactive!$C$7)</f>
        <v>0.13927344199585084</v>
      </c>
      <c r="AX242">
        <f>VLOOKUP($A242,raw[],50,FALSE)*(1-interactive!$C$7)</f>
        <v>72.192400000000006</v>
      </c>
    </row>
    <row r="243" spans="1:50" x14ac:dyDescent="0.25">
      <c r="A243" t="s">
        <v>430</v>
      </c>
      <c r="B243" t="s">
        <v>431</v>
      </c>
      <c r="C243">
        <v>670</v>
      </c>
      <c r="D243" t="s">
        <v>215</v>
      </c>
      <c r="E243" t="s">
        <v>232</v>
      </c>
      <c r="F243" t="s">
        <v>217</v>
      </c>
      <c r="G243" t="s">
        <v>204</v>
      </c>
      <c r="J243">
        <f>VLOOKUP(raw_lb[[#This Row],[setting]],raw[],10,FALSE)*(1-interactive!$C$7)</f>
        <v>0</v>
      </c>
      <c r="K243">
        <f>VLOOKUP(raw_lb[[#This Row],[setting]],raw[],11,FALSE)*(1-interactive!$C$7)</f>
        <v>0.91199999999999992</v>
      </c>
      <c r="L243">
        <f>VLOOKUP(raw_lb[[#This Row],[setting]],raw[],12,FALSE)*(1-interactive!$C$7)</f>
        <v>0.92149999999999999</v>
      </c>
      <c r="M243">
        <v>4.5999999999999999E-3</v>
      </c>
      <c r="N243">
        <v>0.16309999999999999</v>
      </c>
      <c r="O243">
        <v>0.7</v>
      </c>
      <c r="P243">
        <v>0.05</v>
      </c>
      <c r="Q243">
        <v>2.4323066296614799</v>
      </c>
      <c r="R243">
        <v>9.493206629661481</v>
      </c>
      <c r="S243">
        <v>52.24173833039157</v>
      </c>
      <c r="T243">
        <v>59.282866242915063</v>
      </c>
      <c r="U243">
        <v>56.04972913596805</v>
      </c>
      <c r="V243">
        <v>6.0133766827504269</v>
      </c>
      <c r="W243">
        <v>6.032376682750427</v>
      </c>
      <c r="X243">
        <v>5.5366137872388137</v>
      </c>
      <c r="Y243">
        <v>5.5556137872388138</v>
      </c>
      <c r="Z243">
        <v>5.5503164793099993</v>
      </c>
      <c r="AA243">
        <v>6.1753517920751522</v>
      </c>
      <c r="AB243">
        <v>6.1943517920751523</v>
      </c>
      <c r="AC243">
        <f>VLOOKUP($A243,raw[],29,FALSE)*(1-interactive!$C$7)</f>
        <v>1.3930353500000027E-2</v>
      </c>
      <c r="AD243">
        <f>VLOOKUP($A243,raw[],30,FALSE)*(1-interactive!$C$7)</f>
        <v>3.2320063724017295E-4</v>
      </c>
      <c r="AE243">
        <f>VLOOKUP($A243,raw[],31,FALSE)*(1-interactive!$C$7)</f>
        <v>4.0506096582264197E-4</v>
      </c>
      <c r="AF243">
        <f>VLOOKUP($A243,raw[],32,FALSE)*(1-interactive!$C$7)</f>
        <v>3.9091634587630947E-4</v>
      </c>
      <c r="AG243">
        <f>VLOOKUP($A243,raw[],33,FALSE)*(1-interactive!$C$7)</f>
        <v>9.4851317091557445E-4</v>
      </c>
      <c r="AH243">
        <f>VLOOKUP($A243,raw[],34,FALSE)*(1-interactive!$C$7)</f>
        <v>1.3345929823577742E-3</v>
      </c>
      <c r="AI243">
        <f>VLOOKUP($A243,raw[],35,FALSE)*(1-interactive!$C$7)</f>
        <v>1.4543750711417827E-3</v>
      </c>
      <c r="AJ243">
        <f>VLOOKUP($A243,raw[],36,FALSE)*(1-interactive!$C$7)</f>
        <v>1.7333285494545744E-3</v>
      </c>
      <c r="AK243">
        <f>VLOOKUP($A243,raw[],37,FALSE)*(1-interactive!$C$7)</f>
        <v>2.3088212148425734E-3</v>
      </c>
      <c r="AL243">
        <f>VLOOKUP($A243,raw[],38,FALSE)*(1-interactive!$C$7)</f>
        <v>3.2980031864082754E-3</v>
      </c>
      <c r="AM243">
        <f>VLOOKUP($A243,raw[],39,FALSE)*(1-interactive!$C$7)</f>
        <v>4.9489718841505496E-3</v>
      </c>
      <c r="AN243">
        <f>VLOOKUP($A243,raw[],40,FALSE)*(1-interactive!$C$7)</f>
        <v>7.4576946251243906E-3</v>
      </c>
      <c r="AO243">
        <f>VLOOKUP($A243,raw[],41,FALSE)*(1-interactive!$C$7)</f>
        <v>1.1215775860423953E-2</v>
      </c>
      <c r="AP243">
        <f>VLOOKUP($A243,raw[],42,FALSE)*(1-interactive!$C$7)</f>
        <v>1.5765369551710609E-2</v>
      </c>
      <c r="AQ243">
        <f>VLOOKUP($A243,raw[],43,FALSE)*(1-interactive!$C$7)</f>
        <v>2.2041164280965329E-2</v>
      </c>
      <c r="AR243">
        <f>VLOOKUP($A243,raw[],44,FALSE)*(1-interactive!$C$7)</f>
        <v>3.2658324718337156E-2</v>
      </c>
      <c r="AS243">
        <f>VLOOKUP($A243,raw[],45,FALSE)*(1-interactive!$C$7)</f>
        <v>5.054817324316533E-2</v>
      </c>
      <c r="AT243">
        <f>VLOOKUP($A243,raw[],46,FALSE)*(1-interactive!$C$7)</f>
        <v>7.5586077259191059E-2</v>
      </c>
      <c r="AU243">
        <f>VLOOKUP($A243,raw[],47,FALSE)*(1-interactive!$C$7)</f>
        <v>0.10646883986222942</v>
      </c>
      <c r="AV243">
        <f>VLOOKUP($A243,raw[],48,FALSE)*(1-interactive!$C$7)</f>
        <v>0.13651212381069666</v>
      </c>
      <c r="AW243">
        <f>VLOOKUP($A243,raw[],49,FALSE)*(1-interactive!$C$7)</f>
        <v>0.1603030613491834</v>
      </c>
      <c r="AX243">
        <f>VLOOKUP($A243,raw[],50,FALSE)*(1-interactive!$C$7)</f>
        <v>68.74199999999999</v>
      </c>
    </row>
    <row r="244" spans="1:50" x14ac:dyDescent="0.25">
      <c r="A244" t="s">
        <v>432</v>
      </c>
      <c r="B244" t="s">
        <v>433</v>
      </c>
      <c r="C244">
        <v>882</v>
      </c>
      <c r="D244" t="s">
        <v>260</v>
      </c>
      <c r="E244" t="s">
        <v>309</v>
      </c>
      <c r="F244" t="s">
        <v>262</v>
      </c>
      <c r="G244" t="s">
        <v>204</v>
      </c>
      <c r="J244">
        <f>VLOOKUP(raw_lb[[#This Row],[setting]],raw[],10,FALSE)*(1-interactive!$C$7)</f>
        <v>0.77805000000000002</v>
      </c>
      <c r="K244">
        <f>VLOOKUP(raw_lb[[#This Row],[setting]],raw[],11,FALSE)*(1-interactive!$C$7)</f>
        <v>0.75049999999999994</v>
      </c>
      <c r="L244">
        <f>VLOOKUP(raw_lb[[#This Row],[setting]],raw[],12,FALSE)*(1-interactive!$C$7)</f>
        <v>0.68399999999999994</v>
      </c>
      <c r="M244">
        <v>1.8600000000000002E-2</v>
      </c>
      <c r="N244">
        <v>0.1832</v>
      </c>
      <c r="O244">
        <v>0.7</v>
      </c>
      <c r="P244">
        <v>0.05</v>
      </c>
      <c r="Q244">
        <v>1.371261731207289</v>
      </c>
      <c r="R244">
        <v>8.4321617312072892</v>
      </c>
      <c r="S244">
        <v>42.356480051343731</v>
      </c>
      <c r="T244">
        <v>44.804913315651397</v>
      </c>
      <c r="U244">
        <v>43.680644513967401</v>
      </c>
      <c r="V244">
        <v>0.68675386362544877</v>
      </c>
      <c r="W244">
        <v>1.2852538636254487</v>
      </c>
      <c r="X244">
        <v>0.20934071716529665</v>
      </c>
      <c r="Y244">
        <v>0.8078407171652966</v>
      </c>
      <c r="Z244">
        <v>0.80184704344210656</v>
      </c>
      <c r="AA244">
        <v>0.85073546159137847</v>
      </c>
      <c r="AB244">
        <v>1.4492354615913783</v>
      </c>
      <c r="AC244">
        <f>VLOOKUP($A244,raw[],29,FALSE)*(1-interactive!$C$7)</f>
        <v>1.2779323999999957E-2</v>
      </c>
      <c r="AD244">
        <f>VLOOKUP($A244,raw[],30,FALSE)*(1-interactive!$C$7)</f>
        <v>6.5789951159805524E-4</v>
      </c>
      <c r="AE244">
        <f>VLOOKUP($A244,raw[],31,FALSE)*(1-interactive!$C$7)</f>
        <v>2.5908584217501868E-4</v>
      </c>
      <c r="AF244">
        <f>VLOOKUP($A244,raw[],32,FALSE)*(1-interactive!$C$7)</f>
        <v>2.3623869015525274E-4</v>
      </c>
      <c r="AG244">
        <f>VLOOKUP($A244,raw[],33,FALSE)*(1-interactive!$C$7)</f>
        <v>5.475066841383675E-4</v>
      </c>
      <c r="AH244">
        <f>VLOOKUP($A244,raw[],34,FALSE)*(1-interactive!$C$7)</f>
        <v>7.1139272528874435E-4</v>
      </c>
      <c r="AI244">
        <f>VLOOKUP($A244,raw[],35,FALSE)*(1-interactive!$C$7)</f>
        <v>7.2809467221792118E-4</v>
      </c>
      <c r="AJ244">
        <f>VLOOKUP($A244,raw[],36,FALSE)*(1-interactive!$C$7)</f>
        <v>8.7221771936664763E-4</v>
      </c>
      <c r="AK244">
        <f>VLOOKUP($A244,raw[],37,FALSE)*(1-interactive!$C$7)</f>
        <v>1.2214103716925583E-3</v>
      </c>
      <c r="AL244">
        <f>VLOOKUP($A244,raw[],38,FALSE)*(1-interactive!$C$7)</f>
        <v>1.8824619180777301E-3</v>
      </c>
      <c r="AM244">
        <f>VLOOKUP($A244,raw[],39,FALSE)*(1-interactive!$C$7)</f>
        <v>3.1017203404165735E-3</v>
      </c>
      <c r="AN244">
        <f>VLOOKUP($A244,raw[],40,FALSE)*(1-interactive!$C$7)</f>
        <v>5.0530080478240888E-3</v>
      </c>
      <c r="AO244">
        <f>VLOOKUP($A244,raw[],41,FALSE)*(1-interactive!$C$7)</f>
        <v>8.1733635450045063E-3</v>
      </c>
      <c r="AP244">
        <f>VLOOKUP($A244,raw[],42,FALSE)*(1-interactive!$C$7)</f>
        <v>1.4454348073574555E-2</v>
      </c>
      <c r="AQ244">
        <f>VLOOKUP($A244,raw[],43,FALSE)*(1-interactive!$C$7)</f>
        <v>2.5142267939398732E-2</v>
      </c>
      <c r="AR244">
        <f>VLOOKUP($A244,raw[],44,FALSE)*(1-interactive!$C$7)</f>
        <v>4.1119770986842885E-2</v>
      </c>
      <c r="AS244">
        <f>VLOOKUP($A244,raw[],45,FALSE)*(1-interactive!$C$7)</f>
        <v>6.4138636574876701E-2</v>
      </c>
      <c r="AT244">
        <f>VLOOKUP($A244,raw[],46,FALSE)*(1-interactive!$C$7)</f>
        <v>9.468814126898327E-2</v>
      </c>
      <c r="AU244">
        <f>VLOOKUP($A244,raw[],47,FALSE)*(1-interactive!$C$7)</f>
        <v>0.12910209731173222</v>
      </c>
      <c r="AV244">
        <f>VLOOKUP($A244,raw[],48,FALSE)*(1-interactive!$C$7)</f>
        <v>0.15775080143590883</v>
      </c>
      <c r="AW244">
        <f>VLOOKUP($A244,raw[],49,FALSE)*(1-interactive!$C$7)</f>
        <v>0.1748887648043303</v>
      </c>
      <c r="AX244">
        <f>VLOOKUP($A244,raw[],50,FALSE)*(1-interactive!$C$7)</f>
        <v>69.455449999999999</v>
      </c>
    </row>
    <row r="245" spans="1:50" x14ac:dyDescent="0.25">
      <c r="A245" t="s">
        <v>434</v>
      </c>
      <c r="B245" t="s">
        <v>435</v>
      </c>
      <c r="C245">
        <v>678</v>
      </c>
      <c r="D245" t="s">
        <v>207</v>
      </c>
      <c r="E245" t="s">
        <v>235</v>
      </c>
      <c r="F245" t="s">
        <v>211</v>
      </c>
      <c r="G245" t="s">
        <v>212</v>
      </c>
      <c r="J245">
        <f>VLOOKUP(raw_lb[[#This Row],[setting]],raw[],10,FALSE)*(1-interactive!$C$7)</f>
        <v>0.86449999999999994</v>
      </c>
      <c r="K245">
        <f>VLOOKUP(raw_lb[[#This Row],[setting]],raw[],11,FALSE)*(1-interactive!$C$7)</f>
        <v>0.90249999999999997</v>
      </c>
      <c r="L245">
        <f>VLOOKUP(raw_lb[[#This Row],[setting]],raw[],12,FALSE)*(1-interactive!$C$7)</f>
        <v>0.90249999999999997</v>
      </c>
      <c r="M245">
        <v>1.3100000000000001E-2</v>
      </c>
      <c r="N245">
        <v>0</v>
      </c>
      <c r="O245">
        <v>7.0000000000000007E-2</v>
      </c>
      <c r="P245">
        <v>1E-3</v>
      </c>
      <c r="Q245">
        <v>0.749343542435424</v>
      </c>
      <c r="R245">
        <v>7.8102435424354244</v>
      </c>
      <c r="S245">
        <v>38.034328253664214</v>
      </c>
      <c r="T245">
        <v>38.556919251945985</v>
      </c>
      <c r="U245">
        <v>38.31695651170147</v>
      </c>
      <c r="V245">
        <v>3.7469028397061179</v>
      </c>
      <c r="W245">
        <v>8.3354028397061182</v>
      </c>
      <c r="X245">
        <v>3.2740351736833371</v>
      </c>
      <c r="Y245">
        <v>7.8625351736833373</v>
      </c>
      <c r="Z245">
        <v>7.8594980008253632</v>
      </c>
      <c r="AA245">
        <v>3.8968583837510153</v>
      </c>
      <c r="AB245">
        <v>8.4853583837510147</v>
      </c>
      <c r="AC245">
        <f>VLOOKUP($A245,raw[],29,FALSE)*(1-interactive!$C$7)</f>
        <v>2.5110352500000065E-2</v>
      </c>
      <c r="AD245">
        <f>VLOOKUP($A245,raw[],30,FALSE)*(1-interactive!$C$7)</f>
        <v>1.4439234627717785E-3</v>
      </c>
      <c r="AE245">
        <f>VLOOKUP($A245,raw[],31,FALSE)*(1-interactive!$C$7)</f>
        <v>5.6234477650044662E-4</v>
      </c>
      <c r="AF245">
        <f>VLOOKUP($A245,raw[],32,FALSE)*(1-interactive!$C$7)</f>
        <v>4.692351647093728E-4</v>
      </c>
      <c r="AG245">
        <f>VLOOKUP($A245,raw[],33,FALSE)*(1-interactive!$C$7)</f>
        <v>9.2174051266413553E-4</v>
      </c>
      <c r="AH245">
        <f>VLOOKUP($A245,raw[],34,FALSE)*(1-interactive!$C$7)</f>
        <v>1.208865137908143E-3</v>
      </c>
      <c r="AI245">
        <f>VLOOKUP($A245,raw[],35,FALSE)*(1-interactive!$C$7)</f>
        <v>1.2815416274737869E-3</v>
      </c>
      <c r="AJ245">
        <f>VLOOKUP($A245,raw[],36,FALSE)*(1-interactive!$C$7)</f>
        <v>1.5265951754681749E-3</v>
      </c>
      <c r="AK245">
        <f>VLOOKUP($A245,raw[],37,FALSE)*(1-interactive!$C$7)</f>
        <v>2.0542010606417545E-3</v>
      </c>
      <c r="AL245">
        <f>VLOOKUP($A245,raw[],38,FALSE)*(1-interactive!$C$7)</f>
        <v>2.9403546632293734E-3</v>
      </c>
      <c r="AM245">
        <f>VLOOKUP($A245,raw[],39,FALSE)*(1-interactive!$C$7)</f>
        <v>4.4998510243868172E-3</v>
      </c>
      <c r="AN245">
        <f>VLOOKUP($A245,raw[],40,FALSE)*(1-interactive!$C$7)</f>
        <v>6.9422953312551078E-3</v>
      </c>
      <c r="AO245">
        <f>VLOOKUP($A245,raw[],41,FALSE)*(1-interactive!$C$7)</f>
        <v>1.0734421385540595E-2</v>
      </c>
      <c r="AP245">
        <f>VLOOKUP($A245,raw[],42,FALSE)*(1-interactive!$C$7)</f>
        <v>1.6844404448691081E-2</v>
      </c>
      <c r="AQ245">
        <f>VLOOKUP($A245,raw[],43,FALSE)*(1-interactive!$C$7)</f>
        <v>2.6471209697562035E-2</v>
      </c>
      <c r="AR245">
        <f>VLOOKUP($A245,raw[],44,FALSE)*(1-interactive!$C$7)</f>
        <v>4.1418219571134854E-2</v>
      </c>
      <c r="AS245">
        <f>VLOOKUP($A245,raw[],45,FALSE)*(1-interactive!$C$7)</f>
        <v>6.3151735170444395E-2</v>
      </c>
      <c r="AT245">
        <f>VLOOKUP($A245,raw[],46,FALSE)*(1-interactive!$C$7)</f>
        <v>9.0931169316726429E-2</v>
      </c>
      <c r="AU245">
        <f>VLOOKUP($A245,raw[],47,FALSE)*(1-interactive!$C$7)</f>
        <v>0.11934259930255435</v>
      </c>
      <c r="AV245">
        <f>VLOOKUP($A245,raw[],48,FALSE)*(1-interactive!$C$7)</f>
        <v>0.14596324174548639</v>
      </c>
      <c r="AW245">
        <f>VLOOKUP($A245,raw[],49,FALSE)*(1-interactive!$C$7)</f>
        <v>0.16609461267921038</v>
      </c>
      <c r="AX245">
        <f>VLOOKUP($A245,raw[],50,FALSE)*(1-interactive!$C$7)</f>
        <v>66.545599999999993</v>
      </c>
    </row>
    <row r="246" spans="1:50" x14ac:dyDescent="0.25">
      <c r="A246" t="s">
        <v>436</v>
      </c>
      <c r="B246" t="s">
        <v>437</v>
      </c>
      <c r="C246">
        <v>686</v>
      </c>
      <c r="D246" t="s">
        <v>207</v>
      </c>
      <c r="E246" t="s">
        <v>235</v>
      </c>
      <c r="F246" t="s">
        <v>211</v>
      </c>
      <c r="G246" t="s">
        <v>212</v>
      </c>
      <c r="J246">
        <f>VLOOKUP(raw_lb[[#This Row],[setting]],raw[],10,FALSE)*(1-interactive!$C$7)</f>
        <v>0.77615000000000001</v>
      </c>
      <c r="K246">
        <f>VLOOKUP(raw_lb[[#This Row],[setting]],raw[],11,FALSE)*(1-interactive!$C$7)</f>
        <v>0.81699999999999995</v>
      </c>
      <c r="L246">
        <f>VLOOKUP(raw_lb[[#This Row],[setting]],raw[],12,FALSE)*(1-interactive!$C$7)</f>
        <v>0.874</v>
      </c>
      <c r="M246">
        <v>6.7199999999999996E-2</v>
      </c>
      <c r="N246">
        <v>0.155</v>
      </c>
      <c r="O246">
        <v>7.0000000000000007E-2</v>
      </c>
      <c r="P246">
        <v>1E-3</v>
      </c>
      <c r="Q246">
        <v>0.79304604537093804</v>
      </c>
      <c r="R246">
        <v>7.8539460453709395</v>
      </c>
      <c r="S246">
        <v>38.314113860912208</v>
      </c>
      <c r="T246">
        <v>38.959577863613234</v>
      </c>
      <c r="U246">
        <v>38.66319443694384</v>
      </c>
      <c r="V246">
        <v>1.1462569985498359</v>
      </c>
      <c r="W246">
        <v>5.7347569985498357</v>
      </c>
      <c r="X246">
        <v>0.67484444359140672</v>
      </c>
      <c r="Y246">
        <v>5.2633444435914063</v>
      </c>
      <c r="Z246">
        <v>5.2611156128920502</v>
      </c>
      <c r="AA246">
        <v>1.2917224855961631</v>
      </c>
      <c r="AB246">
        <v>5.8802224855961631</v>
      </c>
      <c r="AC246">
        <f>VLOOKUP($A246,raw[],29,FALSE)*(1-interactive!$C$7)</f>
        <v>3.111687000000006E-2</v>
      </c>
      <c r="AD246">
        <f>VLOOKUP($A246,raw[],30,FALSE)*(1-interactive!$C$7)</f>
        <v>2.9159933197924655E-3</v>
      </c>
      <c r="AE246">
        <f>VLOOKUP($A246,raw[],31,FALSE)*(1-interactive!$C$7)</f>
        <v>1.1750940099428989E-3</v>
      </c>
      <c r="AF246">
        <f>VLOOKUP($A246,raw[],32,FALSE)*(1-interactive!$C$7)</f>
        <v>8.2199236385703111E-4</v>
      </c>
      <c r="AG246">
        <f>VLOOKUP($A246,raw[],33,FALSE)*(1-interactive!$C$7)</f>
        <v>1.2796047759410546E-3</v>
      </c>
      <c r="AH246">
        <f>VLOOKUP($A246,raw[],34,FALSE)*(1-interactive!$C$7)</f>
        <v>1.860632310374144E-3</v>
      </c>
      <c r="AI246">
        <f>VLOOKUP($A246,raw[],35,FALSE)*(1-interactive!$C$7)</f>
        <v>2.0202370351180255E-3</v>
      </c>
      <c r="AJ246">
        <f>VLOOKUP($A246,raw[],36,FALSE)*(1-interactive!$C$7)</f>
        <v>2.3573792177220545E-3</v>
      </c>
      <c r="AK246">
        <f>VLOOKUP($A246,raw[],37,FALSE)*(1-interactive!$C$7)</f>
        <v>2.8242294124635543E-3</v>
      </c>
      <c r="AL246">
        <f>VLOOKUP($A246,raw[],38,FALSE)*(1-interactive!$C$7)</f>
        <v>3.7333530892915859E-3</v>
      </c>
      <c r="AM246">
        <f>VLOOKUP($A246,raw[],39,FALSE)*(1-interactive!$C$7)</f>
        <v>4.9818261665522381E-3</v>
      </c>
      <c r="AN246">
        <f>VLOOKUP($A246,raw[],40,FALSE)*(1-interactive!$C$7)</f>
        <v>7.3330938425061436E-3</v>
      </c>
      <c r="AO246">
        <f>VLOOKUP($A246,raw[],41,FALSE)*(1-interactive!$C$7)</f>
        <v>1.0725791472641456E-2</v>
      </c>
      <c r="AP246">
        <f>VLOOKUP($A246,raw[],42,FALSE)*(1-interactive!$C$7)</f>
        <v>1.6828439169073915E-2</v>
      </c>
      <c r="AQ246">
        <f>VLOOKUP($A246,raw[],43,FALSE)*(1-interactive!$C$7)</f>
        <v>2.6590390680427133E-2</v>
      </c>
      <c r="AR246">
        <f>VLOOKUP($A246,raw[],44,FALSE)*(1-interactive!$C$7)</f>
        <v>4.4210584817222745E-2</v>
      </c>
      <c r="AS246">
        <f>VLOOKUP($A246,raw[],45,FALSE)*(1-interactive!$C$7)</f>
        <v>7.101185657593953E-2</v>
      </c>
      <c r="AT246">
        <f>VLOOKUP($A246,raw[],46,FALSE)*(1-interactive!$C$7)</f>
        <v>0.10593784157911811</v>
      </c>
      <c r="AU246">
        <f>VLOOKUP($A246,raw[],47,FALSE)*(1-interactive!$C$7)</f>
        <v>0.14003339308619589</v>
      </c>
      <c r="AV246">
        <f>VLOOKUP($A246,raw[],48,FALSE)*(1-interactive!$C$7)</f>
        <v>0.16485553669444136</v>
      </c>
      <c r="AW246">
        <f>VLOOKUP($A246,raw[],49,FALSE)*(1-interactive!$C$7)</f>
        <v>0.17716117308895737</v>
      </c>
      <c r="AX246">
        <f>VLOOKUP($A246,raw[],50,FALSE)*(1-interactive!$C$7)</f>
        <v>64.096499999999992</v>
      </c>
    </row>
    <row r="247" spans="1:50" x14ac:dyDescent="0.25">
      <c r="A247" t="s">
        <v>438</v>
      </c>
      <c r="B247" t="s">
        <v>439</v>
      </c>
      <c r="C247">
        <v>688</v>
      </c>
      <c r="D247" t="s">
        <v>201</v>
      </c>
      <c r="E247" t="s">
        <v>202</v>
      </c>
      <c r="F247" t="s">
        <v>203</v>
      </c>
      <c r="G247" t="s">
        <v>204</v>
      </c>
      <c r="J247">
        <f>VLOOKUP(raw_lb[[#This Row],[setting]],raw[],10,FALSE)*(1-interactive!$C$7)</f>
        <v>0.93289999999999995</v>
      </c>
      <c r="K247">
        <f>VLOOKUP(raw_lb[[#This Row],[setting]],raw[],11,FALSE)*(1-interactive!$C$7)</f>
        <v>0.9405</v>
      </c>
      <c r="L247">
        <f>VLOOKUP(raw_lb[[#This Row],[setting]],raw[],12,FALSE)*(1-interactive!$C$7)</f>
        <v>0.82650000000000001</v>
      </c>
      <c r="M247">
        <v>1.1399999999999999E-2</v>
      </c>
      <c r="N247">
        <v>0.16329999999999997</v>
      </c>
      <c r="O247">
        <v>0.7</v>
      </c>
      <c r="P247">
        <v>0.05</v>
      </c>
      <c r="Q247">
        <v>1.84989765825101</v>
      </c>
      <c r="R247">
        <v>8.9107976582510116</v>
      </c>
      <c r="S247">
        <v>48.891043500049392</v>
      </c>
      <c r="T247">
        <v>54.491375377766218</v>
      </c>
      <c r="U247">
        <v>51.919821355454019</v>
      </c>
      <c r="V247">
        <v>2.6871158694920805</v>
      </c>
      <c r="W247">
        <v>6.5536158694920807</v>
      </c>
      <c r="X247">
        <v>2.2092917794397859</v>
      </c>
      <c r="Y247">
        <v>6.0757917794397862</v>
      </c>
      <c r="Z247">
        <v>6.0694223393082858</v>
      </c>
      <c r="AA247">
        <v>2.8523655219709063</v>
      </c>
      <c r="AB247">
        <v>6.7188655219709066</v>
      </c>
      <c r="AC247">
        <f>VLOOKUP($A247,raw[],29,FALSE)*(1-interactive!$C$7)</f>
        <v>4.6545534999999439E-3</v>
      </c>
      <c r="AD247">
        <f>VLOOKUP($A247,raw[],30,FALSE)*(1-interactive!$C$7)</f>
        <v>1.6229755674822372E-4</v>
      </c>
      <c r="AE247">
        <f>VLOOKUP($A247,raw[],31,FALSE)*(1-interactive!$C$7)</f>
        <v>9.516236220641923E-5</v>
      </c>
      <c r="AF247">
        <f>VLOOKUP($A247,raw[],32,FALSE)*(1-interactive!$C$7)</f>
        <v>1.1113956180081989E-4</v>
      </c>
      <c r="AG247">
        <f>VLOOKUP($A247,raw[],33,FALSE)*(1-interactive!$C$7)</f>
        <v>2.8667909321492886E-4</v>
      </c>
      <c r="AH247">
        <f>VLOOKUP($A247,raw[],34,FALSE)*(1-interactive!$C$7)</f>
        <v>3.9452535101802965E-4</v>
      </c>
      <c r="AI247">
        <f>VLOOKUP($A247,raw[],35,FALSE)*(1-interactive!$C$7)</f>
        <v>5.0708887408226549E-4</v>
      </c>
      <c r="AJ247">
        <f>VLOOKUP($A247,raw[],36,FALSE)*(1-interactive!$C$7)</f>
        <v>7.3295064639645362E-4</v>
      </c>
      <c r="AK247">
        <f>VLOOKUP($A247,raw[],37,FALSE)*(1-interactive!$C$7)</f>
        <v>1.0248119797782351E-3</v>
      </c>
      <c r="AL247">
        <f>VLOOKUP($A247,raw[],38,FALSE)*(1-interactive!$C$7)</f>
        <v>1.7265433207255608E-3</v>
      </c>
      <c r="AM247">
        <f>VLOOKUP($A247,raw[],39,FALSE)*(1-interactive!$C$7)</f>
        <v>3.0307545606923147E-3</v>
      </c>
      <c r="AN247">
        <f>VLOOKUP($A247,raw[],40,FALSE)*(1-interactive!$C$7)</f>
        <v>5.3338871583575205E-3</v>
      </c>
      <c r="AO247">
        <f>VLOOKUP($A247,raw[],41,FALSE)*(1-interactive!$C$7)</f>
        <v>8.7044697097083505E-3</v>
      </c>
      <c r="AP247">
        <f>VLOOKUP($A247,raw[],42,FALSE)*(1-interactive!$C$7)</f>
        <v>1.3481806801085088E-2</v>
      </c>
      <c r="AQ247">
        <f>VLOOKUP($A247,raw[],43,FALSE)*(1-interactive!$C$7)</f>
        <v>1.9837759073135116E-2</v>
      </c>
      <c r="AR247">
        <f>VLOOKUP($A247,raw[],44,FALSE)*(1-interactive!$C$7)</f>
        <v>3.0225607410525018E-2</v>
      </c>
      <c r="AS247">
        <f>VLOOKUP($A247,raw[],45,FALSE)*(1-interactive!$C$7)</f>
        <v>5.0822687404702929E-2</v>
      </c>
      <c r="AT247">
        <f>VLOOKUP($A247,raw[],46,FALSE)*(1-interactive!$C$7)</f>
        <v>8.1507867884061447E-2</v>
      </c>
      <c r="AU247">
        <f>VLOOKUP($A247,raw[],47,FALSE)*(1-interactive!$C$7)</f>
        <v>0.11622493860949565</v>
      </c>
      <c r="AV247">
        <f>VLOOKUP($A247,raw[],48,FALSE)*(1-interactive!$C$7)</f>
        <v>0.15229472501231289</v>
      </c>
      <c r="AW247">
        <f>VLOOKUP($A247,raw[],49,FALSE)*(1-interactive!$C$7)</f>
        <v>0.17340252987728902</v>
      </c>
      <c r="AX247">
        <f>VLOOKUP($A247,raw[],50,FALSE)*(1-interactive!$C$7)</f>
        <v>71.983400000000003</v>
      </c>
    </row>
    <row r="248" spans="1:50" x14ac:dyDescent="0.25">
      <c r="A248" t="s">
        <v>440</v>
      </c>
      <c r="B248" t="s">
        <v>441</v>
      </c>
      <c r="C248">
        <v>694</v>
      </c>
      <c r="D248" t="s">
        <v>207</v>
      </c>
      <c r="E248" t="s">
        <v>235</v>
      </c>
      <c r="F248" t="s">
        <v>211</v>
      </c>
      <c r="G248" t="s">
        <v>198</v>
      </c>
      <c r="J248">
        <f>VLOOKUP(raw_lb[[#This Row],[setting]],raw[],10,FALSE)*(1-interactive!$C$7)</f>
        <v>0.7923</v>
      </c>
      <c r="K248">
        <f>VLOOKUP(raw_lb[[#This Row],[setting]],raw[],11,FALSE)*(1-interactive!$C$7)</f>
        <v>0</v>
      </c>
      <c r="L248">
        <f>VLOOKUP(raw_lb[[#This Row],[setting]],raw[],12,FALSE)*(1-interactive!$C$7)</f>
        <v>0.86449999999999994</v>
      </c>
      <c r="M248">
        <v>6.9500000000000006E-2</v>
      </c>
      <c r="N248">
        <v>0.155</v>
      </c>
      <c r="O248">
        <v>7.0000000000000007E-2</v>
      </c>
      <c r="P248">
        <v>1E-3</v>
      </c>
      <c r="Q248">
        <v>0.620700907029478</v>
      </c>
      <c r="R248">
        <v>7.6816009070294786</v>
      </c>
      <c r="S248">
        <v>37.36093462904477</v>
      </c>
      <c r="T248">
        <v>37.600001777113079</v>
      </c>
      <c r="U248">
        <v>37.49022719595586</v>
      </c>
      <c r="V248">
        <v>1.3071006109922567</v>
      </c>
      <c r="W248">
        <v>5.8956006109922567</v>
      </c>
      <c r="X248">
        <v>0.83735668620459547</v>
      </c>
      <c r="Y248">
        <v>5.4258566862045949</v>
      </c>
      <c r="Z248">
        <v>5.4247402387328343</v>
      </c>
      <c r="AA248">
        <v>1.4474171820830717</v>
      </c>
      <c r="AB248">
        <v>6.0359171820830717</v>
      </c>
      <c r="AC248">
        <f>VLOOKUP($A248,raw[],29,FALSE)*(1-interactive!$C$7)</f>
        <v>7.6752390499999934E-2</v>
      </c>
      <c r="AD248">
        <f>VLOOKUP($A248,raw[],30,FALSE)*(1-interactive!$C$7)</f>
        <v>7.6467460830764618E-3</v>
      </c>
      <c r="AE248">
        <f>VLOOKUP($A248,raw[],31,FALSE)*(1-interactive!$C$7)</f>
        <v>3.3827600632783616E-3</v>
      </c>
      <c r="AF248">
        <f>VLOOKUP($A248,raw[],32,FALSE)*(1-interactive!$C$7)</f>
        <v>2.4853976790811519E-3</v>
      </c>
      <c r="AG248">
        <f>VLOOKUP($A248,raw[],33,FALSE)*(1-interactive!$C$7)</f>
        <v>4.0899764003664782E-3</v>
      </c>
      <c r="AH248">
        <f>VLOOKUP($A248,raw[],34,FALSE)*(1-interactive!$C$7)</f>
        <v>5.6924300919248081E-3</v>
      </c>
      <c r="AI248">
        <f>VLOOKUP($A248,raw[],35,FALSE)*(1-interactive!$C$7)</f>
        <v>6.2497589038089437E-3</v>
      </c>
      <c r="AJ248">
        <f>VLOOKUP($A248,raw[],36,FALSE)*(1-interactive!$C$7)</f>
        <v>6.8730133742891941E-3</v>
      </c>
      <c r="AK248">
        <f>VLOOKUP($A248,raw[],37,FALSE)*(1-interactive!$C$7)</f>
        <v>7.9329412404796525E-3</v>
      </c>
      <c r="AL248">
        <f>VLOOKUP($A248,raw[],38,FALSE)*(1-interactive!$C$7)</f>
        <v>9.3906272148045634E-3</v>
      </c>
      <c r="AM248">
        <f>VLOOKUP($A248,raw[],39,FALSE)*(1-interactive!$C$7)</f>
        <v>1.1518053437633182E-2</v>
      </c>
      <c r="AN248">
        <f>VLOOKUP($A248,raw[],40,FALSE)*(1-interactive!$C$7)</f>
        <v>1.5076110394917299E-2</v>
      </c>
      <c r="AO248">
        <f>VLOOKUP($A248,raw[],41,FALSE)*(1-interactive!$C$7)</f>
        <v>2.0050994661359373E-2</v>
      </c>
      <c r="AP248">
        <f>VLOOKUP($A248,raw[],42,FALSE)*(1-interactive!$C$7)</f>
        <v>2.8237585265538979E-2</v>
      </c>
      <c r="AQ248">
        <f>VLOOKUP($A248,raw[],43,FALSE)*(1-interactive!$C$7)</f>
        <v>3.9947861400672274E-2</v>
      </c>
      <c r="AR248">
        <f>VLOOKUP($A248,raw[],44,FALSE)*(1-interactive!$C$7)</f>
        <v>5.7525340094491173E-2</v>
      </c>
      <c r="AS248">
        <f>VLOOKUP($A248,raw[],45,FALSE)*(1-interactive!$C$7)</f>
        <v>8.0334510025091593E-2</v>
      </c>
      <c r="AT248">
        <f>VLOOKUP($A248,raw[],46,FALSE)*(1-interactive!$C$7)</f>
        <v>0.10712307071286463</v>
      </c>
      <c r="AU248">
        <f>VLOOKUP($A248,raw[],47,FALSE)*(1-interactive!$C$7)</f>
        <v>0.13161578041580091</v>
      </c>
      <c r="AV248">
        <f>VLOOKUP($A248,raw[],48,FALSE)*(1-interactive!$C$7)</f>
        <v>0.15301720214699877</v>
      </c>
      <c r="AW248">
        <f>VLOOKUP($A248,raw[],49,FALSE)*(1-interactive!$C$7)</f>
        <v>0.16959316837589275</v>
      </c>
      <c r="AX248">
        <f>VLOOKUP($A248,raw[],50,FALSE)*(1-interactive!$C$7)</f>
        <v>51.362699999999997</v>
      </c>
    </row>
    <row r="249" spans="1:50" x14ac:dyDescent="0.25">
      <c r="A249" t="s">
        <v>442</v>
      </c>
      <c r="B249" t="s">
        <v>443</v>
      </c>
      <c r="C249">
        <v>90</v>
      </c>
      <c r="D249" t="s">
        <v>260</v>
      </c>
      <c r="E249" t="s">
        <v>309</v>
      </c>
      <c r="F249" t="s">
        <v>262</v>
      </c>
      <c r="G249" t="s">
        <v>212</v>
      </c>
      <c r="J249">
        <f>VLOOKUP(raw_lb[[#This Row],[setting]],raw[],10,FALSE)*(1-interactive!$C$7)</f>
        <v>0.80274999999999996</v>
      </c>
      <c r="K249">
        <f>VLOOKUP(raw_lb[[#This Row],[setting]],raw[],11,FALSE)*(1-interactive!$C$7)</f>
        <v>0.66499999999999992</v>
      </c>
      <c r="L249">
        <f>VLOOKUP(raw_lb[[#This Row],[setting]],raw[],12,FALSE)*(1-interactive!$C$7)</f>
        <v>0.8929999999999999</v>
      </c>
      <c r="M249">
        <v>7.8299999999999995E-2</v>
      </c>
      <c r="N249">
        <v>0.1832</v>
      </c>
      <c r="O249">
        <v>0.7</v>
      </c>
      <c r="P249">
        <v>0.05</v>
      </c>
      <c r="Q249">
        <v>1.246301831362076</v>
      </c>
      <c r="R249">
        <v>8.307201831362077</v>
      </c>
      <c r="S249">
        <v>40.512073288903139</v>
      </c>
      <c r="T249">
        <v>42.065594557870774</v>
      </c>
      <c r="U249">
        <v>41.35225042841715</v>
      </c>
      <c r="V249">
        <v>2.2428881860910699</v>
      </c>
      <c r="W249">
        <v>2.8413881860910699</v>
      </c>
      <c r="X249">
        <v>1.7697482009686032</v>
      </c>
      <c r="Y249">
        <v>2.368248200968603</v>
      </c>
      <c r="Z249">
        <v>2.3649937799330751</v>
      </c>
      <c r="AA249">
        <v>2.3936840290721419</v>
      </c>
      <c r="AB249">
        <v>2.992184029072142</v>
      </c>
      <c r="AC249">
        <f>VLOOKUP($A249,raw[],29,FALSE)*(1-interactive!$C$7)</f>
        <v>1.4683589500000031E-2</v>
      </c>
      <c r="AD249">
        <f>VLOOKUP($A249,raw[],30,FALSE)*(1-interactive!$C$7)</f>
        <v>1.1258062987338127E-3</v>
      </c>
      <c r="AE249">
        <f>VLOOKUP($A249,raw[],31,FALSE)*(1-interactive!$C$7)</f>
        <v>4.12840547210927E-4</v>
      </c>
      <c r="AF249">
        <f>VLOOKUP($A249,raw[],32,FALSE)*(1-interactive!$C$7)</f>
        <v>3.8020695527219968E-4</v>
      </c>
      <c r="AG249">
        <f>VLOOKUP($A249,raw[],33,FALSE)*(1-interactive!$C$7)</f>
        <v>8.3445199849877655E-4</v>
      </c>
      <c r="AH249">
        <f>VLOOKUP($A249,raw[],34,FALSE)*(1-interactive!$C$7)</f>
        <v>1.0937191795977778E-3</v>
      </c>
      <c r="AI249">
        <f>VLOOKUP($A249,raw[],35,FALSE)*(1-interactive!$C$7)</f>
        <v>1.1538798804057791E-3</v>
      </c>
      <c r="AJ249">
        <f>VLOOKUP($A249,raw[],36,FALSE)*(1-interactive!$C$7)</f>
        <v>1.3713489312783555E-3</v>
      </c>
      <c r="AK249">
        <f>VLOOKUP($A249,raw[],37,FALSE)*(1-interactive!$C$7)</f>
        <v>1.8467632728515356E-3</v>
      </c>
      <c r="AL249">
        <f>VLOOKUP($A249,raw[],38,FALSE)*(1-interactive!$C$7)</f>
        <v>2.65993147666122E-3</v>
      </c>
      <c r="AM249">
        <f>VLOOKUP($A249,raw[],39,FALSE)*(1-interactive!$C$7)</f>
        <v>4.098586930484263E-3</v>
      </c>
      <c r="AN249">
        <f>VLOOKUP($A249,raw[],40,FALSE)*(1-interactive!$C$7)</f>
        <v>6.3713836341642138E-3</v>
      </c>
      <c r="AO249">
        <f>VLOOKUP($A249,raw[],41,FALSE)*(1-interactive!$C$7)</f>
        <v>9.9450535883332282E-3</v>
      </c>
      <c r="AP249">
        <f>VLOOKUP($A249,raw[],42,FALSE)*(1-interactive!$C$7)</f>
        <v>1.4817790395592147E-2</v>
      </c>
      <c r="AQ249">
        <f>VLOOKUP($A249,raw[],43,FALSE)*(1-interactive!$C$7)</f>
        <v>2.1849274250210899E-2</v>
      </c>
      <c r="AR249">
        <f>VLOOKUP($A249,raw[],44,FALSE)*(1-interactive!$C$7)</f>
        <v>3.347467430050096E-2</v>
      </c>
      <c r="AS249">
        <f>VLOOKUP($A249,raw[],45,FALSE)*(1-interactive!$C$7)</f>
        <v>5.292550992805261E-2</v>
      </c>
      <c r="AT249">
        <f>VLOOKUP($A249,raw[],46,FALSE)*(1-interactive!$C$7)</f>
        <v>7.9132952943306009E-2</v>
      </c>
      <c r="AU249">
        <f>VLOOKUP($A249,raw[],47,FALSE)*(1-interactive!$C$7)</f>
        <v>0.11064353029127313</v>
      </c>
      <c r="AV249">
        <f>VLOOKUP($A249,raw[],48,FALSE)*(1-interactive!$C$7)</f>
        <v>0.13961609617554133</v>
      </c>
      <c r="AW249">
        <f>VLOOKUP($A249,raw[],49,FALSE)*(1-interactive!$C$7)</f>
        <v>0.16169968345910765</v>
      </c>
      <c r="AX249">
        <f>VLOOKUP($A249,raw[],50,FALSE)*(1-interactive!$C$7)</f>
        <v>69.134349999999998</v>
      </c>
    </row>
    <row r="250" spans="1:50" x14ac:dyDescent="0.25">
      <c r="A250" t="s">
        <v>444</v>
      </c>
      <c r="B250" t="s">
        <v>445</v>
      </c>
      <c r="C250">
        <v>706</v>
      </c>
      <c r="D250" t="s">
        <v>196</v>
      </c>
      <c r="E250" t="s">
        <v>255</v>
      </c>
      <c r="F250" t="s">
        <v>211</v>
      </c>
      <c r="G250" t="s">
        <v>198</v>
      </c>
      <c r="J250">
        <f>VLOOKUP(raw_lb[[#This Row],[setting]],raw[],10,FALSE)*(1-interactive!$C$7)</f>
        <v>0.19664999999999999</v>
      </c>
      <c r="K250">
        <f>VLOOKUP(raw_lb[[#This Row],[setting]],raw[],11,FALSE)*(1-interactive!$C$7)</f>
        <v>0</v>
      </c>
      <c r="L250">
        <f>VLOOKUP(raw_lb[[#This Row],[setting]],raw[],12,FALSE)*(1-interactive!$C$7)</f>
        <v>0.39899999999999997</v>
      </c>
      <c r="M250">
        <v>0.11710000000000001</v>
      </c>
      <c r="N250">
        <v>0.15560000000000002</v>
      </c>
      <c r="O250">
        <v>7.0000000000000007E-2</v>
      </c>
      <c r="P250">
        <v>1E-3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0.54281962360975722</v>
      </c>
      <c r="W250">
        <v>5.1313196236097571</v>
      </c>
      <c r="X250">
        <v>7.3749752450184003E-2</v>
      </c>
      <c r="Y250">
        <v>4.662249752450184</v>
      </c>
      <c r="Z250">
        <v>4.6615380860844304</v>
      </c>
      <c r="AA250">
        <v>0.68105625779104362</v>
      </c>
      <c r="AB250">
        <v>5.2695562577910433</v>
      </c>
      <c r="AC250">
        <f>VLOOKUP($A250,raw[],29,FALSE)*(1-interactive!$C$7)</f>
        <v>6.5857514999999964E-2</v>
      </c>
      <c r="AD250">
        <f>VLOOKUP($A250,raw[],30,FALSE)*(1-interactive!$C$7)</f>
        <v>1.1677759227348998E-2</v>
      </c>
      <c r="AE250">
        <f>VLOOKUP($A250,raw[],31,FALSE)*(1-interactive!$C$7)</f>
        <v>3.8513783351493153E-3</v>
      </c>
      <c r="AF250">
        <f>VLOOKUP($A250,raw[],32,FALSE)*(1-interactive!$C$7)</f>
        <v>2.7676980886938434E-3</v>
      </c>
      <c r="AG250">
        <f>VLOOKUP($A250,raw[],33,FALSE)*(1-interactive!$C$7)</f>
        <v>2.942808432734991E-3</v>
      </c>
      <c r="AH250">
        <f>VLOOKUP($A250,raw[],34,FALSE)*(1-interactive!$C$7)</f>
        <v>3.8709922255325269E-3</v>
      </c>
      <c r="AI250">
        <f>VLOOKUP($A250,raw[],35,FALSE)*(1-interactive!$C$7)</f>
        <v>4.6810245395295033E-3</v>
      </c>
      <c r="AJ250">
        <f>VLOOKUP($A250,raw[],36,FALSE)*(1-interactive!$C$7)</f>
        <v>5.5125376709713701E-3</v>
      </c>
      <c r="AK250">
        <f>VLOOKUP($A250,raw[],37,FALSE)*(1-interactive!$C$7)</f>
        <v>6.7818911778017238E-3</v>
      </c>
      <c r="AL250">
        <f>VLOOKUP($A250,raw[],38,FALSE)*(1-interactive!$C$7)</f>
        <v>7.6960582100869066E-3</v>
      </c>
      <c r="AM250">
        <f>VLOOKUP($A250,raw[],39,FALSE)*(1-interactive!$C$7)</f>
        <v>8.86515447684867E-3</v>
      </c>
      <c r="AN250">
        <f>VLOOKUP($A250,raw[],40,FALSE)*(1-interactive!$C$7)</f>
        <v>1.1012151722422462E-2</v>
      </c>
      <c r="AO250">
        <f>VLOOKUP($A250,raw[],41,FALSE)*(1-interactive!$C$7)</f>
        <v>1.4752872439837198E-2</v>
      </c>
      <c r="AP250">
        <f>VLOOKUP($A250,raw[],42,FALSE)*(1-interactive!$C$7)</f>
        <v>2.1293955313521181E-2</v>
      </c>
      <c r="AQ250">
        <f>VLOOKUP($A250,raw[],43,FALSE)*(1-interactive!$C$7)</f>
        <v>3.1877972823743939E-2</v>
      </c>
      <c r="AR250">
        <f>VLOOKUP($A250,raw[],44,FALSE)*(1-interactive!$C$7)</f>
        <v>4.7904636138655983E-2</v>
      </c>
      <c r="AS250">
        <f>VLOOKUP($A250,raw[],45,FALSE)*(1-interactive!$C$7)</f>
        <v>7.002960184351141E-2</v>
      </c>
      <c r="AT250">
        <f>VLOOKUP($A250,raw[],46,FALSE)*(1-interactive!$C$7)</f>
        <v>9.720363087784227E-2</v>
      </c>
      <c r="AU250">
        <f>VLOOKUP($A250,raw[],47,FALSE)*(1-interactive!$C$7)</f>
        <v>0.12548940726041705</v>
      </c>
      <c r="AV250">
        <f>VLOOKUP($A250,raw[],48,FALSE)*(1-interactive!$C$7)</f>
        <v>0.15012461204211114</v>
      </c>
      <c r="AW250">
        <f>VLOOKUP($A250,raw[],49,FALSE)*(1-interactive!$C$7)</f>
        <v>0.16680832653356581</v>
      </c>
      <c r="AX250">
        <f>VLOOKUP($A250,raw[],50,FALSE)*(1-interactive!$C$7)</f>
        <v>54.09395</v>
      </c>
    </row>
    <row r="251" spans="1:50" x14ac:dyDescent="0.25">
      <c r="A251" t="s">
        <v>446</v>
      </c>
      <c r="B251" t="s">
        <v>447</v>
      </c>
      <c r="C251">
        <v>710</v>
      </c>
      <c r="D251" t="s">
        <v>207</v>
      </c>
      <c r="E251" t="s">
        <v>245</v>
      </c>
      <c r="F251" t="s">
        <v>211</v>
      </c>
      <c r="G251" t="s">
        <v>204</v>
      </c>
      <c r="J251">
        <f>VLOOKUP(raw_lb[[#This Row],[setting]],raw[],10,FALSE)*(1-interactive!$C$7)</f>
        <v>0.91105000000000003</v>
      </c>
      <c r="K251">
        <f>VLOOKUP(raw_lb[[#This Row],[setting]],raw[],11,FALSE)*(1-interactive!$C$7)</f>
        <v>0</v>
      </c>
      <c r="L251">
        <f>VLOOKUP(raw_lb[[#This Row],[setting]],raw[],12,FALSE)*(1-interactive!$C$7)</f>
        <v>0.79799999999999993</v>
      </c>
      <c r="M251">
        <v>8.3000000000000004E-2</v>
      </c>
      <c r="N251">
        <v>0.15109999999999998</v>
      </c>
      <c r="O251">
        <v>7.0000000000000007E-2</v>
      </c>
      <c r="P251">
        <v>1E-3</v>
      </c>
      <c r="Q251">
        <v>2.4506402390438198</v>
      </c>
      <c r="R251">
        <v>9.5115402390438213</v>
      </c>
      <c r="S251">
        <v>51.937698629714333</v>
      </c>
      <c r="T251">
        <v>58.811042501668908</v>
      </c>
      <c r="U251">
        <v>55.654948279648337</v>
      </c>
      <c r="V251">
        <v>0.93924714293708478</v>
      </c>
      <c r="W251">
        <v>5.5277471429370841</v>
      </c>
      <c r="X251">
        <v>0.46395735205449429</v>
      </c>
      <c r="Y251">
        <v>5.0524573520544944</v>
      </c>
      <c r="Z251">
        <v>5.0476373240355512</v>
      </c>
      <c r="AA251">
        <v>1.0966766722636814</v>
      </c>
      <c r="AB251">
        <v>5.6851766722636814</v>
      </c>
      <c r="AC251">
        <f>VLOOKUP($A251,raw[],29,FALSE)*(1-interactive!$C$7)</f>
        <v>2.5881799999999944E-2</v>
      </c>
      <c r="AD251">
        <f>VLOOKUP($A251,raw[],30,FALSE)*(1-interactive!$C$7)</f>
        <v>2.0052225326803691E-3</v>
      </c>
      <c r="AE251">
        <f>VLOOKUP($A251,raw[],31,FALSE)*(1-interactive!$C$7)</f>
        <v>8.5670521390345813E-4</v>
      </c>
      <c r="AF251">
        <f>VLOOKUP($A251,raw[],32,FALSE)*(1-interactive!$C$7)</f>
        <v>7.1590802057603644E-4</v>
      </c>
      <c r="AG251">
        <f>VLOOKUP($A251,raw[],33,FALSE)*(1-interactive!$C$7)</f>
        <v>1.2177745262730978E-3</v>
      </c>
      <c r="AH251">
        <f>VLOOKUP($A251,raw[],34,FALSE)*(1-interactive!$C$7)</f>
        <v>2.1719848023595387E-3</v>
      </c>
      <c r="AI251">
        <f>VLOOKUP($A251,raw[],35,FALSE)*(1-interactive!$C$7)</f>
        <v>3.6356052316572573E-3</v>
      </c>
      <c r="AJ251">
        <f>VLOOKUP($A251,raw[],36,FALSE)*(1-interactive!$C$7)</f>
        <v>5.3058746903188857E-3</v>
      </c>
      <c r="AK251">
        <f>VLOOKUP($A251,raw[],37,FALSE)*(1-interactive!$C$7)</f>
        <v>7.7149869264891867E-3</v>
      </c>
      <c r="AL251">
        <f>VLOOKUP($A251,raw[],38,FALSE)*(1-interactive!$C$7)</f>
        <v>9.2883469239605707E-3</v>
      </c>
      <c r="AM251">
        <f>VLOOKUP($A251,raw[],39,FALSE)*(1-interactive!$C$7)</f>
        <v>1.1132349249735041E-2</v>
      </c>
      <c r="AN251">
        <f>VLOOKUP($A251,raw[],40,FALSE)*(1-interactive!$C$7)</f>
        <v>1.3512203087708882E-2</v>
      </c>
      <c r="AO251">
        <f>VLOOKUP($A251,raw[],41,FALSE)*(1-interactive!$C$7)</f>
        <v>1.6456196217257062E-2</v>
      </c>
      <c r="AP251">
        <f>VLOOKUP($A251,raw[],42,FALSE)*(1-interactive!$C$7)</f>
        <v>2.1792455848508953E-2</v>
      </c>
      <c r="AQ251">
        <f>VLOOKUP($A251,raw[],43,FALSE)*(1-interactive!$C$7)</f>
        <v>3.0643487379213699E-2</v>
      </c>
      <c r="AR251">
        <f>VLOOKUP($A251,raw[],44,FALSE)*(1-interactive!$C$7)</f>
        <v>4.4635844729056122E-2</v>
      </c>
      <c r="AS251">
        <f>VLOOKUP($A251,raw[],45,FALSE)*(1-interactive!$C$7)</f>
        <v>6.5405880135713718E-2</v>
      </c>
      <c r="AT251">
        <f>VLOOKUP($A251,raw[],46,FALSE)*(1-interactive!$C$7)</f>
        <v>9.7669693157544341E-2</v>
      </c>
      <c r="AU251">
        <f>VLOOKUP($A251,raw[],47,FALSE)*(1-interactive!$C$7)</f>
        <v>0.1364858504266154</v>
      </c>
      <c r="AV251">
        <f>VLOOKUP($A251,raw[],48,FALSE)*(1-interactive!$C$7)</f>
        <v>0.16697497205262757</v>
      </c>
      <c r="AW251">
        <f>VLOOKUP($A251,raw[],49,FALSE)*(1-interactive!$C$7)</f>
        <v>0.17795810144538451</v>
      </c>
      <c r="AX251">
        <f>VLOOKUP($A251,raw[],50,FALSE)*(1-interactive!$C$7)</f>
        <v>60.434249999999999</v>
      </c>
    </row>
    <row r="252" spans="1:50" x14ac:dyDescent="0.25">
      <c r="A252" t="s">
        <v>448</v>
      </c>
      <c r="B252" t="s">
        <v>449</v>
      </c>
      <c r="C252">
        <v>728</v>
      </c>
      <c r="D252" t="s">
        <v>207</v>
      </c>
      <c r="E252" t="s">
        <v>255</v>
      </c>
      <c r="F252" t="s">
        <v>211</v>
      </c>
      <c r="G252" t="s">
        <v>198</v>
      </c>
      <c r="J252">
        <f>VLOOKUP(raw_lb[[#This Row],[setting]],raw[],10,FALSE)*(1-interactive!$C$7)</f>
        <v>0.10925</v>
      </c>
      <c r="K252">
        <f>VLOOKUP(raw_lb[[#This Row],[setting]],raw[],11,FALSE)*(1-interactive!$C$7)</f>
        <v>0</v>
      </c>
      <c r="L252">
        <f>VLOOKUP(raw_lb[[#This Row],[setting]],raw[],12,FALSE)*(1-interactive!$C$7)</f>
        <v>0.46549999999999997</v>
      </c>
      <c r="M252">
        <v>0.15939999999999999</v>
      </c>
      <c r="N252">
        <v>0.15560000000000002</v>
      </c>
      <c r="O252">
        <v>7.0000000000000007E-2</v>
      </c>
      <c r="P252">
        <v>1E-3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f>VLOOKUP($A252,raw[],29,FALSE)*(1-interactive!$C$7)</f>
        <v>6.1171621000000016E-2</v>
      </c>
      <c r="AD252">
        <f>VLOOKUP($A252,raw[],30,FALSE)*(1-interactive!$C$7)</f>
        <v>8.6712651180436799E-3</v>
      </c>
      <c r="AE252">
        <f>VLOOKUP($A252,raw[],31,FALSE)*(1-interactive!$C$7)</f>
        <v>3.5763050605214764E-3</v>
      </c>
      <c r="AF252">
        <f>VLOOKUP($A252,raw[],32,FALSE)*(1-interactive!$C$7)</f>
        <v>2.1728720799050758E-3</v>
      </c>
      <c r="AG252">
        <f>VLOOKUP($A252,raw[],33,FALSE)*(1-interactive!$C$7)</f>
        <v>2.8020447582594774E-3</v>
      </c>
      <c r="AH252">
        <f>VLOOKUP($A252,raw[],34,FALSE)*(1-interactive!$C$7)</f>
        <v>3.8753182156445326E-3</v>
      </c>
      <c r="AI252">
        <f>VLOOKUP($A252,raw[],35,FALSE)*(1-interactive!$C$7)</f>
        <v>5.2189325118464905E-3</v>
      </c>
      <c r="AJ252">
        <f>VLOOKUP($A252,raw[],36,FALSE)*(1-interactive!$C$7)</f>
        <v>6.635539500066988E-3</v>
      </c>
      <c r="AK252">
        <f>VLOOKUP($A252,raw[],37,FALSE)*(1-interactive!$C$7)</f>
        <v>8.4895154661915485E-3</v>
      </c>
      <c r="AL252">
        <f>VLOOKUP($A252,raw[],38,FALSE)*(1-interactive!$C$7)</f>
        <v>9.2846157276175196E-3</v>
      </c>
      <c r="AM252">
        <f>VLOOKUP($A252,raw[],39,FALSE)*(1-interactive!$C$7)</f>
        <v>1.0297473676154431E-2</v>
      </c>
      <c r="AN252">
        <f>VLOOKUP($A252,raw[],40,FALSE)*(1-interactive!$C$7)</f>
        <v>1.2150369298608915E-2</v>
      </c>
      <c r="AO252">
        <f>VLOOKUP($A252,raw[],41,FALSE)*(1-interactive!$C$7)</f>
        <v>1.5009551886335295E-2</v>
      </c>
      <c r="AP252">
        <f>VLOOKUP($A252,raw[],42,FALSE)*(1-interactive!$C$7)</f>
        <v>2.1362885788828515E-2</v>
      </c>
      <c r="AQ252">
        <f>VLOOKUP($A252,raw[],43,FALSE)*(1-interactive!$C$7)</f>
        <v>3.0296012149999718E-2</v>
      </c>
      <c r="AR252">
        <f>VLOOKUP($A252,raw[],44,FALSE)*(1-interactive!$C$7)</f>
        <v>4.5832923055739917E-2</v>
      </c>
      <c r="AS252">
        <f>VLOOKUP($A252,raw[],45,FALSE)*(1-interactive!$C$7)</f>
        <v>6.7469218148868401E-2</v>
      </c>
      <c r="AT252">
        <f>VLOOKUP($A252,raw[],46,FALSE)*(1-interactive!$C$7)</f>
        <v>9.5892983202768164E-2</v>
      </c>
      <c r="AU252">
        <f>VLOOKUP($A252,raw[],47,FALSE)*(1-interactive!$C$7)</f>
        <v>0.12488665210768743</v>
      </c>
      <c r="AV252">
        <f>VLOOKUP($A252,raw[],48,FALSE)*(1-interactive!$C$7)</f>
        <v>0.14940095053639516</v>
      </c>
      <c r="AW252">
        <f>VLOOKUP($A252,raw[],49,FALSE)*(1-interactive!$C$7)</f>
        <v>0.1666959032673202</v>
      </c>
      <c r="AX252">
        <f>VLOOKUP($A252,raw[],50,FALSE)*(1-interactive!$C$7)</f>
        <v>54.553749999999994</v>
      </c>
    </row>
    <row r="253" spans="1:50" x14ac:dyDescent="0.25">
      <c r="A253" t="s">
        <v>450</v>
      </c>
      <c r="B253" t="s">
        <v>451</v>
      </c>
      <c r="C253">
        <v>144</v>
      </c>
      <c r="D253" t="s">
        <v>225</v>
      </c>
      <c r="E253" t="s">
        <v>261</v>
      </c>
      <c r="F253" t="s">
        <v>262</v>
      </c>
      <c r="G253" t="s">
        <v>204</v>
      </c>
      <c r="J253">
        <f>VLOOKUP(raw_lb[[#This Row],[setting]],raw[],10,FALSE)*(1-interactive!$C$7)</f>
        <v>0.94524999999999992</v>
      </c>
      <c r="K253">
        <f>VLOOKUP(raw_lb[[#This Row],[setting]],raw[],11,FALSE)*(1-interactive!$C$7)</f>
        <v>0</v>
      </c>
      <c r="L253">
        <f>VLOOKUP(raw_lb[[#This Row],[setting]],raw[],12,FALSE)*(1-interactive!$C$7)</f>
        <v>0.91199999999999992</v>
      </c>
      <c r="M253">
        <v>1.4999999999999999E-2</v>
      </c>
      <c r="N253">
        <v>0.18100000000000002</v>
      </c>
      <c r="O253">
        <v>0.7</v>
      </c>
      <c r="P253">
        <v>0.05</v>
      </c>
      <c r="Q253">
        <v>0.99576298342541403</v>
      </c>
      <c r="R253">
        <v>8.0566629834254151</v>
      </c>
      <c r="S253">
        <v>40.037150363659364</v>
      </c>
      <c r="T253">
        <v>41.473887562869621</v>
      </c>
      <c r="U253">
        <v>40.814168209747834</v>
      </c>
      <c r="V253">
        <v>2.0561043986242673</v>
      </c>
      <c r="W253">
        <v>2.6546043986242673</v>
      </c>
      <c r="X253">
        <v>1.5792460906940133</v>
      </c>
      <c r="Y253">
        <v>2.1777460906940131</v>
      </c>
      <c r="Z253">
        <v>2.171828061993736</v>
      </c>
      <c r="AA253">
        <v>2.2183739234122251</v>
      </c>
      <c r="AB253">
        <v>2.8168739234122251</v>
      </c>
      <c r="AC253">
        <f>VLOOKUP($A253,raw[],29,FALSE)*(1-interactive!$C$7)</f>
        <v>7.1946254999999794E-3</v>
      </c>
      <c r="AD253">
        <f>VLOOKUP($A253,raw[],30,FALSE)*(1-interactive!$C$7)</f>
        <v>2.4415606468311562E-4</v>
      </c>
      <c r="AE253">
        <f>VLOOKUP($A253,raw[],31,FALSE)*(1-interactive!$C$7)</f>
        <v>2.822020114514759E-4</v>
      </c>
      <c r="AF253">
        <f>VLOOKUP($A253,raw[],32,FALSE)*(1-interactive!$C$7)</f>
        <v>2.7588304981473951E-4</v>
      </c>
      <c r="AG253">
        <f>VLOOKUP($A253,raw[],33,FALSE)*(1-interactive!$C$7)</f>
        <v>5.2716389827397266E-4</v>
      </c>
      <c r="AH253">
        <f>VLOOKUP($A253,raw[],34,FALSE)*(1-interactive!$C$7)</f>
        <v>7.4947690038626609E-4</v>
      </c>
      <c r="AI253">
        <f>VLOOKUP($A253,raw[],35,FALSE)*(1-interactive!$C$7)</f>
        <v>8.1974363270996119E-4</v>
      </c>
      <c r="AJ253">
        <f>VLOOKUP($A253,raw[],36,FALSE)*(1-interactive!$C$7)</f>
        <v>9.3825429599690236E-4</v>
      </c>
      <c r="AK253">
        <f>VLOOKUP($A253,raw[],37,FALSE)*(1-interactive!$C$7)</f>
        <v>1.3496637957832491E-3</v>
      </c>
      <c r="AL253">
        <f>VLOOKUP($A253,raw[],38,FALSE)*(1-interactive!$C$7)</f>
        <v>1.9759902384875942E-3</v>
      </c>
      <c r="AM253">
        <f>VLOOKUP($A253,raw[],39,FALSE)*(1-interactive!$C$7)</f>
        <v>3.0471047906886349E-3</v>
      </c>
      <c r="AN253">
        <f>VLOOKUP($A253,raw[],40,FALSE)*(1-interactive!$C$7)</f>
        <v>4.6667085089100993E-3</v>
      </c>
      <c r="AO253">
        <f>VLOOKUP($A253,raw[],41,FALSE)*(1-interactive!$C$7)</f>
        <v>6.6270205020035758E-3</v>
      </c>
      <c r="AP253">
        <f>VLOOKUP($A253,raw[],42,FALSE)*(1-interactive!$C$7)</f>
        <v>9.4945732837154826E-3</v>
      </c>
      <c r="AQ253">
        <f>VLOOKUP($A253,raw[],43,FALSE)*(1-interactive!$C$7)</f>
        <v>1.6628943980885501E-2</v>
      </c>
      <c r="AR253">
        <f>VLOOKUP($A253,raw[],44,FALSE)*(1-interactive!$C$7)</f>
        <v>2.9885000752652619E-2</v>
      </c>
      <c r="AS253">
        <f>VLOOKUP($A253,raw[],45,FALSE)*(1-interactive!$C$7)</f>
        <v>4.0971398670609269E-2</v>
      </c>
      <c r="AT253">
        <f>VLOOKUP($A253,raw[],46,FALSE)*(1-interactive!$C$7)</f>
        <v>6.6444476314141784E-2</v>
      </c>
      <c r="AU253">
        <f>VLOOKUP($A253,raw[],47,FALSE)*(1-interactive!$C$7)</f>
        <v>0.10132736246097709</v>
      </c>
      <c r="AV253">
        <f>VLOOKUP($A253,raw[],48,FALSE)*(1-interactive!$C$7)</f>
        <v>0.13701320887060006</v>
      </c>
      <c r="AW253">
        <f>VLOOKUP($A253,raw[],49,FALSE)*(1-interactive!$C$7)</f>
        <v>0.16315585366536406</v>
      </c>
      <c r="AX253">
        <f>VLOOKUP($A253,raw[],50,FALSE)*(1-interactive!$C$7)</f>
        <v>72.888749999999987</v>
      </c>
    </row>
    <row r="254" spans="1:50" x14ac:dyDescent="0.25">
      <c r="A254" t="s">
        <v>452</v>
      </c>
      <c r="B254" t="s">
        <v>453</v>
      </c>
      <c r="C254">
        <v>729</v>
      </c>
      <c r="D254" t="s">
        <v>196</v>
      </c>
      <c r="E254" t="s">
        <v>255</v>
      </c>
      <c r="F254" t="s">
        <v>211</v>
      </c>
      <c r="G254" t="s">
        <v>212</v>
      </c>
      <c r="J254">
        <f>VLOOKUP(raw_lb[[#This Row],[setting]],raw[],10,FALSE)*(1-interactive!$C$7)</f>
        <v>0.26314999999999994</v>
      </c>
      <c r="K254">
        <f>VLOOKUP(raw_lb[[#This Row],[setting]],raw[],11,FALSE)*(1-interactive!$C$7)</f>
        <v>0</v>
      </c>
      <c r="L254">
        <f>VLOOKUP(raw_lb[[#This Row],[setting]],raw[],12,FALSE)*(1-interactive!$C$7)</f>
        <v>0.85499999999999998</v>
      </c>
      <c r="M254">
        <v>6.6000000000000003E-2</v>
      </c>
      <c r="N254">
        <v>0.15560000000000002</v>
      </c>
      <c r="O254">
        <v>7.0000000000000007E-2</v>
      </c>
      <c r="P254">
        <v>1E-3</v>
      </c>
      <c r="Q254">
        <v>0.84261486830926102</v>
      </c>
      <c r="R254">
        <v>7.9035148683092622</v>
      </c>
      <c r="S254">
        <v>38.759066442342444</v>
      </c>
      <c r="T254">
        <v>39.610313872222463</v>
      </c>
      <c r="U254">
        <v>39.219439045499996</v>
      </c>
      <c r="V254">
        <v>1.2152748114752887</v>
      </c>
      <c r="W254">
        <v>5.8037748114752885</v>
      </c>
      <c r="X254">
        <v>0.74514868648873189</v>
      </c>
      <c r="Y254">
        <v>5.3336486864887318</v>
      </c>
      <c r="Z254">
        <v>5.3322320239059628</v>
      </c>
      <c r="AA254">
        <v>1.3567707431798388</v>
      </c>
      <c r="AB254">
        <v>5.9452707431798384</v>
      </c>
      <c r="AC254">
        <f>VLOOKUP($A254,raw[],29,FALSE)*(1-interactive!$C$7)</f>
        <v>4.0731107500000002E-2</v>
      </c>
      <c r="AD254">
        <f>VLOOKUP($A254,raw[],30,FALSE)*(1-interactive!$C$7)</f>
        <v>5.2353937204554736E-3</v>
      </c>
      <c r="AE254">
        <f>VLOOKUP($A254,raw[],31,FALSE)*(1-interactive!$C$7)</f>
        <v>2.0583521720982036E-3</v>
      </c>
      <c r="AF254">
        <f>VLOOKUP($A254,raw[],32,FALSE)*(1-interactive!$C$7)</f>
        <v>1.5452142046884301E-3</v>
      </c>
      <c r="AG254">
        <f>VLOOKUP($A254,raw[],33,FALSE)*(1-interactive!$C$7)</f>
        <v>1.8227898441625253E-3</v>
      </c>
      <c r="AH254">
        <f>VLOOKUP($A254,raw[],34,FALSE)*(1-interactive!$C$7)</f>
        <v>2.4436091068750975E-3</v>
      </c>
      <c r="AI254">
        <f>VLOOKUP($A254,raw[],35,FALSE)*(1-interactive!$C$7)</f>
        <v>2.901166772051985E-3</v>
      </c>
      <c r="AJ254">
        <f>VLOOKUP($A254,raw[],36,FALSE)*(1-interactive!$C$7)</f>
        <v>3.369180053718519E-3</v>
      </c>
      <c r="AK254">
        <f>VLOOKUP($A254,raw[],37,FALSE)*(1-interactive!$C$7)</f>
        <v>4.2441213102007028E-3</v>
      </c>
      <c r="AL254">
        <f>VLOOKUP($A254,raw[],38,FALSE)*(1-interactive!$C$7)</f>
        <v>5.1404268455057366E-3</v>
      </c>
      <c r="AM254">
        <f>VLOOKUP($A254,raw[],39,FALSE)*(1-interactive!$C$7)</f>
        <v>6.2923463368188695E-3</v>
      </c>
      <c r="AN254">
        <f>VLOOKUP($A254,raw[],40,FALSE)*(1-interactive!$C$7)</f>
        <v>8.3910228603359168E-3</v>
      </c>
      <c r="AO254">
        <f>VLOOKUP($A254,raw[],41,FALSE)*(1-interactive!$C$7)</f>
        <v>1.1326942842775863E-2</v>
      </c>
      <c r="AP254">
        <f>VLOOKUP($A254,raw[],42,FALSE)*(1-interactive!$C$7)</f>
        <v>1.6660100039638227E-2</v>
      </c>
      <c r="AQ254">
        <f>VLOOKUP($A254,raw[],43,FALSE)*(1-interactive!$C$7)</f>
        <v>2.6039087819775895E-2</v>
      </c>
      <c r="AR254">
        <f>VLOOKUP($A254,raw[],44,FALSE)*(1-interactive!$C$7)</f>
        <v>4.0451632876977568E-2</v>
      </c>
      <c r="AS254">
        <f>VLOOKUP($A254,raw[],45,FALSE)*(1-interactive!$C$7)</f>
        <v>6.0637908144142133E-2</v>
      </c>
      <c r="AT254">
        <f>VLOOKUP($A254,raw[],46,FALSE)*(1-interactive!$C$7)</f>
        <v>8.7455700898443123E-2</v>
      </c>
      <c r="AU254">
        <f>VLOOKUP($A254,raw[],47,FALSE)*(1-interactive!$C$7)</f>
        <v>0.11560772981197863</v>
      </c>
      <c r="AV254">
        <f>VLOOKUP($A254,raw[],48,FALSE)*(1-interactive!$C$7)</f>
        <v>0.14078528971278767</v>
      </c>
      <c r="AW254">
        <f>VLOOKUP($A254,raw[],49,FALSE)*(1-interactive!$C$7)</f>
        <v>0.15946370318848216</v>
      </c>
      <c r="AX254">
        <f>VLOOKUP($A254,raw[],50,FALSE)*(1-interactive!$C$7)</f>
        <v>61.700599999999987</v>
      </c>
    </row>
    <row r="255" spans="1:50" x14ac:dyDescent="0.25">
      <c r="A255" t="s">
        <v>454</v>
      </c>
      <c r="B255" t="s">
        <v>455</v>
      </c>
      <c r="C255">
        <v>740</v>
      </c>
      <c r="D255" t="s">
        <v>215</v>
      </c>
      <c r="E255" t="s">
        <v>232</v>
      </c>
      <c r="F255" t="s">
        <v>217</v>
      </c>
      <c r="G255" t="s">
        <v>204</v>
      </c>
      <c r="J255">
        <f>VLOOKUP(raw_lb[[#This Row],[setting]],raw[],10,FALSE)*(1-interactive!$C$7)</f>
        <v>0.88255000000000006</v>
      </c>
      <c r="K255">
        <f>VLOOKUP(raw_lb[[#This Row],[setting]],raw[],11,FALSE)*(1-interactive!$C$7)</f>
        <v>0.75049999999999994</v>
      </c>
      <c r="L255">
        <f>VLOOKUP(raw_lb[[#This Row],[setting]],raw[],12,FALSE)*(1-interactive!$C$7)</f>
        <v>0.48449999999999999</v>
      </c>
      <c r="M255">
        <v>3.2000000000000002E-3</v>
      </c>
      <c r="N255">
        <v>0.16309999999999999</v>
      </c>
      <c r="O255">
        <v>0.7</v>
      </c>
      <c r="P255">
        <v>0.05</v>
      </c>
      <c r="Q255">
        <v>1.9445833224329601</v>
      </c>
      <c r="R255">
        <v>9.0054833224329602</v>
      </c>
      <c r="S255">
        <v>47.632302918046591</v>
      </c>
      <c r="T255">
        <v>52.528223738424579</v>
      </c>
      <c r="U255">
        <v>50.280120384289454</v>
      </c>
      <c r="V255">
        <v>4.2448063608694486</v>
      </c>
      <c r="W255">
        <v>4.2638063608694488</v>
      </c>
      <c r="X255">
        <v>3.7706146567205905</v>
      </c>
      <c r="Y255">
        <v>3.7896146567205906</v>
      </c>
      <c r="Z255">
        <v>3.7856217803752261</v>
      </c>
      <c r="AA255">
        <v>4.3988475082748142</v>
      </c>
      <c r="AB255">
        <v>4.4178475082748143</v>
      </c>
      <c r="AC255">
        <f>VLOOKUP($A255,raw[],29,FALSE)*(1-interactive!$C$7)</f>
        <v>1.6621712999999951E-2</v>
      </c>
      <c r="AD255">
        <f>VLOOKUP($A255,raw[],30,FALSE)*(1-interactive!$C$7)</f>
        <v>5.0077393620578297E-4</v>
      </c>
      <c r="AE255">
        <f>VLOOKUP($A255,raw[],31,FALSE)*(1-interactive!$C$7)</f>
        <v>5.2337641873583451E-4</v>
      </c>
      <c r="AF255">
        <f>VLOOKUP($A255,raw[],32,FALSE)*(1-interactive!$C$7)</f>
        <v>2.9964710543324043E-4</v>
      </c>
      <c r="AG255">
        <f>VLOOKUP($A255,raw[],33,FALSE)*(1-interactive!$C$7)</f>
        <v>5.4643221551887295E-4</v>
      </c>
      <c r="AH255">
        <f>VLOOKUP($A255,raw[],34,FALSE)*(1-interactive!$C$7)</f>
        <v>1.1159635870274744E-3</v>
      </c>
      <c r="AI255">
        <f>VLOOKUP($A255,raw[],35,FALSE)*(1-interactive!$C$7)</f>
        <v>1.8013885638795755E-3</v>
      </c>
      <c r="AJ255">
        <f>VLOOKUP($A255,raw[],36,FALSE)*(1-interactive!$C$7)</f>
        <v>2.4402060073442549E-3</v>
      </c>
      <c r="AK255">
        <f>VLOOKUP($A255,raw[],37,FALSE)*(1-interactive!$C$7)</f>
        <v>3.0550243170953321E-3</v>
      </c>
      <c r="AL255">
        <f>VLOOKUP($A255,raw[],38,FALSE)*(1-interactive!$C$7)</f>
        <v>3.7375086379332206E-3</v>
      </c>
      <c r="AM255">
        <f>VLOOKUP($A255,raw[],39,FALSE)*(1-interactive!$C$7)</f>
        <v>4.8037719037198638E-3</v>
      </c>
      <c r="AN255">
        <f>VLOOKUP($A255,raw[],40,FALSE)*(1-interactive!$C$7)</f>
        <v>6.9613844568964071E-3</v>
      </c>
      <c r="AO255">
        <f>VLOOKUP($A255,raw[],41,FALSE)*(1-interactive!$C$7)</f>
        <v>1.078950747155643E-2</v>
      </c>
      <c r="AP255">
        <f>VLOOKUP($A255,raw[],42,FALSE)*(1-interactive!$C$7)</f>
        <v>1.6658814783602413E-2</v>
      </c>
      <c r="AQ255">
        <f>VLOOKUP($A255,raw[],43,FALSE)*(1-interactive!$C$7)</f>
        <v>2.5148641182250037E-2</v>
      </c>
      <c r="AR255">
        <f>VLOOKUP($A255,raw[],44,FALSE)*(1-interactive!$C$7)</f>
        <v>3.7240358109747358E-2</v>
      </c>
      <c r="AS255">
        <f>VLOOKUP($A255,raw[],45,FALSE)*(1-interactive!$C$7)</f>
        <v>5.396270027110061E-2</v>
      </c>
      <c r="AT255">
        <f>VLOOKUP($A255,raw[],46,FALSE)*(1-interactive!$C$7)</f>
        <v>7.5823515183555484E-2</v>
      </c>
      <c r="AU255">
        <f>VLOOKUP($A255,raw[],47,FALSE)*(1-interactive!$C$7)</f>
        <v>0.10128825302624181</v>
      </c>
      <c r="AV255">
        <f>VLOOKUP($A255,raw[],48,FALSE)*(1-interactive!$C$7)</f>
        <v>0.12715820660628255</v>
      </c>
      <c r="AW255">
        <f>VLOOKUP($A255,raw[],49,FALSE)*(1-interactive!$C$7)</f>
        <v>0.14969037912526117</v>
      </c>
      <c r="AX255">
        <f>VLOOKUP($A255,raw[],50,FALSE)*(1-interactive!$C$7)</f>
        <v>67.913600000000002</v>
      </c>
    </row>
    <row r="256" spans="1:50" x14ac:dyDescent="0.25">
      <c r="A256" t="s">
        <v>456</v>
      </c>
      <c r="B256" t="s">
        <v>457</v>
      </c>
      <c r="C256">
        <v>760</v>
      </c>
      <c r="D256" t="s">
        <v>196</v>
      </c>
      <c r="E256" t="s">
        <v>197</v>
      </c>
      <c r="F256" t="s">
        <v>197</v>
      </c>
      <c r="G256" t="s">
        <v>198</v>
      </c>
      <c r="J256">
        <f>VLOOKUP(raw_lb[[#This Row],[setting]],raw[],10,FALSE)*(1-interactive!$C$7)</f>
        <v>0.7429</v>
      </c>
      <c r="K256">
        <f>VLOOKUP(raw_lb[[#This Row],[setting]],raw[],11,FALSE)*(1-interactive!$C$7)</f>
        <v>0</v>
      </c>
      <c r="L256">
        <f>VLOOKUP(raw_lb[[#This Row],[setting]],raw[],12,FALSE)*(1-interactive!$C$7)</f>
        <v>0.46549999999999997</v>
      </c>
      <c r="M256">
        <v>8.199999999999999E-3</v>
      </c>
      <c r="N256">
        <v>0.14980000000000002</v>
      </c>
      <c r="O256">
        <v>0.7</v>
      </c>
      <c r="P256">
        <v>0.05</v>
      </c>
      <c r="Q256">
        <v>1.4590451880178461</v>
      </c>
      <c r="R256">
        <v>8.5199451880178465</v>
      </c>
      <c r="S256">
        <v>43.024504128612634</v>
      </c>
      <c r="T256">
        <v>45.774932355793375</v>
      </c>
      <c r="U256">
        <v>44.511993850518373</v>
      </c>
      <c r="V256">
        <v>0.61423975458882885</v>
      </c>
      <c r="W256">
        <v>1.0702397545888287</v>
      </c>
      <c r="X256">
        <v>0.14122347655552026</v>
      </c>
      <c r="Y256">
        <v>0.59722347655552022</v>
      </c>
      <c r="Z256">
        <v>0.59378754567541026</v>
      </c>
      <c r="AA256">
        <v>0.76465387283764152</v>
      </c>
      <c r="AB256">
        <v>1.2206538728376415</v>
      </c>
      <c r="AC256">
        <f>VLOOKUP($A256,raw[],29,FALSE)*(1-interactive!$C$7)</f>
        <v>1.4766638500000016E-2</v>
      </c>
      <c r="AD256">
        <f>VLOOKUP($A256,raw[],30,FALSE)*(1-interactive!$C$7)</f>
        <v>5.3794637195476471E-4</v>
      </c>
      <c r="AE256">
        <f>VLOOKUP($A256,raw[],31,FALSE)*(1-interactive!$C$7)</f>
        <v>3.3685311269498114E-4</v>
      </c>
      <c r="AF256">
        <f>VLOOKUP($A256,raw[],32,FALSE)*(1-interactive!$C$7)</f>
        <v>3.0028599929338991E-4</v>
      </c>
      <c r="AG256">
        <f>VLOOKUP($A256,raw[],33,FALSE)*(1-interactive!$C$7)</f>
        <v>2.040276756586142E-3</v>
      </c>
      <c r="AH256">
        <f>VLOOKUP($A256,raw[],34,FALSE)*(1-interactive!$C$7)</f>
        <v>2.9774938381021735E-3</v>
      </c>
      <c r="AI256">
        <f>VLOOKUP($A256,raw[],35,FALSE)*(1-interactive!$C$7)</f>
        <v>4.4163092872933707E-3</v>
      </c>
      <c r="AJ256">
        <f>VLOOKUP($A256,raw[],36,FALSE)*(1-interactive!$C$7)</f>
        <v>3.7938800612009487E-3</v>
      </c>
      <c r="AK256">
        <f>VLOOKUP($A256,raw[],37,FALSE)*(1-interactive!$C$7)</f>
        <v>2.5847358913204136E-3</v>
      </c>
      <c r="AL256">
        <f>VLOOKUP($A256,raw[],38,FALSE)*(1-interactive!$C$7)</f>
        <v>2.5861020347740468E-3</v>
      </c>
      <c r="AM256">
        <f>VLOOKUP($A256,raw[],39,FALSE)*(1-interactive!$C$7)</f>
        <v>3.8627519841556005E-3</v>
      </c>
      <c r="AN256">
        <f>VLOOKUP($A256,raw[],40,FALSE)*(1-interactive!$C$7)</f>
        <v>6.2918396838202413E-3</v>
      </c>
      <c r="AO256">
        <f>VLOOKUP($A256,raw[],41,FALSE)*(1-interactive!$C$7)</f>
        <v>7.7051046084449359E-3</v>
      </c>
      <c r="AP256">
        <f>VLOOKUP($A256,raw[],42,FALSE)*(1-interactive!$C$7)</f>
        <v>1.2361729846582079E-2</v>
      </c>
      <c r="AQ256">
        <f>VLOOKUP($A256,raw[],43,FALSE)*(1-interactive!$C$7)</f>
        <v>2.0495727993079558E-2</v>
      </c>
      <c r="AR256">
        <f>VLOOKUP($A256,raw[],44,FALSE)*(1-interactive!$C$7)</f>
        <v>3.3722715351937528E-2</v>
      </c>
      <c r="AS256">
        <f>VLOOKUP($A256,raw[],45,FALSE)*(1-interactive!$C$7)</f>
        <v>4.9545345300773876E-2</v>
      </c>
      <c r="AT256">
        <f>VLOOKUP($A256,raw[],46,FALSE)*(1-interactive!$C$7)</f>
        <v>7.8601545026938877E-2</v>
      </c>
      <c r="AU256">
        <f>VLOOKUP($A256,raw[],47,FALSE)*(1-interactive!$C$7)</f>
        <v>0.11160718654721043</v>
      </c>
      <c r="AV256">
        <f>VLOOKUP($A256,raw[],48,FALSE)*(1-interactive!$C$7)</f>
        <v>0.14321075263385985</v>
      </c>
      <c r="AW256">
        <f>VLOOKUP($A256,raw[],49,FALSE)*(1-interactive!$C$7)</f>
        <v>0.16426276069318102</v>
      </c>
      <c r="AX256">
        <f>VLOOKUP($A256,raw[],50,FALSE)*(1-interactive!$C$7)</f>
        <v>67.753999999999991</v>
      </c>
    </row>
    <row r="257" spans="1:50" x14ac:dyDescent="0.25">
      <c r="A257" t="s">
        <v>458</v>
      </c>
      <c r="B257" t="s">
        <v>459</v>
      </c>
      <c r="C257">
        <v>762</v>
      </c>
      <c r="D257" t="s">
        <v>201</v>
      </c>
      <c r="E257" t="s">
        <v>220</v>
      </c>
      <c r="F257" t="s">
        <v>203</v>
      </c>
      <c r="G257" t="s">
        <v>198</v>
      </c>
      <c r="J257">
        <f>VLOOKUP(raw_lb[[#This Row],[setting]],raw[],10,FALSE)*(1-interactive!$C$7)</f>
        <v>0.83789999999999998</v>
      </c>
      <c r="K257">
        <f>VLOOKUP(raw_lb[[#This Row],[setting]],raw[],11,FALSE)*(1-interactive!$C$7)</f>
        <v>0.9405</v>
      </c>
      <c r="L257">
        <f>VLOOKUP(raw_lb[[#This Row],[setting]],raw[],12,FALSE)*(1-interactive!$C$7)</f>
        <v>0.92149999999999999</v>
      </c>
      <c r="M257">
        <v>3.4099999999999998E-2</v>
      </c>
      <c r="N257">
        <v>0.16309999999999999</v>
      </c>
      <c r="O257">
        <v>0.7</v>
      </c>
      <c r="P257">
        <v>0.05</v>
      </c>
      <c r="Q257">
        <v>0.73515780346820803</v>
      </c>
      <c r="R257">
        <v>7.7960578034682086</v>
      </c>
      <c r="S257">
        <v>37.926891431367906</v>
      </c>
      <c r="T257">
        <v>38.400948500009257</v>
      </c>
      <c r="U257">
        <v>38.183271514379044</v>
      </c>
      <c r="V257">
        <v>1.6478727709561265</v>
      </c>
      <c r="W257">
        <v>5.5143727709561272</v>
      </c>
      <c r="X257">
        <v>1.1778512508892245</v>
      </c>
      <c r="Y257">
        <v>5.0443512508892248</v>
      </c>
      <c r="Z257">
        <v>5.0429749962242987</v>
      </c>
      <c r="AA257">
        <v>1.7890459217657408</v>
      </c>
      <c r="AB257">
        <v>5.6555459217657411</v>
      </c>
      <c r="AC257">
        <f>VLOOKUP($A257,raw[],29,FALSE)*(1-interactive!$C$7)</f>
        <v>2.7811478000000046E-2</v>
      </c>
      <c r="AD257">
        <f>VLOOKUP($A257,raw[],30,FALSE)*(1-interactive!$C$7)</f>
        <v>7.3702392735916934E-4</v>
      </c>
      <c r="AE257">
        <f>VLOOKUP($A257,raw[],31,FALSE)*(1-interactive!$C$7)</f>
        <v>1.8195944280344551E-4</v>
      </c>
      <c r="AF257">
        <f>VLOOKUP($A257,raw[],32,FALSE)*(1-interactive!$C$7)</f>
        <v>1.9031531076087519E-4</v>
      </c>
      <c r="AG257">
        <f>VLOOKUP($A257,raw[],33,FALSE)*(1-interactive!$C$7)</f>
        <v>3.1537903860068386E-4</v>
      </c>
      <c r="AH257">
        <f>VLOOKUP($A257,raw[],34,FALSE)*(1-interactive!$C$7)</f>
        <v>4.8528311737419162E-4</v>
      </c>
      <c r="AI257">
        <f>VLOOKUP($A257,raw[],35,FALSE)*(1-interactive!$C$7)</f>
        <v>8.128432741548845E-4</v>
      </c>
      <c r="AJ257">
        <f>VLOOKUP($A257,raw[],36,FALSE)*(1-interactive!$C$7)</f>
        <v>1.2494281235045017E-3</v>
      </c>
      <c r="AK257">
        <f>VLOOKUP($A257,raw[],37,FALSE)*(1-interactive!$C$7)</f>
        <v>1.9115088128162177E-3</v>
      </c>
      <c r="AL257">
        <f>VLOOKUP($A257,raw[],38,FALSE)*(1-interactive!$C$7)</f>
        <v>2.4245764187091155E-3</v>
      </c>
      <c r="AM257">
        <f>VLOOKUP($A257,raw[],39,FALSE)*(1-interactive!$C$7)</f>
        <v>3.4575951129777222E-3</v>
      </c>
      <c r="AN257">
        <f>VLOOKUP($A257,raw[],40,FALSE)*(1-interactive!$C$7)</f>
        <v>5.6863157626283311E-3</v>
      </c>
      <c r="AO257">
        <f>VLOOKUP($A257,raw[],41,FALSE)*(1-interactive!$C$7)</f>
        <v>1.0123357341479141E-2</v>
      </c>
      <c r="AP257">
        <f>VLOOKUP($A257,raw[],42,FALSE)*(1-interactive!$C$7)</f>
        <v>1.7482507807117832E-2</v>
      </c>
      <c r="AQ257">
        <f>VLOOKUP($A257,raw[],43,FALSE)*(1-interactive!$C$7)</f>
        <v>2.7393013191479635E-2</v>
      </c>
      <c r="AR257">
        <f>VLOOKUP($A257,raw[],44,FALSE)*(1-interactive!$C$7)</f>
        <v>4.5231851827279873E-2</v>
      </c>
      <c r="AS257">
        <f>VLOOKUP($A257,raw[],45,FALSE)*(1-interactive!$C$7)</f>
        <v>7.0208327818225932E-2</v>
      </c>
      <c r="AT257">
        <f>VLOOKUP($A257,raw[],46,FALSE)*(1-interactive!$C$7)</f>
        <v>0.1003746268717763</v>
      </c>
      <c r="AU257">
        <f>VLOOKUP($A257,raw[],47,FALSE)*(1-interactive!$C$7)</f>
        <v>0.13030359448217074</v>
      </c>
      <c r="AV257">
        <f>VLOOKUP($A257,raw[],48,FALSE)*(1-interactive!$C$7)</f>
        <v>0.15621313209176316</v>
      </c>
      <c r="AW257">
        <f>VLOOKUP($A257,raw[],49,FALSE)*(1-interactive!$C$7)</f>
        <v>0.17314424924309746</v>
      </c>
      <c r="AX257">
        <f>VLOOKUP($A257,raw[],50,FALSE)*(1-interactive!$C$7)</f>
        <v>67.231499999999997</v>
      </c>
    </row>
    <row r="258" spans="1:50" x14ac:dyDescent="0.25">
      <c r="A258" t="s">
        <v>460</v>
      </c>
      <c r="B258" t="s">
        <v>461</v>
      </c>
      <c r="C258">
        <v>834</v>
      </c>
      <c r="D258" t="s">
        <v>207</v>
      </c>
      <c r="E258" t="s">
        <v>255</v>
      </c>
      <c r="F258" t="s">
        <v>211</v>
      </c>
      <c r="G258" t="s">
        <v>198</v>
      </c>
      <c r="J258">
        <f>VLOOKUP(raw_lb[[#This Row],[setting]],raw[],10,FALSE)*(1-interactive!$C$7)</f>
        <v>0.59470000000000001</v>
      </c>
      <c r="K258">
        <f>VLOOKUP(raw_lb[[#This Row],[setting]],raw[],11,FALSE)*(1-interactive!$C$7)</f>
        <v>0</v>
      </c>
      <c r="L258">
        <f>VLOOKUP(raw_lb[[#This Row],[setting]],raw[],12,FALSE)*(1-interactive!$C$7)</f>
        <v>0.81699999999999995</v>
      </c>
      <c r="M258">
        <v>3.6799999999999999E-2</v>
      </c>
      <c r="N258">
        <v>0.15560000000000002</v>
      </c>
      <c r="O258">
        <v>7.0000000000000007E-2</v>
      </c>
      <c r="P258">
        <v>1E-3</v>
      </c>
      <c r="Q258">
        <v>0.67225643906655108</v>
      </c>
      <c r="R258">
        <v>7.7331564390665513</v>
      </c>
      <c r="S258">
        <v>37.569800034428219</v>
      </c>
      <c r="T258">
        <v>37.890741473412731</v>
      </c>
      <c r="U258">
        <v>37.743371948468834</v>
      </c>
      <c r="V258">
        <v>1.2983847508231825</v>
      </c>
      <c r="W258">
        <v>5.8868847508231825</v>
      </c>
      <c r="X258">
        <v>0.82798606257572827</v>
      </c>
      <c r="Y258">
        <v>5.4164860625757285</v>
      </c>
      <c r="Z258">
        <v>5.414973463675099</v>
      </c>
      <c r="AA258">
        <v>1.4407217348756443</v>
      </c>
      <c r="AB258">
        <v>6.0292217348756445</v>
      </c>
      <c r="AC258">
        <f>VLOOKUP($A258,raw[],29,FALSE)*(1-interactive!$C$7)</f>
        <v>3.9153347499999984E-2</v>
      </c>
      <c r="AD258">
        <f>VLOOKUP($A258,raw[],30,FALSE)*(1-interactive!$C$7)</f>
        <v>3.7970088631357327E-3</v>
      </c>
      <c r="AE258">
        <f>VLOOKUP($A258,raw[],31,FALSE)*(1-interactive!$C$7)</f>
        <v>1.4908130727040228E-3</v>
      </c>
      <c r="AF258">
        <f>VLOOKUP($A258,raw[],32,FALSE)*(1-interactive!$C$7)</f>
        <v>1.0557577232236819E-3</v>
      </c>
      <c r="AG258">
        <f>VLOOKUP($A258,raw[],33,FALSE)*(1-interactive!$C$7)</f>
        <v>1.6884801261191165E-3</v>
      </c>
      <c r="AH258">
        <f>VLOOKUP($A258,raw[],34,FALSE)*(1-interactive!$C$7)</f>
        <v>2.4423056455834583E-3</v>
      </c>
      <c r="AI258">
        <f>VLOOKUP($A258,raw[],35,FALSE)*(1-interactive!$C$7)</f>
        <v>2.8329174490540877E-3</v>
      </c>
      <c r="AJ258">
        <f>VLOOKUP($A258,raw[],36,FALSE)*(1-interactive!$C$7)</f>
        <v>3.3226799237410405E-3</v>
      </c>
      <c r="AK258">
        <f>VLOOKUP($A258,raw[],37,FALSE)*(1-interactive!$C$7)</f>
        <v>4.0605836884822872E-3</v>
      </c>
      <c r="AL258">
        <f>VLOOKUP($A258,raw[],38,FALSE)*(1-interactive!$C$7)</f>
        <v>5.1395142056819979E-3</v>
      </c>
      <c r="AM258">
        <f>VLOOKUP($A258,raw[],39,FALSE)*(1-interactive!$C$7)</f>
        <v>6.4782177514604309E-3</v>
      </c>
      <c r="AN258">
        <f>VLOOKUP($A258,raw[],40,FALSE)*(1-interactive!$C$7)</f>
        <v>9.1788357526192479E-3</v>
      </c>
      <c r="AO258">
        <f>VLOOKUP($A258,raw[],41,FALSE)*(1-interactive!$C$7)</f>
        <v>1.2322600377063906E-2</v>
      </c>
      <c r="AP258">
        <f>VLOOKUP($A258,raw[],42,FALSE)*(1-interactive!$C$7)</f>
        <v>1.8557577442863134E-2</v>
      </c>
      <c r="AQ258">
        <f>VLOOKUP($A258,raw[],43,FALSE)*(1-interactive!$C$7)</f>
        <v>2.8690757510410558E-2</v>
      </c>
      <c r="AR258">
        <f>VLOOKUP($A258,raw[],44,FALSE)*(1-interactive!$C$7)</f>
        <v>4.4607148810423831E-2</v>
      </c>
      <c r="AS258">
        <f>VLOOKUP($A258,raw[],45,FALSE)*(1-interactive!$C$7)</f>
        <v>6.8279235022524115E-2</v>
      </c>
      <c r="AT258">
        <f>VLOOKUP($A258,raw[],46,FALSE)*(1-interactive!$C$7)</f>
        <v>0.1016344731884186</v>
      </c>
      <c r="AU258">
        <f>VLOOKUP($A258,raw[],47,FALSE)*(1-interactive!$C$7)</f>
        <v>0.13955627174968485</v>
      </c>
      <c r="AV258">
        <f>VLOOKUP($A258,raw[],48,FALSE)*(1-interactive!$C$7)</f>
        <v>0.17085965847426926</v>
      </c>
      <c r="AW258">
        <f>VLOOKUP($A258,raw[],49,FALSE)*(1-interactive!$C$7)</f>
        <v>0.18035419307766917</v>
      </c>
      <c r="AX258">
        <f>VLOOKUP($A258,raw[],50,FALSE)*(1-interactive!$C$7)</f>
        <v>61.599899999999998</v>
      </c>
    </row>
    <row r="259" spans="1:50" x14ac:dyDescent="0.25">
      <c r="A259" t="s">
        <v>462</v>
      </c>
      <c r="B259" t="s">
        <v>463</v>
      </c>
      <c r="C259">
        <v>764</v>
      </c>
      <c r="D259" t="s">
        <v>225</v>
      </c>
      <c r="E259" t="s">
        <v>261</v>
      </c>
      <c r="F259" t="s">
        <v>262</v>
      </c>
      <c r="G259" t="s">
        <v>204</v>
      </c>
      <c r="J259">
        <f>VLOOKUP(raw_lb[[#This Row],[setting]],raw[],10,FALSE)*(1-interactive!$C$7)</f>
        <v>0.93669999999999998</v>
      </c>
      <c r="K259">
        <f>VLOOKUP(raw_lb[[#This Row],[setting]],raw[],11,FALSE)*(1-interactive!$C$7)</f>
        <v>0.9405</v>
      </c>
      <c r="L259">
        <f>VLOOKUP(raw_lb[[#This Row],[setting]],raw[],12,FALSE)*(1-interactive!$C$7)</f>
        <v>0.92149999999999999</v>
      </c>
      <c r="M259">
        <v>2.5899999999999999E-2</v>
      </c>
      <c r="N259">
        <v>0.18100000000000002</v>
      </c>
      <c r="O259">
        <v>0.7</v>
      </c>
      <c r="P259">
        <v>0.05</v>
      </c>
      <c r="Q259">
        <v>1.436123622047244</v>
      </c>
      <c r="R259">
        <v>8.4970236220472444</v>
      </c>
      <c r="S259">
        <v>44.17348243680982</v>
      </c>
      <c r="T259">
        <v>47.533843589249578</v>
      </c>
      <c r="U259">
        <v>45.990836777035256</v>
      </c>
      <c r="V259">
        <v>1.5512670064060761</v>
      </c>
      <c r="W259">
        <v>2.1497670064060759</v>
      </c>
      <c r="X259">
        <v>1.0743442129186067</v>
      </c>
      <c r="Y259">
        <v>1.6728442129186067</v>
      </c>
      <c r="Z259">
        <v>1.667227055802226</v>
      </c>
      <c r="AA259">
        <v>1.7137355151991556</v>
      </c>
      <c r="AB259">
        <v>2.3122355151991556</v>
      </c>
      <c r="AC259">
        <f>VLOOKUP($A259,raw[],29,FALSE)*(1-interactive!$C$7)</f>
        <v>7.3664995000000191E-3</v>
      </c>
      <c r="AD259">
        <f>VLOOKUP($A259,raw[],30,FALSE)*(1-interactive!$C$7)</f>
        <v>2.9807244130509878E-4</v>
      </c>
      <c r="AE259">
        <f>VLOOKUP($A259,raw[],31,FALSE)*(1-interactive!$C$7)</f>
        <v>2.5186203744320045E-4</v>
      </c>
      <c r="AF259">
        <f>VLOOKUP($A259,raw[],32,FALSE)*(1-interactive!$C$7)</f>
        <v>3.9205180079087369E-4</v>
      </c>
      <c r="AG259">
        <f>VLOOKUP($A259,raw[],33,FALSE)*(1-interactive!$C$7)</f>
        <v>1.0218059497045652E-3</v>
      </c>
      <c r="AH259">
        <f>VLOOKUP($A259,raw[],34,FALSE)*(1-interactive!$C$7)</f>
        <v>9.7912745878006861E-4</v>
      </c>
      <c r="AI259">
        <f>VLOOKUP($A259,raw[],35,FALSE)*(1-interactive!$C$7)</f>
        <v>1.0743902921577641E-3</v>
      </c>
      <c r="AJ259">
        <f>VLOOKUP($A259,raw[],36,FALSE)*(1-interactive!$C$7)</f>
        <v>1.5287872349444174E-3</v>
      </c>
      <c r="AK259">
        <f>VLOOKUP($A259,raw[],37,FALSE)*(1-interactive!$C$7)</f>
        <v>2.322351095318149E-3</v>
      </c>
      <c r="AL259">
        <f>VLOOKUP($A259,raw[],38,FALSE)*(1-interactive!$C$7)</f>
        <v>3.1781238109071558E-3</v>
      </c>
      <c r="AM259">
        <f>VLOOKUP($A259,raw[],39,FALSE)*(1-interactive!$C$7)</f>
        <v>4.1439341088098797E-3</v>
      </c>
      <c r="AN259">
        <f>VLOOKUP($A259,raw[],40,FALSE)*(1-interactive!$C$7)</f>
        <v>5.4687484422744383E-3</v>
      </c>
      <c r="AO259">
        <f>VLOOKUP($A259,raw[],41,FALSE)*(1-interactive!$C$7)</f>
        <v>7.3133673929285537E-3</v>
      </c>
      <c r="AP259">
        <f>VLOOKUP($A259,raw[],42,FALSE)*(1-interactive!$C$7)</f>
        <v>1.0595874241687597E-2</v>
      </c>
      <c r="AQ259">
        <f>VLOOKUP($A259,raw[],43,FALSE)*(1-interactive!$C$7)</f>
        <v>1.4738857760982686E-2</v>
      </c>
      <c r="AR259">
        <f>VLOOKUP($A259,raw[],44,FALSE)*(1-interactive!$C$7)</f>
        <v>2.2935116262104094E-2</v>
      </c>
      <c r="AS259">
        <f>VLOOKUP($A259,raw[],45,FALSE)*(1-interactive!$C$7)</f>
        <v>3.6327863745366867E-2</v>
      </c>
      <c r="AT259">
        <f>VLOOKUP($A259,raw[],46,FALSE)*(1-interactive!$C$7)</f>
        <v>5.5221670830718245E-2</v>
      </c>
      <c r="AU259">
        <f>VLOOKUP($A259,raw[],47,FALSE)*(1-interactive!$C$7)</f>
        <v>8.0249068314733246E-2</v>
      </c>
      <c r="AV259">
        <f>VLOOKUP($A259,raw[],48,FALSE)*(1-interactive!$C$7)</f>
        <v>0.10780704426895571</v>
      </c>
      <c r="AW259">
        <f>VLOOKUP($A259,raw[],49,FALSE)*(1-interactive!$C$7)</f>
        <v>0.13356705000367686</v>
      </c>
      <c r="AX259">
        <f>VLOOKUP($A259,raw[],50,FALSE)*(1-interactive!$C$7)</f>
        <v>72.990399999999994</v>
      </c>
    </row>
    <row r="260" spans="1:50" x14ac:dyDescent="0.25">
      <c r="A260" t="s">
        <v>464</v>
      </c>
      <c r="B260" t="s">
        <v>465</v>
      </c>
      <c r="C260">
        <v>626</v>
      </c>
      <c r="D260" t="s">
        <v>225</v>
      </c>
      <c r="E260" t="s">
        <v>261</v>
      </c>
      <c r="F260" t="s">
        <v>262</v>
      </c>
      <c r="G260" t="s">
        <v>212</v>
      </c>
      <c r="J260">
        <f>VLOOKUP(raw_lb[[#This Row],[setting]],raw[],10,FALSE)*(1-interactive!$C$7)</f>
        <v>0.46074999999999999</v>
      </c>
      <c r="K260">
        <f>VLOOKUP(raw_lb[[#This Row],[setting]],raw[],11,FALSE)*(1-interactive!$C$7)</f>
        <v>0.68399999999999994</v>
      </c>
      <c r="L260">
        <f>VLOOKUP(raw_lb[[#This Row],[setting]],raw[],12,FALSE)*(1-interactive!$C$7)</f>
        <v>0.81699999999999995</v>
      </c>
      <c r="M260">
        <v>3.9300000000000002E-2</v>
      </c>
      <c r="N260">
        <v>0.18100000000000002</v>
      </c>
      <c r="O260">
        <v>0.7</v>
      </c>
      <c r="P260">
        <v>0.05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2.0326133524889132</v>
      </c>
      <c r="W260">
        <v>2.6311133524889132</v>
      </c>
      <c r="X260">
        <v>1.5611841812026286</v>
      </c>
      <c r="Y260">
        <v>2.1596841812026284</v>
      </c>
      <c r="Z260">
        <v>2.1573777235893519</v>
      </c>
      <c r="AA260">
        <v>2.1781301127754795</v>
      </c>
      <c r="AB260">
        <v>2.7766301127754796</v>
      </c>
      <c r="AC260">
        <f>VLOOKUP($A260,raw[],29,FALSE)*(1-interactive!$C$7)</f>
        <v>3.5485625499999979E-2</v>
      </c>
      <c r="AD260">
        <f>VLOOKUP($A260,raw[],30,FALSE)*(1-interactive!$C$7)</f>
        <v>2.3196747330077312E-3</v>
      </c>
      <c r="AE260">
        <f>VLOOKUP($A260,raw[],31,FALSE)*(1-interactive!$C$7)</f>
        <v>7.129391327506991E-4</v>
      </c>
      <c r="AF260">
        <f>VLOOKUP($A260,raw[],32,FALSE)*(1-interactive!$C$7)</f>
        <v>5.5089474357356558E-4</v>
      </c>
      <c r="AG260">
        <f>VLOOKUP($A260,raw[],33,FALSE)*(1-interactive!$C$7)</f>
        <v>9.4965476858294899E-4</v>
      </c>
      <c r="AH260">
        <f>VLOOKUP($A260,raw[],34,FALSE)*(1-interactive!$C$7)</f>
        <v>1.1980401732889709E-3</v>
      </c>
      <c r="AI260">
        <f>VLOOKUP($A260,raw[],35,FALSE)*(1-interactive!$C$7)</f>
        <v>1.1440522602550374E-3</v>
      </c>
      <c r="AJ260">
        <f>VLOOKUP($A260,raw[],36,FALSE)*(1-interactive!$C$7)</f>
        <v>1.27241204210668E-3</v>
      </c>
      <c r="AK260">
        <f>VLOOKUP($A260,raw[],37,FALSE)*(1-interactive!$C$7)</f>
        <v>1.6620633371593101E-3</v>
      </c>
      <c r="AL260">
        <f>VLOOKUP($A260,raw[],38,FALSE)*(1-interactive!$C$7)</f>
        <v>2.3908964885334103E-3</v>
      </c>
      <c r="AM260">
        <f>VLOOKUP($A260,raw[],39,FALSE)*(1-interactive!$C$7)</f>
        <v>3.8080117760128335E-3</v>
      </c>
      <c r="AN260">
        <f>VLOOKUP($A260,raw[],40,FALSE)*(1-interactive!$C$7)</f>
        <v>6.2479403126392543E-3</v>
      </c>
      <c r="AO260">
        <f>VLOOKUP($A260,raw[],41,FALSE)*(1-interactive!$C$7)</f>
        <v>1.0712857360525191E-2</v>
      </c>
      <c r="AP260">
        <f>VLOOKUP($A260,raw[],42,FALSE)*(1-interactive!$C$7)</f>
        <v>1.719305127478378E-2</v>
      </c>
      <c r="AQ260">
        <f>VLOOKUP($A260,raw[],43,FALSE)*(1-interactive!$C$7)</f>
        <v>2.7327966249628237E-2</v>
      </c>
      <c r="AR260">
        <f>VLOOKUP($A260,raw[],44,FALSE)*(1-interactive!$C$7)</f>
        <v>4.3336439617917791E-2</v>
      </c>
      <c r="AS260">
        <f>VLOOKUP($A260,raw[],45,FALSE)*(1-interactive!$C$7)</f>
        <v>6.6558479209795005E-2</v>
      </c>
      <c r="AT260">
        <f>VLOOKUP($A260,raw[],46,FALSE)*(1-interactive!$C$7)</f>
        <v>9.510092681115799E-2</v>
      </c>
      <c r="AU260">
        <f>VLOOKUP($A260,raw[],47,FALSE)*(1-interactive!$C$7)</f>
        <v>0.12606487446351283</v>
      </c>
      <c r="AV260">
        <f>VLOOKUP($A260,raw[],48,FALSE)*(1-interactive!$C$7)</f>
        <v>0.15134075020553411</v>
      </c>
      <c r="AW260">
        <f>VLOOKUP($A260,raw[],49,FALSE)*(1-interactive!$C$7)</f>
        <v>0.16907369287658447</v>
      </c>
      <c r="AX260">
        <f>VLOOKUP($A260,raw[],50,FALSE)*(1-interactive!$C$7)</f>
        <v>65.695350000000005</v>
      </c>
    </row>
    <row r="261" spans="1:50" x14ac:dyDescent="0.25">
      <c r="A261" t="s">
        <v>466</v>
      </c>
      <c r="B261" t="s">
        <v>467</v>
      </c>
      <c r="C261">
        <v>768</v>
      </c>
      <c r="D261" t="s">
        <v>207</v>
      </c>
      <c r="E261" t="s">
        <v>235</v>
      </c>
      <c r="F261" t="s">
        <v>211</v>
      </c>
      <c r="G261" t="s">
        <v>198</v>
      </c>
      <c r="J261">
        <f>VLOOKUP(raw_lb[[#This Row],[setting]],raw[],10,FALSE)*(1-interactive!$C$7)</f>
        <v>0.76</v>
      </c>
      <c r="K261">
        <f>VLOOKUP(raw_lb[[#This Row],[setting]],raw[],11,FALSE)*(1-interactive!$C$7)</f>
        <v>0</v>
      </c>
      <c r="L261">
        <f>VLOOKUP(raw_lb[[#This Row],[setting]],raw[],12,FALSE)*(1-interactive!$C$7)</f>
        <v>0.77899999999999991</v>
      </c>
      <c r="M261">
        <v>0.1177</v>
      </c>
      <c r="N261">
        <v>0.155</v>
      </c>
      <c r="O261">
        <v>7.0000000000000007E-2</v>
      </c>
      <c r="P261">
        <v>1E-3</v>
      </c>
      <c r="Q261">
        <v>0.64553301759134007</v>
      </c>
      <c r="R261">
        <v>7.7064330175913405</v>
      </c>
      <c r="S261">
        <v>37.387655319424653</v>
      </c>
      <c r="T261">
        <v>37.62770540728021</v>
      </c>
      <c r="U261">
        <v>37.51747948094939</v>
      </c>
      <c r="V261">
        <v>1.3415951760607363</v>
      </c>
      <c r="W261">
        <v>5.9300951760607363</v>
      </c>
      <c r="X261">
        <v>0.87037854800958336</v>
      </c>
      <c r="Y261">
        <v>5.4588785480095829</v>
      </c>
      <c r="Z261">
        <v>5.4568161280340099</v>
      </c>
      <c r="AA261">
        <v>1.4864560886503253</v>
      </c>
      <c r="AB261">
        <v>6.0749560886503247</v>
      </c>
      <c r="AC261">
        <f>VLOOKUP($A261,raw[],29,FALSE)*(1-interactive!$C$7)</f>
        <v>4.7211418500000067E-2</v>
      </c>
      <c r="AD261">
        <f>VLOOKUP($A261,raw[],30,FALSE)*(1-interactive!$C$7)</f>
        <v>6.4294966176973055E-3</v>
      </c>
      <c r="AE261">
        <f>VLOOKUP($A261,raw[],31,FALSE)*(1-interactive!$C$7)</f>
        <v>2.940034690004784E-3</v>
      </c>
      <c r="AF261">
        <f>VLOOKUP($A261,raw[],32,FALSE)*(1-interactive!$C$7)</f>
        <v>1.7207293166186259E-3</v>
      </c>
      <c r="AG261">
        <f>VLOOKUP($A261,raw[],33,FALSE)*(1-interactive!$C$7)</f>
        <v>2.6278385058858566E-3</v>
      </c>
      <c r="AH261">
        <f>VLOOKUP($A261,raw[],34,FALSE)*(1-interactive!$C$7)</f>
        <v>3.6703343811875077E-3</v>
      </c>
      <c r="AI261">
        <f>VLOOKUP($A261,raw[],35,FALSE)*(1-interactive!$C$7)</f>
        <v>3.9022789357450725E-3</v>
      </c>
      <c r="AJ261">
        <f>VLOOKUP($A261,raw[],36,FALSE)*(1-interactive!$C$7)</f>
        <v>4.2700984822593531E-3</v>
      </c>
      <c r="AK261">
        <f>VLOOKUP($A261,raw[],37,FALSE)*(1-interactive!$C$7)</f>
        <v>4.8550238267770661E-3</v>
      </c>
      <c r="AL261">
        <f>VLOOKUP($A261,raw[],38,FALSE)*(1-interactive!$C$7)</f>
        <v>5.8994950979376435E-3</v>
      </c>
      <c r="AM261">
        <f>VLOOKUP($A261,raw[],39,FALSE)*(1-interactive!$C$7)</f>
        <v>7.2972324364903723E-3</v>
      </c>
      <c r="AN261">
        <f>VLOOKUP($A261,raw[],40,FALSE)*(1-interactive!$C$7)</f>
        <v>1.0151037775650273E-2</v>
      </c>
      <c r="AO261">
        <f>VLOOKUP($A261,raw[],41,FALSE)*(1-interactive!$C$7)</f>
        <v>1.4355496783228344E-2</v>
      </c>
      <c r="AP261">
        <f>VLOOKUP($A261,raw[],42,FALSE)*(1-interactive!$C$7)</f>
        <v>2.222967543885504E-2</v>
      </c>
      <c r="AQ261">
        <f>VLOOKUP($A261,raw[],43,FALSE)*(1-interactive!$C$7)</f>
        <v>3.4051251714577284E-2</v>
      </c>
      <c r="AR261">
        <f>VLOOKUP($A261,raw[],44,FALSE)*(1-interactive!$C$7)</f>
        <v>5.4118436626828192E-2</v>
      </c>
      <c r="AS261">
        <f>VLOOKUP($A261,raw[],45,FALSE)*(1-interactive!$C$7)</f>
        <v>8.2511497157411989E-2</v>
      </c>
      <c r="AT261">
        <f>VLOOKUP($A261,raw[],46,FALSE)*(1-interactive!$C$7)</f>
        <v>0.11686148335853581</v>
      </c>
      <c r="AU261">
        <f>VLOOKUP($A261,raw[],47,FALSE)*(1-interactive!$C$7)</f>
        <v>0.14783290120566306</v>
      </c>
      <c r="AV261">
        <f>VLOOKUP($A261,raw[],48,FALSE)*(1-interactive!$C$7)</f>
        <v>0.16889646981625397</v>
      </c>
      <c r="AW261">
        <f>VLOOKUP($A261,raw[],49,FALSE)*(1-interactive!$C$7)</f>
        <v>0.18435548465282919</v>
      </c>
      <c r="AX261">
        <f>VLOOKUP($A261,raw[],50,FALSE)*(1-interactive!$C$7)</f>
        <v>57.501599999999996</v>
      </c>
    </row>
    <row r="262" spans="1:50" x14ac:dyDescent="0.25">
      <c r="A262" t="s">
        <v>468</v>
      </c>
      <c r="B262" t="s">
        <v>469</v>
      </c>
      <c r="C262">
        <v>776</v>
      </c>
      <c r="D262" t="s">
        <v>260</v>
      </c>
      <c r="E262" t="s">
        <v>309</v>
      </c>
      <c r="F262" t="s">
        <v>262</v>
      </c>
      <c r="G262" t="s">
        <v>204</v>
      </c>
      <c r="J262">
        <f>VLOOKUP(raw_lb[[#This Row],[setting]],raw[],10,FALSE)*(1-interactive!$C$7)</f>
        <v>0.93099999999999994</v>
      </c>
      <c r="K262">
        <f>VLOOKUP(raw_lb[[#This Row],[setting]],raw[],11,FALSE)*(1-interactive!$C$7)</f>
        <v>0.9405</v>
      </c>
      <c r="L262">
        <f>VLOOKUP(raw_lb[[#This Row],[setting]],raw[],12,FALSE)*(1-interactive!$C$7)</f>
        <v>0.9405</v>
      </c>
      <c r="M262">
        <v>7.8200000000000006E-2</v>
      </c>
      <c r="N262">
        <v>0.1832</v>
      </c>
      <c r="O262">
        <v>0.7</v>
      </c>
      <c r="P262">
        <v>0.05</v>
      </c>
      <c r="Q262">
        <v>1.5725916666666702</v>
      </c>
      <c r="R262">
        <v>8.6334916666666714</v>
      </c>
      <c r="S262">
        <v>43.569510999595202</v>
      </c>
      <c r="T262">
        <v>46.544499280949864</v>
      </c>
      <c r="U262">
        <v>45.178447545393048</v>
      </c>
      <c r="V262">
        <v>3.0890574957293828</v>
      </c>
      <c r="W262">
        <v>3.6875574957293829</v>
      </c>
      <c r="X262">
        <v>2.6154739125205517</v>
      </c>
      <c r="Y262">
        <v>3.2139739125205518</v>
      </c>
      <c r="Z262">
        <v>3.2105570975952751</v>
      </c>
      <c r="AA262">
        <v>3.2412221556626641</v>
      </c>
      <c r="AB262">
        <v>3.8397221556626642</v>
      </c>
      <c r="AC262">
        <f>VLOOKUP($A262,raw[],29,FALSE)*(1-interactive!$C$7)</f>
        <v>1.1890798500000004E-2</v>
      </c>
      <c r="AD262">
        <f>VLOOKUP($A262,raw[],30,FALSE)*(1-interactive!$C$7)</f>
        <v>7.4656826879019569E-4</v>
      </c>
      <c r="AE262">
        <f>VLOOKUP($A262,raw[],31,FALSE)*(1-interactive!$C$7)</f>
        <v>3.7820524196938127E-4</v>
      </c>
      <c r="AF262">
        <f>VLOOKUP($A262,raw[],32,FALSE)*(1-interactive!$C$7)</f>
        <v>3.5923084653595406E-4</v>
      </c>
      <c r="AG262">
        <f>VLOOKUP($A262,raw[],33,FALSE)*(1-interactive!$C$7)</f>
        <v>8.9760328960619066E-4</v>
      </c>
      <c r="AH262">
        <f>VLOOKUP($A262,raw[],34,FALSE)*(1-interactive!$C$7)</f>
        <v>1.3045643152506474E-3</v>
      </c>
      <c r="AI262">
        <f>VLOOKUP($A262,raw[],35,FALSE)*(1-interactive!$C$7)</f>
        <v>1.4277741970396874E-3</v>
      </c>
      <c r="AJ262">
        <f>VLOOKUP($A262,raw[],36,FALSE)*(1-interactive!$C$7)</f>
        <v>1.7070112676730684E-3</v>
      </c>
      <c r="AK262">
        <f>VLOOKUP($A262,raw[],37,FALSE)*(1-interactive!$C$7)</f>
        <v>2.3007478154776439E-3</v>
      </c>
      <c r="AL262">
        <f>VLOOKUP($A262,raw[],38,FALSE)*(1-interactive!$C$7)</f>
        <v>3.3067611595702013E-3</v>
      </c>
      <c r="AM262">
        <f>VLOOKUP($A262,raw[],39,FALSE)*(1-interactive!$C$7)</f>
        <v>4.9702010836280208E-3</v>
      </c>
      <c r="AN262">
        <f>VLOOKUP($A262,raw[],40,FALSE)*(1-interactive!$C$7)</f>
        <v>7.5124637061862697E-3</v>
      </c>
      <c r="AO262">
        <f>VLOOKUP($A262,raw[],41,FALSE)*(1-interactive!$C$7)</f>
        <v>1.109370105787404E-2</v>
      </c>
      <c r="AP262">
        <f>VLOOKUP($A262,raw[],42,FALSE)*(1-interactive!$C$7)</f>
        <v>1.7601659377743648E-2</v>
      </c>
      <c r="AQ262">
        <f>VLOOKUP($A262,raw[],43,FALSE)*(1-interactive!$C$7)</f>
        <v>2.8029534412279334E-2</v>
      </c>
      <c r="AR262">
        <f>VLOOKUP($A262,raw[],44,FALSE)*(1-interactive!$C$7)</f>
        <v>4.3460863658412376E-2</v>
      </c>
      <c r="AS262">
        <f>VLOOKUP($A262,raw[],45,FALSE)*(1-interactive!$C$7)</f>
        <v>6.5360935881491E-2</v>
      </c>
      <c r="AT262">
        <f>VLOOKUP($A262,raw[],46,FALSE)*(1-interactive!$C$7)</f>
        <v>9.4603362877106995E-2</v>
      </c>
      <c r="AU262">
        <f>VLOOKUP($A262,raw[],47,FALSE)*(1-interactive!$C$7)</f>
        <v>0.12764772932279556</v>
      </c>
      <c r="AV262">
        <f>VLOOKUP($A262,raw[],48,FALSE)*(1-interactive!$C$7)</f>
        <v>0.15569502839453303</v>
      </c>
      <c r="AW262">
        <f>VLOOKUP($A262,raw[],49,FALSE)*(1-interactive!$C$7)</f>
        <v>0.17289009455463905</v>
      </c>
      <c r="AX262">
        <f>VLOOKUP($A262,raw[],50,FALSE)*(1-interactive!$C$7)</f>
        <v>67.203949999999992</v>
      </c>
    </row>
    <row r="263" spans="1:50" x14ac:dyDescent="0.25">
      <c r="A263" t="s">
        <v>470</v>
      </c>
      <c r="B263" t="s">
        <v>471</v>
      </c>
      <c r="C263">
        <v>788</v>
      </c>
      <c r="D263" t="s">
        <v>196</v>
      </c>
      <c r="E263" t="s">
        <v>197</v>
      </c>
      <c r="F263" t="s">
        <v>197</v>
      </c>
      <c r="G263" t="s">
        <v>212</v>
      </c>
      <c r="J263">
        <f>VLOOKUP(raw_lb[[#This Row],[setting]],raw[],10,FALSE)*(1-interactive!$C$7)</f>
        <v>0.94714999999999994</v>
      </c>
      <c r="K263">
        <f>VLOOKUP(raw_lb[[#This Row],[setting]],raw[],11,FALSE)*(1-interactive!$C$7)</f>
        <v>0.70299999999999996</v>
      </c>
      <c r="L263">
        <f>VLOOKUP(raw_lb[[#This Row],[setting]],raw[],12,FALSE)*(1-interactive!$C$7)</f>
        <v>0.874</v>
      </c>
      <c r="M263">
        <v>2.4900000000000002E-2</v>
      </c>
      <c r="N263">
        <v>0.14980000000000002</v>
      </c>
      <c r="O263">
        <v>0.7</v>
      </c>
      <c r="P263">
        <v>0.05</v>
      </c>
      <c r="Q263">
        <v>1.66251655716163</v>
      </c>
      <c r="R263">
        <v>8.7234165571616309</v>
      </c>
      <c r="S263">
        <v>45.904980187689063</v>
      </c>
      <c r="T263">
        <v>50.048695791594056</v>
      </c>
      <c r="U263">
        <v>48.145989173270578</v>
      </c>
      <c r="V263">
        <v>2.2407850209382336</v>
      </c>
      <c r="W263">
        <v>2.6967850209382336</v>
      </c>
      <c r="X263">
        <v>1.764267397937523</v>
      </c>
      <c r="Y263">
        <v>2.2202673979375227</v>
      </c>
      <c r="Z263">
        <v>2.2145414665705303</v>
      </c>
      <c r="AA263">
        <v>2.4020032893721721</v>
      </c>
      <c r="AB263">
        <v>2.8580032893721721</v>
      </c>
      <c r="AC263">
        <f>VLOOKUP($A263,raw[],29,FALSE)*(1-interactive!$C$7)</f>
        <v>1.2043777000000032E-2</v>
      </c>
      <c r="AD263">
        <f>VLOOKUP($A263,raw[],30,FALSE)*(1-interactive!$C$7)</f>
        <v>1.8646202718354231E-4</v>
      </c>
      <c r="AE263">
        <f>VLOOKUP($A263,raw[],31,FALSE)*(1-interactive!$C$7)</f>
        <v>1.3802218624736555E-4</v>
      </c>
      <c r="AF263">
        <f>VLOOKUP($A263,raw[],32,FALSE)*(1-interactive!$C$7)</f>
        <v>2.3339325877846009E-4</v>
      </c>
      <c r="AG263">
        <f>VLOOKUP($A263,raw[],33,FALSE)*(1-interactive!$C$7)</f>
        <v>3.509874448460744E-4</v>
      </c>
      <c r="AH263">
        <f>VLOOKUP($A263,raw[],34,FALSE)*(1-interactive!$C$7)</f>
        <v>4.7707405894497669E-4</v>
      </c>
      <c r="AI263">
        <f>VLOOKUP($A263,raw[],35,FALSE)*(1-interactive!$C$7)</f>
        <v>5.4175605424169871E-4</v>
      </c>
      <c r="AJ263">
        <f>VLOOKUP($A263,raw[],36,FALSE)*(1-interactive!$C$7)</f>
        <v>6.3528887470176644E-4</v>
      </c>
      <c r="AK263">
        <f>VLOOKUP($A263,raw[],37,FALSE)*(1-interactive!$C$7)</f>
        <v>8.9214680452671924E-4</v>
      </c>
      <c r="AL263">
        <f>VLOOKUP($A263,raw[],38,FALSE)*(1-interactive!$C$7)</f>
        <v>1.4209208890491481E-3</v>
      </c>
      <c r="AM263">
        <f>VLOOKUP($A263,raw[],39,FALSE)*(1-interactive!$C$7)</f>
        <v>2.3351041333832898E-3</v>
      </c>
      <c r="AN263">
        <f>VLOOKUP($A263,raw[],40,FALSE)*(1-interactive!$C$7)</f>
        <v>4.0036358811922418E-3</v>
      </c>
      <c r="AO263">
        <f>VLOOKUP($A263,raw[],41,FALSE)*(1-interactive!$C$7)</f>
        <v>6.7034351583899537E-3</v>
      </c>
      <c r="AP263">
        <f>VLOOKUP($A263,raw[],42,FALSE)*(1-interactive!$C$7)</f>
        <v>1.0826943884477181E-2</v>
      </c>
      <c r="AQ263">
        <f>VLOOKUP($A263,raw[],43,FALSE)*(1-interactive!$C$7)</f>
        <v>1.7133976999965696E-2</v>
      </c>
      <c r="AR263">
        <f>VLOOKUP($A263,raw[],44,FALSE)*(1-interactive!$C$7)</f>
        <v>2.9380928920997477E-2</v>
      </c>
      <c r="AS263">
        <f>VLOOKUP($A263,raw[],45,FALSE)*(1-interactive!$C$7)</f>
        <v>4.9030699027522745E-2</v>
      </c>
      <c r="AT263">
        <f>VLOOKUP($A263,raw[],46,FALSE)*(1-interactive!$C$7)</f>
        <v>7.6322755424268973E-2</v>
      </c>
      <c r="AU263">
        <f>VLOOKUP($A263,raw[],47,FALSE)*(1-interactive!$C$7)</f>
        <v>0.10814500264214966</v>
      </c>
      <c r="AV263">
        <f>VLOOKUP($A263,raw[],48,FALSE)*(1-interactive!$C$7)</f>
        <v>0.13732782429761964</v>
      </c>
      <c r="AW263">
        <f>VLOOKUP($A263,raw[],49,FALSE)*(1-interactive!$C$7)</f>
        <v>0.15926850294457592</v>
      </c>
      <c r="AX263">
        <f>VLOOKUP($A263,raw[],50,FALSE)*(1-interactive!$C$7)</f>
        <v>72.591400000000007</v>
      </c>
    </row>
    <row r="264" spans="1:50" x14ac:dyDescent="0.25">
      <c r="A264" t="s">
        <v>472</v>
      </c>
      <c r="B264" t="s">
        <v>473</v>
      </c>
      <c r="C264">
        <v>792</v>
      </c>
      <c r="D264" t="s">
        <v>201</v>
      </c>
      <c r="E264" t="s">
        <v>197</v>
      </c>
      <c r="F264" t="s">
        <v>197</v>
      </c>
      <c r="G264" t="s">
        <v>204</v>
      </c>
      <c r="J264">
        <f>VLOOKUP(raw_lb[[#This Row],[setting]],raw[],10,FALSE)*(1-interactive!$C$7)</f>
        <v>0.92339999999999989</v>
      </c>
      <c r="K264">
        <f>VLOOKUP(raw_lb[[#This Row],[setting]],raw[],11,FALSE)*(1-interactive!$C$7)</f>
        <v>0.9405</v>
      </c>
      <c r="L264">
        <f>VLOOKUP(raw_lb[[#This Row],[setting]],raw[],12,FALSE)*(1-interactive!$C$7)</f>
        <v>0.93099999999999994</v>
      </c>
      <c r="M264">
        <v>3.0299999999999997E-2</v>
      </c>
      <c r="N264">
        <v>0.14980000000000002</v>
      </c>
      <c r="O264">
        <v>0.7</v>
      </c>
      <c r="P264">
        <v>0.05</v>
      </c>
      <c r="Q264">
        <v>3.1322574109173602</v>
      </c>
      <c r="R264">
        <v>10.193157410917362</v>
      </c>
      <c r="S264">
        <v>61.343107453441633</v>
      </c>
      <c r="T264">
        <v>72.756879973657576</v>
      </c>
      <c r="U264">
        <v>67.515916888790571</v>
      </c>
      <c r="V264">
        <v>1.5357550960432662</v>
      </c>
      <c r="W264">
        <v>1.9917550960432662</v>
      </c>
      <c r="X264">
        <v>1.0567322656463656</v>
      </c>
      <c r="Y264">
        <v>1.5127322656463655</v>
      </c>
      <c r="Z264">
        <v>1.5054687803360247</v>
      </c>
      <c r="AA264">
        <v>1.7047037187283052</v>
      </c>
      <c r="AB264">
        <v>2.1607037187283051</v>
      </c>
      <c r="AC264">
        <f>VLOOKUP($A264,raw[],29,FALSE)*(1-interactive!$C$7)</f>
        <v>8.4564249999999445E-3</v>
      </c>
      <c r="AD264">
        <f>VLOOKUP($A264,raw[],30,FALSE)*(1-interactive!$C$7)</f>
        <v>1.0421691184075087E-3</v>
      </c>
      <c r="AE264">
        <f>VLOOKUP($A264,raw[],31,FALSE)*(1-interactive!$C$7)</f>
        <v>6.4822045814506228E-4</v>
      </c>
      <c r="AF264">
        <f>VLOOKUP($A264,raw[],32,FALSE)*(1-interactive!$C$7)</f>
        <v>5.5379175763665565E-4</v>
      </c>
      <c r="AG264">
        <f>VLOOKUP($A264,raw[],33,FALSE)*(1-interactive!$C$7)</f>
        <v>6.5703029200704784E-4</v>
      </c>
      <c r="AH264">
        <f>VLOOKUP($A264,raw[],34,FALSE)*(1-interactive!$C$7)</f>
        <v>9.1296930510685625E-4</v>
      </c>
      <c r="AI264">
        <f>VLOOKUP($A264,raw[],35,FALSE)*(1-interactive!$C$7)</f>
        <v>1.1156362199813777E-3</v>
      </c>
      <c r="AJ264">
        <f>VLOOKUP($A264,raw[],36,FALSE)*(1-interactive!$C$7)</f>
        <v>1.3084990666076151E-3</v>
      </c>
      <c r="AK264">
        <f>VLOOKUP($A264,raw[],37,FALSE)*(1-interactive!$C$7)</f>
        <v>1.5507449909580358E-3</v>
      </c>
      <c r="AL264">
        <f>VLOOKUP($A264,raw[],38,FALSE)*(1-interactive!$C$7)</f>
        <v>1.9034709217116033E-3</v>
      </c>
      <c r="AM264">
        <f>VLOOKUP($A264,raw[],39,FALSE)*(1-interactive!$C$7)</f>
        <v>2.4609762638277332E-3</v>
      </c>
      <c r="AN264">
        <f>VLOOKUP($A264,raw[],40,FALSE)*(1-interactive!$C$7)</f>
        <v>3.3569917204780315E-3</v>
      </c>
      <c r="AO264">
        <f>VLOOKUP($A264,raw[],41,FALSE)*(1-interactive!$C$7)</f>
        <v>4.9724966456522008E-3</v>
      </c>
      <c r="AP264">
        <f>VLOOKUP($A264,raw[],42,FALSE)*(1-interactive!$C$7)</f>
        <v>7.7341605555831259E-3</v>
      </c>
      <c r="AQ264">
        <f>VLOOKUP($A264,raw[],43,FALSE)*(1-interactive!$C$7)</f>
        <v>1.2591020888198383E-2</v>
      </c>
      <c r="AR264">
        <f>VLOOKUP($A264,raw[],44,FALSE)*(1-interactive!$C$7)</f>
        <v>2.2501919797720666E-2</v>
      </c>
      <c r="AS264">
        <f>VLOOKUP($A264,raw[],45,FALSE)*(1-interactive!$C$7)</f>
        <v>3.9819690670288843E-2</v>
      </c>
      <c r="AT264">
        <f>VLOOKUP($A264,raw[],46,FALSE)*(1-interactive!$C$7)</f>
        <v>6.5836572399523716E-2</v>
      </c>
      <c r="AU264">
        <f>VLOOKUP($A264,raw[],47,FALSE)*(1-interactive!$C$7)</f>
        <v>9.8746977446668258E-2</v>
      </c>
      <c r="AV264">
        <f>VLOOKUP($A264,raw[],48,FALSE)*(1-interactive!$C$7)</f>
        <v>0.13286585200449091</v>
      </c>
      <c r="AW264">
        <f>VLOOKUP($A264,raw[],49,FALSE)*(1-interactive!$C$7)</f>
        <v>0.15986247594708572</v>
      </c>
      <c r="AX264">
        <f>VLOOKUP($A264,raw[],50,FALSE)*(1-interactive!$C$7)</f>
        <v>73.441649999999996</v>
      </c>
    </row>
    <row r="265" spans="1:50" x14ac:dyDescent="0.25">
      <c r="A265" t="s">
        <v>474</v>
      </c>
      <c r="B265" t="s">
        <v>475</v>
      </c>
      <c r="C265">
        <v>795</v>
      </c>
      <c r="D265" t="s">
        <v>201</v>
      </c>
      <c r="E265" t="s">
        <v>220</v>
      </c>
      <c r="F265" t="s">
        <v>203</v>
      </c>
      <c r="G265" t="s">
        <v>204</v>
      </c>
      <c r="J265">
        <f>VLOOKUP(raw_lb[[#This Row],[setting]],raw[],10,FALSE)*(1-interactive!$C$7)</f>
        <v>0.94904999999999995</v>
      </c>
      <c r="K265">
        <f>VLOOKUP(raw_lb[[#This Row],[setting]],raw[],11,FALSE)*(1-interactive!$C$7)</f>
        <v>0.9405</v>
      </c>
      <c r="L265">
        <f>VLOOKUP(raw_lb[[#This Row],[setting]],raw[],12,FALSE)*(1-interactive!$C$7)</f>
        <v>0.9405</v>
      </c>
      <c r="M265">
        <v>3.7000000000000002E-3</v>
      </c>
      <c r="N265">
        <v>0.16309999999999999</v>
      </c>
      <c r="O265">
        <v>0.7</v>
      </c>
      <c r="P265">
        <v>0.05</v>
      </c>
      <c r="Q265">
        <v>1.51644948096886</v>
      </c>
      <c r="R265">
        <v>8.5773494809688611</v>
      </c>
      <c r="S265">
        <v>44.992970807513473</v>
      </c>
      <c r="T265">
        <v>48.738040212757831</v>
      </c>
      <c r="U265">
        <v>47.018383502552155</v>
      </c>
      <c r="V265">
        <v>3.0062451821332892</v>
      </c>
      <c r="W265">
        <v>6.8727451821332899</v>
      </c>
      <c r="X265">
        <v>2.5285679633463793</v>
      </c>
      <c r="Y265">
        <v>6.3950679633463796</v>
      </c>
      <c r="Z265">
        <v>6.3887995291158362</v>
      </c>
      <c r="AA265">
        <v>3.1710416318503576</v>
      </c>
      <c r="AB265">
        <v>7.0375416318503579</v>
      </c>
      <c r="AC265">
        <f>VLOOKUP($A265,raw[],29,FALSE)*(1-interactive!$C$7)</f>
        <v>4.1146637500000055E-2</v>
      </c>
      <c r="AD265">
        <f>VLOOKUP($A265,raw[],30,FALSE)*(1-interactive!$C$7)</f>
        <v>2.0232443919136513E-3</v>
      </c>
      <c r="AE265">
        <f>VLOOKUP($A265,raw[],31,FALSE)*(1-interactive!$C$7)</f>
        <v>3.6683862256201558E-4</v>
      </c>
      <c r="AF265">
        <f>VLOOKUP($A265,raw[],32,FALSE)*(1-interactive!$C$7)</f>
        <v>3.5962278190081567E-4</v>
      </c>
      <c r="AG265">
        <f>VLOOKUP($A265,raw[],33,FALSE)*(1-interactive!$C$7)</f>
        <v>8.2895749673871566E-4</v>
      </c>
      <c r="AH265">
        <f>VLOOKUP($A265,raw[],34,FALSE)*(1-interactive!$C$7)</f>
        <v>1.1107501504450845E-3</v>
      </c>
      <c r="AI265">
        <f>VLOOKUP($A265,raw[],35,FALSE)*(1-interactive!$C$7)</f>
        <v>1.4327499401443626E-3</v>
      </c>
      <c r="AJ265">
        <f>VLOOKUP($A265,raw[],36,FALSE)*(1-interactive!$C$7)</f>
        <v>1.9559287299645146E-3</v>
      </c>
      <c r="AK265">
        <f>VLOOKUP($A265,raw[],37,FALSE)*(1-interactive!$C$7)</f>
        <v>2.7638307797736229E-3</v>
      </c>
      <c r="AL265">
        <f>VLOOKUP($A265,raw[],38,FALSE)*(1-interactive!$C$7)</f>
        <v>3.8999405679726704E-3</v>
      </c>
      <c r="AM265">
        <f>VLOOKUP($A265,raw[],39,FALSE)*(1-interactive!$C$7)</f>
        <v>5.4123785357637249E-3</v>
      </c>
      <c r="AN265">
        <f>VLOOKUP($A265,raw[],40,FALSE)*(1-interactive!$C$7)</f>
        <v>8.4984812779280924E-3</v>
      </c>
      <c r="AO265">
        <f>VLOOKUP($A265,raw[],41,FALSE)*(1-interactive!$C$7)</f>
        <v>1.2486325842538124E-2</v>
      </c>
      <c r="AP265">
        <f>VLOOKUP($A265,raw[],42,FALSE)*(1-interactive!$C$7)</f>
        <v>2.0551613239709342E-2</v>
      </c>
      <c r="AQ265">
        <f>VLOOKUP($A265,raw[],43,FALSE)*(1-interactive!$C$7)</f>
        <v>2.648432416332043E-2</v>
      </c>
      <c r="AR265">
        <f>VLOOKUP($A265,raw[],44,FALSE)*(1-interactive!$C$7)</f>
        <v>4.7713939265110396E-2</v>
      </c>
      <c r="AS265">
        <f>VLOOKUP($A265,raw[],45,FALSE)*(1-interactive!$C$7)</f>
        <v>5.2015902340051323E-2</v>
      </c>
      <c r="AT265">
        <f>VLOOKUP($A265,raw[],46,FALSE)*(1-interactive!$C$7)</f>
        <v>8.5331656192873709E-2</v>
      </c>
      <c r="AU265">
        <f>VLOOKUP($A265,raw[],47,FALSE)*(1-interactive!$C$7)</f>
        <v>0.11309996437800535</v>
      </c>
      <c r="AV265">
        <f>VLOOKUP($A265,raw[],48,FALSE)*(1-interactive!$C$7)</f>
        <v>0.13985670337863501</v>
      </c>
      <c r="AW265">
        <f>VLOOKUP($A265,raw[],49,FALSE)*(1-interactive!$C$7)</f>
        <v>0.16040722950004987</v>
      </c>
      <c r="AX265">
        <f>VLOOKUP($A265,raw[],50,FALSE)*(1-interactive!$C$7)</f>
        <v>64.583849999999998</v>
      </c>
    </row>
    <row r="266" spans="1:50" x14ac:dyDescent="0.25">
      <c r="A266" t="s">
        <v>476</v>
      </c>
      <c r="B266" t="s">
        <v>477</v>
      </c>
      <c r="C266">
        <v>798</v>
      </c>
      <c r="D266" t="s">
        <v>260</v>
      </c>
      <c r="E266" t="s">
        <v>309</v>
      </c>
      <c r="F266" t="s">
        <v>262</v>
      </c>
      <c r="G266" t="s">
        <v>204</v>
      </c>
      <c r="J266">
        <f>VLOOKUP(raw_lb[[#This Row],[setting]],raw[],10,FALSE)*(1-interactive!$C$7)</f>
        <v>0.88349999999999995</v>
      </c>
      <c r="K266">
        <f>VLOOKUP(raw_lb[[#This Row],[setting]],raw[],11,FALSE)*(1-interactive!$C$7)</f>
        <v>0.9405</v>
      </c>
      <c r="L266">
        <f>VLOOKUP(raw_lb[[#This Row],[setting]],raw[],12,FALSE)*(1-interactive!$C$7)</f>
        <v>0.88349999999999995</v>
      </c>
      <c r="M266">
        <v>4.0599999999999997E-2</v>
      </c>
      <c r="N266">
        <v>0</v>
      </c>
      <c r="O266">
        <v>0.7</v>
      </c>
      <c r="P266">
        <v>0.05</v>
      </c>
      <c r="Q266">
        <v>1.4073440172616711</v>
      </c>
      <c r="R266">
        <v>8.4682440172616715</v>
      </c>
      <c r="S266">
        <v>42.079815146787112</v>
      </c>
      <c r="T266">
        <v>44.365474429254938</v>
      </c>
      <c r="U266">
        <v>43.31594799942814</v>
      </c>
      <c r="V266">
        <v>5.0356314562934079</v>
      </c>
      <c r="W266">
        <v>5.6341314562934075</v>
      </c>
      <c r="X266">
        <v>4.5625667128523313</v>
      </c>
      <c r="Y266">
        <v>5.1610667128523309</v>
      </c>
      <c r="Z266">
        <v>5.1579078971284087</v>
      </c>
      <c r="AA266">
        <v>5.1861951249433345</v>
      </c>
      <c r="AB266">
        <v>5.784695124943334</v>
      </c>
      <c r="AC266">
        <f>VLOOKUP($A266,raw[],29,FALSE)*(1-interactive!$C$7)</f>
        <v>0</v>
      </c>
      <c r="AD266">
        <f>VLOOKUP($A266,raw[],30,FALSE)*(1-interactive!$C$7)</f>
        <v>0</v>
      </c>
      <c r="AE266">
        <f>VLOOKUP($A266,raw[],31,FALSE)*(1-interactive!$C$7)</f>
        <v>0</v>
      </c>
      <c r="AF266">
        <f>VLOOKUP($A266,raw[],32,FALSE)*(1-interactive!$C$7)</f>
        <v>0</v>
      </c>
      <c r="AG266">
        <f>VLOOKUP($A266,raw[],33,FALSE)*(1-interactive!$C$7)</f>
        <v>0</v>
      </c>
      <c r="AH266">
        <f>VLOOKUP($A266,raw[],34,FALSE)*(1-interactive!$C$7)</f>
        <v>0</v>
      </c>
      <c r="AI266">
        <f>VLOOKUP($A266,raw[],35,FALSE)*(1-interactive!$C$7)</f>
        <v>0</v>
      </c>
      <c r="AJ266">
        <f>VLOOKUP($A266,raw[],36,FALSE)*(1-interactive!$C$7)</f>
        <v>0</v>
      </c>
      <c r="AK266">
        <f>VLOOKUP($A266,raw[],37,FALSE)*(1-interactive!$C$7)</f>
        <v>0</v>
      </c>
      <c r="AL266">
        <f>VLOOKUP($A266,raw[],38,FALSE)*(1-interactive!$C$7)</f>
        <v>0</v>
      </c>
      <c r="AM266">
        <f>VLOOKUP($A266,raw[],39,FALSE)*(1-interactive!$C$7)</f>
        <v>0</v>
      </c>
      <c r="AN266">
        <f>VLOOKUP($A266,raw[],40,FALSE)*(1-interactive!$C$7)</f>
        <v>0</v>
      </c>
      <c r="AO266">
        <f>VLOOKUP($A266,raw[],41,FALSE)*(1-interactive!$C$7)</f>
        <v>0</v>
      </c>
      <c r="AP266">
        <f>VLOOKUP($A266,raw[],42,FALSE)*(1-interactive!$C$7)</f>
        <v>0</v>
      </c>
      <c r="AQ266">
        <f>VLOOKUP($A266,raw[],43,FALSE)*(1-interactive!$C$7)</f>
        <v>0</v>
      </c>
      <c r="AR266">
        <f>VLOOKUP($A266,raw[],44,FALSE)*(1-interactive!$C$7)</f>
        <v>0</v>
      </c>
      <c r="AS266">
        <f>VLOOKUP($A266,raw[],45,FALSE)*(1-interactive!$C$7)</f>
        <v>0</v>
      </c>
      <c r="AT266">
        <f>VLOOKUP($A266,raw[],46,FALSE)*(1-interactive!$C$7)</f>
        <v>0</v>
      </c>
      <c r="AU266">
        <f>VLOOKUP($A266,raw[],47,FALSE)*(1-interactive!$C$7)</f>
        <v>0</v>
      </c>
      <c r="AV266">
        <f>VLOOKUP($A266,raw[],48,FALSE)*(1-interactive!$C$7)</f>
        <v>0</v>
      </c>
      <c r="AW266">
        <f>VLOOKUP($A266,raw[],49,FALSE)*(1-interactive!$C$7)</f>
        <v>0</v>
      </c>
      <c r="AX266">
        <f>VLOOKUP($A266,raw[],50,FALSE)*(1-interactive!$C$7)</f>
        <v>0</v>
      </c>
    </row>
    <row r="267" spans="1:50" x14ac:dyDescent="0.25">
      <c r="A267" t="s">
        <v>478</v>
      </c>
      <c r="B267" t="s">
        <v>479</v>
      </c>
      <c r="C267">
        <v>800</v>
      </c>
      <c r="D267" t="s">
        <v>207</v>
      </c>
      <c r="E267" t="s">
        <v>255</v>
      </c>
      <c r="F267" t="s">
        <v>211</v>
      </c>
      <c r="G267" t="s">
        <v>198</v>
      </c>
      <c r="J267">
        <f>VLOOKUP(raw_lb[[#This Row],[setting]],raw[],10,FALSE)*(1-interactive!$C$7)</f>
        <v>0.69730000000000003</v>
      </c>
      <c r="K267">
        <f>VLOOKUP(raw_lb[[#This Row],[setting]],raw[],11,FALSE)*(1-interactive!$C$7)</f>
        <v>0</v>
      </c>
      <c r="L267">
        <f>VLOOKUP(raw_lb[[#This Row],[setting]],raw[],12,FALSE)*(1-interactive!$C$7)</f>
        <v>0.84549999999999992</v>
      </c>
      <c r="M267">
        <v>3.1300000000000001E-2</v>
      </c>
      <c r="N267">
        <v>0.15560000000000002</v>
      </c>
      <c r="O267">
        <v>7.0000000000000007E-2</v>
      </c>
      <c r="P267">
        <v>1E-3</v>
      </c>
      <c r="Q267">
        <v>0.65608536585365906</v>
      </c>
      <c r="R267">
        <v>7.7169853658536596</v>
      </c>
      <c r="S267">
        <v>37.519478848360727</v>
      </c>
      <c r="T267">
        <v>37.822646347190044</v>
      </c>
      <c r="U267">
        <v>37.683438239872181</v>
      </c>
      <c r="V267">
        <v>1.0933857950715651</v>
      </c>
      <c r="W267">
        <v>5.6818857950715653</v>
      </c>
      <c r="X267">
        <v>0.62252550036889442</v>
      </c>
      <c r="Y267">
        <v>5.2110255003688941</v>
      </c>
      <c r="Z267">
        <v>5.2092068382883232</v>
      </c>
      <c r="AA267">
        <v>1.237147164757266</v>
      </c>
      <c r="AB267">
        <v>5.8256471647572656</v>
      </c>
      <c r="AC267">
        <f>VLOOKUP($A267,raw[],29,FALSE)*(1-interactive!$C$7)</f>
        <v>4.3842291000000026E-2</v>
      </c>
      <c r="AD267">
        <f>VLOOKUP($A267,raw[],30,FALSE)*(1-interactive!$C$7)</f>
        <v>4.1483348664531263E-3</v>
      </c>
      <c r="AE267">
        <f>VLOOKUP($A267,raw[],31,FALSE)*(1-interactive!$C$7)</f>
        <v>1.4087058346985977E-3</v>
      </c>
      <c r="AF267">
        <f>VLOOKUP($A267,raw[],32,FALSE)*(1-interactive!$C$7)</f>
        <v>1.0569370898993171E-3</v>
      </c>
      <c r="AG267">
        <f>VLOOKUP($A267,raw[],33,FALSE)*(1-interactive!$C$7)</f>
        <v>1.7306198298368213E-3</v>
      </c>
      <c r="AH267">
        <f>VLOOKUP($A267,raw[],34,FALSE)*(1-interactive!$C$7)</f>
        <v>2.6646276044239663E-3</v>
      </c>
      <c r="AI267">
        <f>VLOOKUP($A267,raw[],35,FALSE)*(1-interactive!$C$7)</f>
        <v>3.4591000030173031E-3</v>
      </c>
      <c r="AJ267">
        <f>VLOOKUP($A267,raw[],36,FALSE)*(1-interactive!$C$7)</f>
        <v>4.3139011127201615E-3</v>
      </c>
      <c r="AK267">
        <f>VLOOKUP($A267,raw[],37,FALSE)*(1-interactive!$C$7)</f>
        <v>5.5143766499736952E-3</v>
      </c>
      <c r="AL267">
        <f>VLOOKUP($A267,raw[],38,FALSE)*(1-interactive!$C$7)</f>
        <v>6.8057453827152243E-3</v>
      </c>
      <c r="AM267">
        <f>VLOOKUP($A267,raw[],39,FALSE)*(1-interactive!$C$7)</f>
        <v>8.4053673610762335E-3</v>
      </c>
      <c r="AN267">
        <f>VLOOKUP($A267,raw[],40,FALSE)*(1-interactive!$C$7)</f>
        <v>1.1264111727648114E-2</v>
      </c>
      <c r="AO267">
        <f>VLOOKUP($A267,raw[],41,FALSE)*(1-interactive!$C$7)</f>
        <v>1.4520928611650177E-2</v>
      </c>
      <c r="AP267">
        <f>VLOOKUP($A267,raw[],42,FALSE)*(1-interactive!$C$7)</f>
        <v>2.0725823477780011E-2</v>
      </c>
      <c r="AQ267">
        <f>VLOOKUP($A267,raw[],43,FALSE)*(1-interactive!$C$7)</f>
        <v>3.0745960608434694E-2</v>
      </c>
      <c r="AR267">
        <f>VLOOKUP($A267,raw[],44,FALSE)*(1-interactive!$C$7)</f>
        <v>4.6342711284988805E-2</v>
      </c>
      <c r="AS267">
        <f>VLOOKUP($A267,raw[],45,FALSE)*(1-interactive!$C$7)</f>
        <v>6.922120765663406E-2</v>
      </c>
      <c r="AT267">
        <f>VLOOKUP($A267,raw[],46,FALSE)*(1-interactive!$C$7)</f>
        <v>0.10195471542840176</v>
      </c>
      <c r="AU267">
        <f>VLOOKUP($A267,raw[],47,FALSE)*(1-interactive!$C$7)</f>
        <v>0.13948640334917306</v>
      </c>
      <c r="AV267">
        <f>VLOOKUP($A267,raw[],48,FALSE)*(1-interactive!$C$7)</f>
        <v>0.16968953165114517</v>
      </c>
      <c r="AW267">
        <f>VLOOKUP($A267,raw[],49,FALSE)*(1-interactive!$C$7)</f>
        <v>0.17951145852260728</v>
      </c>
      <c r="AX267">
        <f>VLOOKUP($A267,raw[],50,FALSE)*(1-interactive!$C$7)</f>
        <v>59.618199999999995</v>
      </c>
    </row>
    <row r="268" spans="1:50" x14ac:dyDescent="0.25">
      <c r="A268" t="s">
        <v>480</v>
      </c>
      <c r="B268" t="s">
        <v>481</v>
      </c>
      <c r="C268">
        <v>804</v>
      </c>
      <c r="D268" t="s">
        <v>201</v>
      </c>
      <c r="E268" t="s">
        <v>229</v>
      </c>
      <c r="F268" t="s">
        <v>203</v>
      </c>
      <c r="G268" t="s">
        <v>212</v>
      </c>
      <c r="J268">
        <f>VLOOKUP(raw_lb[[#This Row],[setting]],raw[],10,FALSE)*(1-interactive!$C$7)</f>
        <v>0.93955000000000011</v>
      </c>
      <c r="K268">
        <f>VLOOKUP(raw_lb[[#This Row],[setting]],raw[],11,FALSE)*(1-interactive!$C$7)</f>
        <v>0.65549999999999997</v>
      </c>
      <c r="L268">
        <f>VLOOKUP(raw_lb[[#This Row],[setting]],raw[],12,FALSE)*(1-interactive!$C$7)</f>
        <v>0.76949999999999996</v>
      </c>
      <c r="M268">
        <v>8.3000000000000001E-3</v>
      </c>
      <c r="N268">
        <v>0.16339999999999999</v>
      </c>
      <c r="O268">
        <v>0.7</v>
      </c>
      <c r="P268">
        <v>0.05</v>
      </c>
      <c r="Q268">
        <v>1.2612465689540311</v>
      </c>
      <c r="R268">
        <v>8.3221465689540324</v>
      </c>
      <c r="S268">
        <v>42.35631811778498</v>
      </c>
      <c r="T268">
        <v>44.861926148131737</v>
      </c>
      <c r="U268">
        <v>43.711403902403184</v>
      </c>
      <c r="V268">
        <v>0.62381880816729574</v>
      </c>
      <c r="W268">
        <v>4.490318808167296</v>
      </c>
      <c r="X268">
        <v>0.14685821395461843</v>
      </c>
      <c r="Y268">
        <v>4.0133582139546187</v>
      </c>
      <c r="Z268">
        <v>4.0073797169432792</v>
      </c>
      <c r="AA268">
        <v>0.78640395919816042</v>
      </c>
      <c r="AB268">
        <v>4.6529039591981611</v>
      </c>
      <c r="AC268">
        <f>VLOOKUP($A268,raw[],29,FALSE)*(1-interactive!$C$7)</f>
        <v>6.8388789999999791E-3</v>
      </c>
      <c r="AD268">
        <f>VLOOKUP($A268,raw[],30,FALSE)*(1-interactive!$C$7)</f>
        <v>3.2875338645348509E-4</v>
      </c>
      <c r="AE268">
        <f>VLOOKUP($A268,raw[],31,FALSE)*(1-interactive!$C$7)</f>
        <v>1.9368013529427852E-4</v>
      </c>
      <c r="AF268">
        <f>VLOOKUP($A268,raw[],32,FALSE)*(1-interactive!$C$7)</f>
        <v>2.3745197082734122E-4</v>
      </c>
      <c r="AG268">
        <f>VLOOKUP($A268,raw[],33,FALSE)*(1-interactive!$C$7)</f>
        <v>4.6952070896160521E-4</v>
      </c>
      <c r="AH268">
        <f>VLOOKUP($A268,raw[],34,FALSE)*(1-interactive!$C$7)</f>
        <v>8.6812191855941952E-4</v>
      </c>
      <c r="AI268">
        <f>VLOOKUP($A268,raw[],35,FALSE)*(1-interactive!$C$7)</f>
        <v>1.4095051376432689E-3</v>
      </c>
      <c r="AJ268">
        <f>VLOOKUP($A268,raw[],36,FALSE)*(1-interactive!$C$7)</f>
        <v>2.4106719039444424E-3</v>
      </c>
      <c r="AK268">
        <f>VLOOKUP($A268,raw[],37,FALSE)*(1-interactive!$C$7)</f>
        <v>3.3467122491172775E-3</v>
      </c>
      <c r="AL268">
        <f>VLOOKUP($A268,raw[],38,FALSE)*(1-interactive!$C$7)</f>
        <v>4.3115804337650115E-3</v>
      </c>
      <c r="AM268">
        <f>VLOOKUP($A268,raw[],39,FALSE)*(1-interactive!$C$7)</f>
        <v>5.872272919654661E-3</v>
      </c>
      <c r="AN268">
        <f>VLOOKUP($A268,raw[],40,FALSE)*(1-interactive!$C$7)</f>
        <v>8.2989673449220622E-3</v>
      </c>
      <c r="AO268">
        <f>VLOOKUP($A268,raw[],41,FALSE)*(1-interactive!$C$7)</f>
        <v>1.1992685459986205E-2</v>
      </c>
      <c r="AP268">
        <f>VLOOKUP($A268,raw[],42,FALSE)*(1-interactive!$C$7)</f>
        <v>1.7456227903493229E-2</v>
      </c>
      <c r="AQ268">
        <f>VLOOKUP($A268,raw[],43,FALSE)*(1-interactive!$C$7)</f>
        <v>2.3823510332479265E-2</v>
      </c>
      <c r="AR268">
        <f>VLOOKUP($A268,raw[],44,FALSE)*(1-interactive!$C$7)</f>
        <v>3.666126711416455E-2</v>
      </c>
      <c r="AS268">
        <f>VLOOKUP($A268,raw[],45,FALSE)*(1-interactive!$C$7)</f>
        <v>5.5510789635308706E-2</v>
      </c>
      <c r="AT268">
        <f>VLOOKUP($A268,raw[],46,FALSE)*(1-interactive!$C$7)</f>
        <v>8.0809241969243176E-2</v>
      </c>
      <c r="AU268">
        <f>VLOOKUP($A268,raw[],47,FALSE)*(1-interactive!$C$7)</f>
        <v>0.11117845607389515</v>
      </c>
      <c r="AV268">
        <f>VLOOKUP($A268,raw[],48,FALSE)*(1-interactive!$C$7)</f>
        <v>0.14213891888752622</v>
      </c>
      <c r="AW268">
        <f>VLOOKUP($A268,raw[],49,FALSE)*(1-interactive!$C$7)</f>
        <v>0.16494702161247052</v>
      </c>
      <c r="AX268">
        <f>VLOOKUP($A268,raw[],50,FALSE)*(1-interactive!$C$7)</f>
        <v>68.228049999999996</v>
      </c>
    </row>
    <row r="269" spans="1:50" x14ac:dyDescent="0.25">
      <c r="A269" t="s">
        <v>482</v>
      </c>
      <c r="B269" t="s">
        <v>483</v>
      </c>
      <c r="C269">
        <v>860</v>
      </c>
      <c r="D269" t="s">
        <v>201</v>
      </c>
      <c r="E269" t="s">
        <v>220</v>
      </c>
      <c r="F269" t="s">
        <v>203</v>
      </c>
      <c r="G269" t="s">
        <v>212</v>
      </c>
      <c r="J269">
        <f>VLOOKUP(raw_lb[[#This Row],[setting]],raw[],10,FALSE)*(1-interactive!$C$7)</f>
        <v>0.94619999999999993</v>
      </c>
      <c r="K269">
        <f>VLOOKUP(raw_lb[[#This Row],[setting]],raw[],11,FALSE)*(1-interactive!$C$7)</f>
        <v>0.92149999999999999</v>
      </c>
      <c r="L269">
        <f>VLOOKUP(raw_lb[[#This Row],[setting]],raw[],12,FALSE)*(1-interactive!$C$7)</f>
        <v>0.90249999999999997</v>
      </c>
      <c r="M269">
        <v>4.1399999999999999E-2</v>
      </c>
      <c r="N269">
        <v>0.16309999999999999</v>
      </c>
      <c r="O269">
        <v>0.7</v>
      </c>
      <c r="P269">
        <v>0.05</v>
      </c>
      <c r="Q269">
        <v>0.86758041775456896</v>
      </c>
      <c r="R269">
        <v>7.9284804177545691</v>
      </c>
      <c r="S269">
        <v>38.801309726528032</v>
      </c>
      <c r="T269">
        <v>39.661549613463706</v>
      </c>
      <c r="U269">
        <v>39.266545640537608</v>
      </c>
      <c r="V269">
        <v>1.5600788392318079</v>
      </c>
      <c r="W269">
        <v>5.4265788392318086</v>
      </c>
      <c r="X269">
        <v>1.0880149381102138</v>
      </c>
      <c r="Y269">
        <v>4.954514938110214</v>
      </c>
      <c r="Z269">
        <v>4.9518720316911349</v>
      </c>
      <c r="AA269">
        <v>1.7075541944387584</v>
      </c>
      <c r="AB269">
        <v>5.5740541944387587</v>
      </c>
      <c r="AC269">
        <f>VLOOKUP($A269,raw[],29,FALSE)*(1-interactive!$C$7)</f>
        <v>1.9793696500000058E-2</v>
      </c>
      <c r="AD269">
        <f>VLOOKUP($A269,raw[],30,FALSE)*(1-interactive!$C$7)</f>
        <v>1.1610828315032817E-3</v>
      </c>
      <c r="AE269">
        <f>VLOOKUP($A269,raw[],31,FALSE)*(1-interactive!$C$7)</f>
        <v>2.7321902159453329E-4</v>
      </c>
      <c r="AF269">
        <f>VLOOKUP($A269,raw[],32,FALSE)*(1-interactive!$C$7)</f>
        <v>2.9113663971749084E-4</v>
      </c>
      <c r="AG269">
        <f>VLOOKUP($A269,raw[],33,FALSE)*(1-interactive!$C$7)</f>
        <v>4.7925106618669174E-4</v>
      </c>
      <c r="AH269">
        <f>VLOOKUP($A269,raw[],34,FALSE)*(1-interactive!$C$7)</f>
        <v>6.8824563666749692E-4</v>
      </c>
      <c r="AI269">
        <f>VLOOKUP($A269,raw[],35,FALSE)*(1-interactive!$C$7)</f>
        <v>9.2481463063174706E-4</v>
      </c>
      <c r="AJ269">
        <f>VLOOKUP($A269,raw[],36,FALSE)*(1-interactive!$C$7)</f>
        <v>1.2538720488118732E-3</v>
      </c>
      <c r="AK269">
        <f>VLOOKUP($A269,raw[],37,FALSE)*(1-interactive!$C$7)</f>
        <v>1.7483767232639577E-3</v>
      </c>
      <c r="AL269">
        <f>VLOOKUP($A269,raw[],38,FALSE)*(1-interactive!$C$7)</f>
        <v>2.4411017025501697E-3</v>
      </c>
      <c r="AM269">
        <f>VLOOKUP($A269,raw[],39,FALSE)*(1-interactive!$C$7)</f>
        <v>3.7017912292490692E-3</v>
      </c>
      <c r="AN269">
        <f>VLOOKUP($A269,raw[],40,FALSE)*(1-interactive!$C$7)</f>
        <v>5.9480109849364615E-3</v>
      </c>
      <c r="AO269">
        <f>VLOOKUP($A269,raw[],41,FALSE)*(1-interactive!$C$7)</f>
        <v>1.0063866426749715E-2</v>
      </c>
      <c r="AP269">
        <f>VLOOKUP($A269,raw[],42,FALSE)*(1-interactive!$C$7)</f>
        <v>1.7253268047097037E-2</v>
      </c>
      <c r="AQ269">
        <f>VLOOKUP($A269,raw[],43,FALSE)*(1-interactive!$C$7)</f>
        <v>2.7184517479848111E-2</v>
      </c>
      <c r="AR269">
        <f>VLOOKUP($A269,raw[],44,FALSE)*(1-interactive!$C$7)</f>
        <v>4.2076119924946025E-2</v>
      </c>
      <c r="AS269">
        <f>VLOOKUP($A269,raw[],45,FALSE)*(1-interactive!$C$7)</f>
        <v>6.3590899844076024E-2</v>
      </c>
      <c r="AT269">
        <f>VLOOKUP($A269,raw[],46,FALSE)*(1-interactive!$C$7)</f>
        <v>9.057540278681965E-2</v>
      </c>
      <c r="AU269">
        <f>VLOOKUP($A269,raw[],47,FALSE)*(1-interactive!$C$7)</f>
        <v>0.11940951112968243</v>
      </c>
      <c r="AV269">
        <f>VLOOKUP($A269,raw[],48,FALSE)*(1-interactive!$C$7)</f>
        <v>0.14596056810282015</v>
      </c>
      <c r="AW269">
        <f>VLOOKUP($A269,raw[],49,FALSE)*(1-interactive!$C$7)</f>
        <v>0.16495408714723009</v>
      </c>
      <c r="AX269">
        <f>VLOOKUP($A269,raw[],50,FALSE)*(1-interactive!$C$7)</f>
        <v>67.955399999999997</v>
      </c>
    </row>
    <row r="270" spans="1:50" x14ac:dyDescent="0.25">
      <c r="A270" t="s">
        <v>484</v>
      </c>
      <c r="B270" t="s">
        <v>485</v>
      </c>
      <c r="C270">
        <v>548</v>
      </c>
      <c r="D270" t="s">
        <v>260</v>
      </c>
      <c r="E270" t="s">
        <v>309</v>
      </c>
      <c r="F270" t="s">
        <v>262</v>
      </c>
      <c r="G270" t="s">
        <v>212</v>
      </c>
      <c r="J270">
        <f>VLOOKUP(raw_lb[[#This Row],[setting]],raw[],10,FALSE)*(1-interactive!$C$7)</f>
        <v>0.84075</v>
      </c>
      <c r="K270">
        <f>VLOOKUP(raw_lb[[#This Row],[setting]],raw[],11,FALSE)*(1-interactive!$C$7)</f>
        <v>0.5605</v>
      </c>
      <c r="L270">
        <f>VLOOKUP(raw_lb[[#This Row],[setting]],raw[],12,FALSE)*(1-interactive!$C$7)</f>
        <v>0.74099999999999999</v>
      </c>
      <c r="M270">
        <v>0.10050000000000001</v>
      </c>
      <c r="N270">
        <v>0.1832</v>
      </c>
      <c r="O270">
        <v>0.7</v>
      </c>
      <c r="P270">
        <v>0.05</v>
      </c>
      <c r="Q270">
        <v>1.8601993520518401</v>
      </c>
      <c r="R270">
        <v>8.92109935205184</v>
      </c>
      <c r="S270">
        <v>45.588713152763169</v>
      </c>
      <c r="T270">
        <v>49.464935833385169</v>
      </c>
      <c r="U270">
        <v>47.685056311353158</v>
      </c>
      <c r="V270">
        <v>2.9369361265210423</v>
      </c>
      <c r="W270">
        <v>3.5354361265210423</v>
      </c>
      <c r="X270">
        <v>2.4623360482803514</v>
      </c>
      <c r="Y270">
        <v>3.0608360482803514</v>
      </c>
      <c r="Z270">
        <v>3.0566429801857202</v>
      </c>
      <c r="AA270">
        <v>3.0922373996954904</v>
      </c>
      <c r="AB270">
        <v>3.6907373996954904</v>
      </c>
      <c r="AC270">
        <f>VLOOKUP($A270,raw[],29,FALSE)*(1-interactive!$C$7)</f>
        <v>2.1247319999999976E-2</v>
      </c>
      <c r="AD270">
        <f>VLOOKUP($A270,raw[],30,FALSE)*(1-interactive!$C$7)</f>
        <v>1.0382947091469076E-3</v>
      </c>
      <c r="AE270">
        <f>VLOOKUP($A270,raw[],31,FALSE)*(1-interactive!$C$7)</f>
        <v>4.0577795844397887E-4</v>
      </c>
      <c r="AF270">
        <f>VLOOKUP($A270,raw[],32,FALSE)*(1-interactive!$C$7)</f>
        <v>3.4500920191398192E-4</v>
      </c>
      <c r="AG270">
        <f>VLOOKUP($A270,raw[],33,FALSE)*(1-interactive!$C$7)</f>
        <v>6.9369391968135885E-4</v>
      </c>
      <c r="AH270">
        <f>VLOOKUP($A270,raw[],34,FALSE)*(1-interactive!$C$7)</f>
        <v>8.5901016338658909E-4</v>
      </c>
      <c r="AI270">
        <f>VLOOKUP($A270,raw[],35,FALSE)*(1-interactive!$C$7)</f>
        <v>8.8333980233918155E-4</v>
      </c>
      <c r="AJ270">
        <f>VLOOKUP($A270,raw[],36,FALSE)*(1-interactive!$C$7)</f>
        <v>1.0709129730038303E-3</v>
      </c>
      <c r="AK270">
        <f>VLOOKUP($A270,raw[],37,FALSE)*(1-interactive!$C$7)</f>
        <v>1.4931306788623193E-3</v>
      </c>
      <c r="AL270">
        <f>VLOOKUP($A270,raw[],38,FALSE)*(1-interactive!$C$7)</f>
        <v>2.2335893339214233E-3</v>
      </c>
      <c r="AM270">
        <f>VLOOKUP($A270,raw[],39,FALSE)*(1-interactive!$C$7)</f>
        <v>3.5805633924408191E-3</v>
      </c>
      <c r="AN270">
        <f>VLOOKUP($A270,raw[],40,FALSE)*(1-interactive!$C$7)</f>
        <v>5.7645510913601613E-3</v>
      </c>
      <c r="AO270">
        <f>VLOOKUP($A270,raw[],41,FALSE)*(1-interactive!$C$7)</f>
        <v>9.2980810383636783E-3</v>
      </c>
      <c r="AP270">
        <f>VLOOKUP($A270,raw[],42,FALSE)*(1-interactive!$C$7)</f>
        <v>1.7339152679292168E-2</v>
      </c>
      <c r="AQ270">
        <f>VLOOKUP($A270,raw[],43,FALSE)*(1-interactive!$C$7)</f>
        <v>3.1648190803239482E-2</v>
      </c>
      <c r="AR270">
        <f>VLOOKUP($A270,raw[],44,FALSE)*(1-interactive!$C$7)</f>
        <v>5.2233518281863442E-2</v>
      </c>
      <c r="AS270">
        <f>VLOOKUP($A270,raw[],45,FALSE)*(1-interactive!$C$7)</f>
        <v>7.903125894731175E-2</v>
      </c>
      <c r="AT270">
        <f>VLOOKUP($A270,raw[],46,FALSE)*(1-interactive!$C$7)</f>
        <v>0.11116103316514926</v>
      </c>
      <c r="AU270">
        <f>VLOOKUP($A270,raw[],47,FALSE)*(1-interactive!$C$7)</f>
        <v>0.14390408405989913</v>
      </c>
      <c r="AV270">
        <f>VLOOKUP($A270,raw[],48,FALSE)*(1-interactive!$C$7)</f>
        <v>0.16714172401712657</v>
      </c>
      <c r="AW270">
        <f>VLOOKUP($A270,raw[],49,FALSE)*(1-interactive!$C$7)</f>
        <v>0.17861069067552127</v>
      </c>
      <c r="AX270">
        <f>VLOOKUP($A270,raw[],50,FALSE)*(1-interactive!$C$7)</f>
        <v>66.734650000000002</v>
      </c>
    </row>
    <row r="271" spans="1:50" x14ac:dyDescent="0.25">
      <c r="A271" t="s">
        <v>486</v>
      </c>
      <c r="B271" t="s">
        <v>487</v>
      </c>
      <c r="C271">
        <v>862</v>
      </c>
      <c r="D271" t="s">
        <v>215</v>
      </c>
      <c r="E271" t="s">
        <v>274</v>
      </c>
      <c r="F271" t="s">
        <v>217</v>
      </c>
      <c r="G271" t="s">
        <v>204</v>
      </c>
      <c r="J271">
        <f>VLOOKUP(raw_lb[[#This Row],[setting]],raw[],10,FALSE)*(1-interactive!$C$7)</f>
        <v>0.93955000000000011</v>
      </c>
      <c r="K271">
        <f>VLOOKUP(raw_lb[[#This Row],[setting]],raw[],11,FALSE)*(1-interactive!$C$7)</f>
        <v>0.47499999999999998</v>
      </c>
      <c r="L271">
        <f>VLOOKUP(raw_lb[[#This Row],[setting]],raw[],12,FALSE)*(1-interactive!$C$7)</f>
        <v>0.51300000000000001</v>
      </c>
      <c r="M271">
        <v>1.54E-2</v>
      </c>
      <c r="N271">
        <v>0.16440000000000002</v>
      </c>
      <c r="O271">
        <v>0.7</v>
      </c>
      <c r="P271">
        <v>0.05</v>
      </c>
      <c r="Q271">
        <v>3.4281604888918</v>
      </c>
      <c r="R271">
        <v>10.4890604888918</v>
      </c>
      <c r="S271">
        <v>60.67992842394375</v>
      </c>
      <c r="T271">
        <v>71.594532228240524</v>
      </c>
      <c r="U271">
        <v>66.582776866641112</v>
      </c>
      <c r="V271">
        <v>0.78933181312048339</v>
      </c>
      <c r="W271">
        <v>0.80833181312048341</v>
      </c>
      <c r="X271">
        <v>0.29938621686825823</v>
      </c>
      <c r="Y271">
        <v>0.31838621686825824</v>
      </c>
      <c r="Z271">
        <v>0.3030611997782387</v>
      </c>
      <c r="AA271">
        <v>0.99198497044481015</v>
      </c>
      <c r="AB271">
        <v>1.0109849704448102</v>
      </c>
      <c r="AC271">
        <f>VLOOKUP($A271,raw[],29,FALSE)*(1-interactive!$C$7)</f>
        <v>2.4414990499999963E-2</v>
      </c>
      <c r="AD271">
        <f>VLOOKUP($A271,raw[],30,FALSE)*(1-interactive!$C$7)</f>
        <v>1.2561002642297037E-3</v>
      </c>
      <c r="AE271">
        <f>VLOOKUP($A271,raw[],31,FALSE)*(1-interactive!$C$7)</f>
        <v>2.2869861787442206E-4</v>
      </c>
      <c r="AF271">
        <f>VLOOKUP($A271,raw[],32,FALSE)*(1-interactive!$C$7)</f>
        <v>3.2978224614118229E-4</v>
      </c>
      <c r="AG271">
        <f>VLOOKUP($A271,raw[],33,FALSE)*(1-interactive!$C$7)</f>
        <v>1.3475423994171439E-3</v>
      </c>
      <c r="AH271">
        <f>VLOOKUP($A271,raw[],34,FALSE)*(1-interactive!$C$7)</f>
        <v>2.0931609247329904E-3</v>
      </c>
      <c r="AI271">
        <f>VLOOKUP($A271,raw[],35,FALSE)*(1-interactive!$C$7)</f>
        <v>2.0571432618316696E-3</v>
      </c>
      <c r="AJ271">
        <f>VLOOKUP($A271,raw[],36,FALSE)*(1-interactive!$C$7)</f>
        <v>2.0221378422694688E-3</v>
      </c>
      <c r="AK271">
        <f>VLOOKUP($A271,raw[],37,FALSE)*(1-interactive!$C$7)</f>
        <v>1.9918552403895354E-3</v>
      </c>
      <c r="AL271">
        <f>VLOOKUP($A271,raw[],38,FALSE)*(1-interactive!$C$7)</f>
        <v>2.5165882796845001E-3</v>
      </c>
      <c r="AM271">
        <f>VLOOKUP($A271,raw[],39,FALSE)*(1-interactive!$C$7)</f>
        <v>3.7449055426802295E-3</v>
      </c>
      <c r="AN271">
        <f>VLOOKUP($A271,raw[],40,FALSE)*(1-interactive!$C$7)</f>
        <v>6.007091962397626E-3</v>
      </c>
      <c r="AO271">
        <f>VLOOKUP($A271,raw[],41,FALSE)*(1-interactive!$C$7)</f>
        <v>9.0955191018732076E-3</v>
      </c>
      <c r="AP271">
        <f>VLOOKUP($A271,raw[],42,FALSE)*(1-interactive!$C$7)</f>
        <v>1.4162148676533407E-2</v>
      </c>
      <c r="AQ271">
        <f>VLOOKUP($A271,raw[],43,FALSE)*(1-interactive!$C$7)</f>
        <v>2.3380143967689275E-2</v>
      </c>
      <c r="AR271">
        <f>VLOOKUP($A271,raw[],44,FALSE)*(1-interactive!$C$7)</f>
        <v>3.4589444279285238E-2</v>
      </c>
      <c r="AS271">
        <f>VLOOKUP($A271,raw[],45,FALSE)*(1-interactive!$C$7)</f>
        <v>4.9607499944350694E-2</v>
      </c>
      <c r="AT271">
        <f>VLOOKUP($A271,raw[],46,FALSE)*(1-interactive!$C$7)</f>
        <v>6.26581931756056E-2</v>
      </c>
      <c r="AU271">
        <f>VLOOKUP($A271,raw[],47,FALSE)*(1-interactive!$C$7)</f>
        <v>8.77897852408345E-2</v>
      </c>
      <c r="AV271">
        <f>VLOOKUP($A271,raw[],48,FALSE)*(1-interactive!$C$7)</f>
        <v>0.1077313035930639</v>
      </c>
      <c r="AW271">
        <f>VLOOKUP($A271,raw[],49,FALSE)*(1-interactive!$C$7)</f>
        <v>0.13792673627131105</v>
      </c>
      <c r="AX271">
        <f>VLOOKUP($A271,raw[],50,FALSE)*(1-interactive!$C$7)</f>
        <v>68.5197</v>
      </c>
    </row>
    <row r="272" spans="1:50" x14ac:dyDescent="0.25">
      <c r="A272" t="s">
        <v>488</v>
      </c>
      <c r="B272" t="s">
        <v>489</v>
      </c>
      <c r="C272">
        <v>704</v>
      </c>
      <c r="D272" t="s">
        <v>260</v>
      </c>
      <c r="E272" t="s">
        <v>261</v>
      </c>
      <c r="F272" t="s">
        <v>262</v>
      </c>
      <c r="G272" t="s">
        <v>212</v>
      </c>
      <c r="J272">
        <f>VLOOKUP(raw_lb[[#This Row],[setting]],raw[],10,FALSE)*(1-interactive!$C$7)</f>
        <v>0.88919999999999988</v>
      </c>
      <c r="K272">
        <f>VLOOKUP(raw_lb[[#This Row],[setting]],raw[],11,FALSE)*(1-interactive!$C$7)</f>
        <v>0.77899999999999991</v>
      </c>
      <c r="L272">
        <f>VLOOKUP(raw_lb[[#This Row],[setting]],raw[],12,FALSE)*(1-interactive!$C$7)</f>
        <v>0.8929999999999999</v>
      </c>
      <c r="M272">
        <v>9.11E-2</v>
      </c>
      <c r="N272">
        <v>0.18100000000000002</v>
      </c>
      <c r="O272">
        <v>0.7</v>
      </c>
      <c r="P272">
        <v>0.05</v>
      </c>
      <c r="Q272">
        <v>0.78223625866050805</v>
      </c>
      <c r="R272">
        <v>7.8431362586605093</v>
      </c>
      <c r="S272">
        <v>38.554176264192058</v>
      </c>
      <c r="T272">
        <v>39.330210473512118</v>
      </c>
      <c r="U272">
        <v>38.973871967865833</v>
      </c>
      <c r="V272">
        <v>0.85550519045023354</v>
      </c>
      <c r="W272">
        <v>1.4540051904502334</v>
      </c>
      <c r="X272">
        <v>0.38074820353281713</v>
      </c>
      <c r="Y272">
        <v>0.97924820353281705</v>
      </c>
      <c r="Z272">
        <v>0.97467474844606661</v>
      </c>
      <c r="AA272">
        <v>1.0112906389700074</v>
      </c>
      <c r="AB272">
        <v>1.6097906389700074</v>
      </c>
      <c r="AC272">
        <f>VLOOKUP($A272,raw[],29,FALSE)*(1-interactive!$C$7)</f>
        <v>1.5883990499999962E-2</v>
      </c>
      <c r="AD272">
        <f>VLOOKUP($A272,raw[],30,FALSE)*(1-interactive!$C$7)</f>
        <v>1.0203070232252516E-3</v>
      </c>
      <c r="AE272">
        <f>VLOOKUP($A272,raw[],31,FALSE)*(1-interactive!$C$7)</f>
        <v>4.9386704523004502E-4</v>
      </c>
      <c r="AF272">
        <f>VLOOKUP($A272,raw[],32,FALSE)*(1-interactive!$C$7)</f>
        <v>4.4104410708350257E-4</v>
      </c>
      <c r="AG272">
        <f>VLOOKUP($A272,raw[],33,FALSE)*(1-interactive!$C$7)</f>
        <v>7.0973736060974389E-4</v>
      </c>
      <c r="AH272">
        <f>VLOOKUP($A272,raw[],34,FALSE)*(1-interactive!$C$7)</f>
        <v>1.0402280664262924E-3</v>
      </c>
      <c r="AI272">
        <f>VLOOKUP($A272,raw[],35,FALSE)*(1-interactive!$C$7)</f>
        <v>1.2804973969559241E-3</v>
      </c>
      <c r="AJ272">
        <f>VLOOKUP($A272,raw[],36,FALSE)*(1-interactive!$C$7)</f>
        <v>1.4953631179947604E-3</v>
      </c>
      <c r="AK272">
        <f>VLOOKUP($A272,raw[],37,FALSE)*(1-interactive!$C$7)</f>
        <v>1.8495588319193735E-3</v>
      </c>
      <c r="AL272">
        <f>VLOOKUP($A272,raw[],38,FALSE)*(1-interactive!$C$7)</f>
        <v>2.6092304140377409E-3</v>
      </c>
      <c r="AM272">
        <f>VLOOKUP($A272,raw[],39,FALSE)*(1-interactive!$C$7)</f>
        <v>3.6543505890498274E-3</v>
      </c>
      <c r="AN272">
        <f>VLOOKUP($A272,raw[],40,FALSE)*(1-interactive!$C$7)</f>
        <v>5.7918001541153001E-3</v>
      </c>
      <c r="AO272">
        <f>VLOOKUP($A272,raw[],41,FALSE)*(1-interactive!$C$7)</f>
        <v>8.6385789422732777E-3</v>
      </c>
      <c r="AP272">
        <f>VLOOKUP($A272,raw[],42,FALSE)*(1-interactive!$C$7)</f>
        <v>1.1751571822323887E-2</v>
      </c>
      <c r="AQ272">
        <f>VLOOKUP($A272,raw[],43,FALSE)*(1-interactive!$C$7)</f>
        <v>1.8683240400493382E-2</v>
      </c>
      <c r="AR272">
        <f>VLOOKUP($A272,raw[],44,FALSE)*(1-interactive!$C$7)</f>
        <v>2.7144443571962846E-2</v>
      </c>
      <c r="AS272">
        <f>VLOOKUP($A272,raw[],45,FALSE)*(1-interactive!$C$7)</f>
        <v>3.9290248675637018E-2</v>
      </c>
      <c r="AT272">
        <f>VLOOKUP($A272,raw[],46,FALSE)*(1-interactive!$C$7)</f>
        <v>5.5866357888978764E-2</v>
      </c>
      <c r="AU272">
        <f>VLOOKUP($A272,raw[],47,FALSE)*(1-interactive!$C$7)</f>
        <v>7.719858335423703E-2</v>
      </c>
      <c r="AV272">
        <f>VLOOKUP($A272,raw[],48,FALSE)*(1-interactive!$C$7)</f>
        <v>0.1021485679020266</v>
      </c>
      <c r="AW272">
        <f>VLOOKUP($A272,raw[],49,FALSE)*(1-interactive!$C$7)</f>
        <v>0.12819830636173279</v>
      </c>
      <c r="AX272">
        <f>VLOOKUP($A272,raw[],50,FALSE)*(1-interactive!$C$7)</f>
        <v>71.510300000000001</v>
      </c>
    </row>
    <row r="273" spans="1:50" x14ac:dyDescent="0.25">
      <c r="A273" t="s">
        <v>490</v>
      </c>
      <c r="B273" t="s">
        <v>491</v>
      </c>
      <c r="C273">
        <v>887</v>
      </c>
      <c r="D273" t="s">
        <v>196</v>
      </c>
      <c r="E273" t="s">
        <v>197</v>
      </c>
      <c r="F273" t="s">
        <v>197</v>
      </c>
      <c r="G273" t="s">
        <v>198</v>
      </c>
      <c r="J273">
        <f>VLOOKUP(raw_lb[[#This Row],[setting]],raw[],10,FALSE)*(1-interactive!$C$7)</f>
        <v>0.28309999999999996</v>
      </c>
      <c r="K273">
        <f>VLOOKUP(raw_lb[[#This Row],[setting]],raw[],11,FALSE)*(1-interactive!$C$7)</f>
        <v>0</v>
      </c>
      <c r="L273">
        <f>VLOOKUP(raw_lb[[#This Row],[setting]],raw[],12,FALSE)*(1-interactive!$C$7)</f>
        <v>0.68399999999999994</v>
      </c>
      <c r="M273">
        <v>4.5599999999999995E-2</v>
      </c>
      <c r="N273">
        <v>0.14980000000000002</v>
      </c>
      <c r="O273">
        <v>0.7</v>
      </c>
      <c r="P273">
        <v>0.05</v>
      </c>
      <c r="Q273">
        <v>0.955668862275449</v>
      </c>
      <c r="R273">
        <v>8.0165688622754505</v>
      </c>
      <c r="S273">
        <v>39.139320521641359</v>
      </c>
      <c r="T273">
        <v>40.129636256987467</v>
      </c>
      <c r="U273">
        <v>39.67490420392447</v>
      </c>
      <c r="V273">
        <v>0.73251709250917774</v>
      </c>
      <c r="W273">
        <v>1.1885170925091777</v>
      </c>
      <c r="X273">
        <v>0.26172214592043136</v>
      </c>
      <c r="Y273">
        <v>0.71772214592043126</v>
      </c>
      <c r="Z273">
        <v>0.71581445786559161</v>
      </c>
      <c r="AA273">
        <v>0.8760768165861984</v>
      </c>
      <c r="AB273">
        <v>1.3320768165861985</v>
      </c>
      <c r="AC273">
        <f>VLOOKUP($A273,raw[],29,FALSE)*(1-interactive!$C$7)</f>
        <v>4.1081628999999974E-2</v>
      </c>
      <c r="AD273">
        <f>VLOOKUP($A273,raw[],30,FALSE)*(1-interactive!$C$7)</f>
        <v>3.0284697246481256E-3</v>
      </c>
      <c r="AE273">
        <f>VLOOKUP($A273,raw[],31,FALSE)*(1-interactive!$C$7)</f>
        <v>1.0217349175059675E-3</v>
      </c>
      <c r="AF273">
        <f>VLOOKUP($A273,raw[],32,FALSE)*(1-interactive!$C$7)</f>
        <v>7.8833041903378473E-4</v>
      </c>
      <c r="AG273">
        <f>VLOOKUP($A273,raw[],33,FALSE)*(1-interactive!$C$7)</f>
        <v>1.3740788642957232E-3</v>
      </c>
      <c r="AH273">
        <f>VLOOKUP($A273,raw[],34,FALSE)*(1-interactive!$C$7)</f>
        <v>1.7924377774954094E-3</v>
      </c>
      <c r="AI273">
        <f>VLOOKUP($A273,raw[],35,FALSE)*(1-interactive!$C$7)</f>
        <v>1.9179698154563108E-3</v>
      </c>
      <c r="AJ273">
        <f>VLOOKUP($A273,raw[],36,FALSE)*(1-interactive!$C$7)</f>
        <v>2.2407250634064479E-3</v>
      </c>
      <c r="AK273">
        <f>VLOOKUP($A273,raw[],37,FALSE)*(1-interactive!$C$7)</f>
        <v>2.9014087145475781E-3</v>
      </c>
      <c r="AL273">
        <f>VLOOKUP($A273,raw[],38,FALSE)*(1-interactive!$C$7)</f>
        <v>3.948247440033182E-3</v>
      </c>
      <c r="AM273">
        <f>VLOOKUP($A273,raw[],39,FALSE)*(1-interactive!$C$7)</f>
        <v>5.6927906001906772E-3</v>
      </c>
      <c r="AN273">
        <f>VLOOKUP($A273,raw[],40,FALSE)*(1-interactive!$C$7)</f>
        <v>8.4230159640559712E-3</v>
      </c>
      <c r="AO273">
        <f>VLOOKUP($A273,raw[],41,FALSE)*(1-interactive!$C$7)</f>
        <v>1.268259585878161E-2</v>
      </c>
      <c r="AP273">
        <f>VLOOKUP($A273,raw[],42,FALSE)*(1-interactive!$C$7)</f>
        <v>1.9683276279434808E-2</v>
      </c>
      <c r="AQ273">
        <f>VLOOKUP($A273,raw[],43,FALSE)*(1-interactive!$C$7)</f>
        <v>3.0335219645900188E-2</v>
      </c>
      <c r="AR273">
        <f>VLOOKUP($A273,raw[],44,FALSE)*(1-interactive!$C$7)</f>
        <v>4.6816352013042906E-2</v>
      </c>
      <c r="AS273">
        <f>VLOOKUP($A273,raw[],45,FALSE)*(1-interactive!$C$7)</f>
        <v>7.0207646872193635E-2</v>
      </c>
      <c r="AT273">
        <f>VLOOKUP($A273,raw[],46,FALSE)*(1-interactive!$C$7)</f>
        <v>9.8538052067531065E-2</v>
      </c>
      <c r="AU273">
        <f>VLOOKUP($A273,raw[],47,FALSE)*(1-interactive!$C$7)</f>
        <v>0.12614008983812502</v>
      </c>
      <c r="AV273">
        <f>VLOOKUP($A273,raw[],48,FALSE)*(1-interactive!$C$7)</f>
        <v>0.15042408475440117</v>
      </c>
      <c r="AW273">
        <f>VLOOKUP($A273,raw[],49,FALSE)*(1-interactive!$C$7)</f>
        <v>0.1683456284203991</v>
      </c>
      <c r="AX273">
        <f>VLOOKUP($A273,raw[],50,FALSE)*(1-interactive!$C$7)</f>
        <v>62.731349999999999</v>
      </c>
    </row>
    <row r="274" spans="1:50" x14ac:dyDescent="0.25">
      <c r="A274" t="s">
        <v>492</v>
      </c>
      <c r="B274" t="s">
        <v>493</v>
      </c>
      <c r="C274">
        <v>894</v>
      </c>
      <c r="D274" t="s">
        <v>207</v>
      </c>
      <c r="E274" t="s">
        <v>255</v>
      </c>
      <c r="F274" t="s">
        <v>211</v>
      </c>
      <c r="G274" t="s">
        <v>212</v>
      </c>
      <c r="J274">
        <f>VLOOKUP(raw_lb[[#This Row],[setting]],raw[],10,FALSE)*(1-interactive!$C$7)</f>
        <v>0.79609999999999992</v>
      </c>
      <c r="K274">
        <f>VLOOKUP(raw_lb[[#This Row],[setting]],raw[],11,FALSE)*(1-interactive!$C$7)</f>
        <v>0.8929999999999999</v>
      </c>
      <c r="L274">
        <f>VLOOKUP(raw_lb[[#This Row],[setting]],raw[],12,FALSE)*(1-interactive!$C$7)</f>
        <v>0.79799999999999993</v>
      </c>
      <c r="M274">
        <v>4.3400000000000001E-2</v>
      </c>
      <c r="N274">
        <v>0.15560000000000002</v>
      </c>
      <c r="O274">
        <v>7.0000000000000007E-2</v>
      </c>
      <c r="P274">
        <v>1E-3</v>
      </c>
      <c r="Q274">
        <v>0.73688294573643409</v>
      </c>
      <c r="R274">
        <v>7.7977829457364347</v>
      </c>
      <c r="S274">
        <v>37.905315957372409</v>
      </c>
      <c r="T274">
        <v>38.367245869631759</v>
      </c>
      <c r="U274">
        <v>38.15513741787673</v>
      </c>
      <c r="V274">
        <v>1.4839065212662086</v>
      </c>
      <c r="W274">
        <v>6.0724065212662079</v>
      </c>
      <c r="X274">
        <v>1.0135021628363319</v>
      </c>
      <c r="Y274">
        <v>5.6020021628363317</v>
      </c>
      <c r="Z274">
        <v>5.6003123193259974</v>
      </c>
      <c r="AA274">
        <v>1.6262610018815742</v>
      </c>
      <c r="AB274">
        <v>6.2147610018815742</v>
      </c>
      <c r="AC274">
        <f>VLOOKUP($A274,raw[],29,FALSE)*(1-interactive!$C$7)</f>
        <v>4.3340776500000046E-2</v>
      </c>
      <c r="AD274">
        <f>VLOOKUP($A274,raw[],30,FALSE)*(1-interactive!$C$7)</f>
        <v>3.7605418252825815E-3</v>
      </c>
      <c r="AE274">
        <f>VLOOKUP($A274,raw[],31,FALSE)*(1-interactive!$C$7)</f>
        <v>1.1004370388370383E-3</v>
      </c>
      <c r="AF274">
        <f>VLOOKUP($A274,raw[],32,FALSE)*(1-interactive!$C$7)</f>
        <v>8.6896987365813838E-4</v>
      </c>
      <c r="AG274">
        <f>VLOOKUP($A274,raw[],33,FALSE)*(1-interactive!$C$7)</f>
        <v>1.4548794029285203E-3</v>
      </c>
      <c r="AH274">
        <f>VLOOKUP($A274,raw[],34,FALSE)*(1-interactive!$C$7)</f>
        <v>2.3504613410882439E-3</v>
      </c>
      <c r="AI274">
        <f>VLOOKUP($A274,raw[],35,FALSE)*(1-interactive!$C$7)</f>
        <v>3.3165462631138507E-3</v>
      </c>
      <c r="AJ274">
        <f>VLOOKUP($A274,raw[],36,FALSE)*(1-interactive!$C$7)</f>
        <v>4.3709053443895573E-3</v>
      </c>
      <c r="AK274">
        <f>VLOOKUP($A274,raw[],37,FALSE)*(1-interactive!$C$7)</f>
        <v>5.8631832797427456E-3</v>
      </c>
      <c r="AL274">
        <f>VLOOKUP($A274,raw[],38,FALSE)*(1-interactive!$C$7)</f>
        <v>7.2210944944111144E-3</v>
      </c>
      <c r="AM274">
        <f>VLOOKUP($A274,raw[],39,FALSE)*(1-interactive!$C$7)</f>
        <v>8.8788567277421175E-3</v>
      </c>
      <c r="AN274">
        <f>VLOOKUP($A274,raw[],40,FALSE)*(1-interactive!$C$7)</f>
        <v>1.1551399926006668E-2</v>
      </c>
      <c r="AO274">
        <f>VLOOKUP($A274,raw[],41,FALSE)*(1-interactive!$C$7)</f>
        <v>1.4622247637873467E-2</v>
      </c>
      <c r="AP274">
        <f>VLOOKUP($A274,raw[],42,FALSE)*(1-interactive!$C$7)</f>
        <v>2.0323138769751201E-2</v>
      </c>
      <c r="AQ274">
        <f>VLOOKUP($A274,raw[],43,FALSE)*(1-interactive!$C$7)</f>
        <v>2.9586628177515433E-2</v>
      </c>
      <c r="AR274">
        <f>VLOOKUP($A274,raw[],44,FALSE)*(1-interactive!$C$7)</f>
        <v>4.4001636446974732E-2</v>
      </c>
      <c r="AS274">
        <f>VLOOKUP($A274,raw[],45,FALSE)*(1-interactive!$C$7)</f>
        <v>6.5254320580574621E-2</v>
      </c>
      <c r="AT274">
        <f>VLOOKUP($A274,raw[],46,FALSE)*(1-interactive!$C$7)</f>
        <v>9.6787662705936028E-2</v>
      </c>
      <c r="AU274">
        <f>VLOOKUP($A274,raw[],47,FALSE)*(1-interactive!$C$7)</f>
        <v>0.13442612932484865</v>
      </c>
      <c r="AV274">
        <f>VLOOKUP($A274,raw[],48,FALSE)*(1-interactive!$C$7)</f>
        <v>0.16608537688153641</v>
      </c>
      <c r="AW274">
        <f>VLOOKUP($A274,raw[],49,FALSE)*(1-interactive!$C$7)</f>
        <v>0.17807340063957888</v>
      </c>
      <c r="AX274">
        <f>VLOOKUP($A274,raw[],50,FALSE)*(1-interactive!$C$7)</f>
        <v>60.095100000000002</v>
      </c>
    </row>
    <row r="275" spans="1:50" x14ac:dyDescent="0.25">
      <c r="A275" t="s">
        <v>494</v>
      </c>
      <c r="B275" t="s">
        <v>495</v>
      </c>
      <c r="C275">
        <v>716</v>
      </c>
      <c r="D275" t="s">
        <v>207</v>
      </c>
      <c r="E275" t="s">
        <v>245</v>
      </c>
      <c r="F275" t="s">
        <v>211</v>
      </c>
      <c r="G275" t="s">
        <v>212</v>
      </c>
      <c r="J275">
        <f>VLOOKUP(raw_lb[[#This Row],[setting]],raw[],10,FALSE)*(1-interactive!$C$7)</f>
        <v>0.81224999999999992</v>
      </c>
      <c r="K275">
        <f>VLOOKUP(raw_lb[[#This Row],[setting]],raw[],11,FALSE)*(1-interactive!$C$7)</f>
        <v>0</v>
      </c>
      <c r="L275">
        <f>VLOOKUP(raw_lb[[#This Row],[setting]],raw[],12,FALSE)*(1-interactive!$C$7)</f>
        <v>0.81699999999999995</v>
      </c>
      <c r="M275">
        <v>8.8699999999999987E-2</v>
      </c>
      <c r="N275">
        <v>0.15109999999999998</v>
      </c>
      <c r="O275">
        <v>7.0000000000000007E-2</v>
      </c>
      <c r="P275">
        <v>1E-3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1.5775178655842947</v>
      </c>
      <c r="W275">
        <v>6.1660178655842941</v>
      </c>
      <c r="X275">
        <v>1.1067604830234412</v>
      </c>
      <c r="Y275">
        <v>5.695260483023441</v>
      </c>
      <c r="Z275">
        <v>5.6934910922596949</v>
      </c>
      <c r="AA275">
        <v>1.7209616778038164</v>
      </c>
      <c r="AB275">
        <v>6.3094616778038164</v>
      </c>
      <c r="AC275">
        <f>VLOOKUP($A275,raw[],29,FALSE)*(1-interactive!$C$7)</f>
        <v>3.6818684499999976E-2</v>
      </c>
      <c r="AD275">
        <f>VLOOKUP($A275,raw[],30,FALSE)*(1-interactive!$C$7)</f>
        <v>3.090046024654995E-3</v>
      </c>
      <c r="AE275">
        <f>VLOOKUP($A275,raw[],31,FALSE)*(1-interactive!$C$7)</f>
        <v>1.0106596240969069E-3</v>
      </c>
      <c r="AF275">
        <f>VLOOKUP($A275,raw[],32,FALSE)*(1-interactive!$C$7)</f>
        <v>8.6507149526702945E-4</v>
      </c>
      <c r="AG275">
        <f>VLOOKUP($A275,raw[],33,FALSE)*(1-interactive!$C$7)</f>
        <v>1.4921327829485998E-3</v>
      </c>
      <c r="AH275">
        <f>VLOOKUP($A275,raw[],34,FALSE)*(1-interactive!$C$7)</f>
        <v>2.6935490537055309E-3</v>
      </c>
      <c r="AI275">
        <f>VLOOKUP($A275,raw[],35,FALSE)*(1-interactive!$C$7)</f>
        <v>4.5804480051907645E-3</v>
      </c>
      <c r="AJ275">
        <f>VLOOKUP($A275,raw[],36,FALSE)*(1-interactive!$C$7)</f>
        <v>6.5483305384408993E-3</v>
      </c>
      <c r="AK275">
        <f>VLOOKUP($A275,raw[],37,FALSE)*(1-interactive!$C$7)</f>
        <v>9.2020068370745143E-3</v>
      </c>
      <c r="AL275">
        <f>VLOOKUP($A275,raw[],38,FALSE)*(1-interactive!$C$7)</f>
        <v>1.075725602965236E-2</v>
      </c>
      <c r="AM275">
        <f>VLOOKUP($A275,raw[],39,FALSE)*(1-interactive!$C$7)</f>
        <v>1.2731019755388451E-2</v>
      </c>
      <c r="AN275">
        <f>VLOOKUP($A275,raw[],40,FALSE)*(1-interactive!$C$7)</f>
        <v>1.5229751703488486E-2</v>
      </c>
      <c r="AO275">
        <f>VLOOKUP($A275,raw[],41,FALSE)*(1-interactive!$C$7)</f>
        <v>1.8199726763003399E-2</v>
      </c>
      <c r="AP275">
        <f>VLOOKUP($A275,raw[],42,FALSE)*(1-interactive!$C$7)</f>
        <v>2.3601311592989591E-2</v>
      </c>
      <c r="AQ275">
        <f>VLOOKUP($A275,raw[],43,FALSE)*(1-interactive!$C$7)</f>
        <v>3.2661488134387733E-2</v>
      </c>
      <c r="AR275">
        <f>VLOOKUP($A275,raw[],44,FALSE)*(1-interactive!$C$7)</f>
        <v>4.6813186443857104E-2</v>
      </c>
      <c r="AS275">
        <f>VLOOKUP($A275,raw[],45,FALSE)*(1-interactive!$C$7)</f>
        <v>6.74516310796823E-2</v>
      </c>
      <c r="AT275">
        <f>VLOOKUP($A275,raw[],46,FALSE)*(1-interactive!$C$7)</f>
        <v>9.8729485092936331E-2</v>
      </c>
      <c r="AU275">
        <f>VLOOKUP($A275,raw[],47,FALSE)*(1-interactive!$C$7)</f>
        <v>0.135880447770445</v>
      </c>
      <c r="AV275">
        <f>VLOOKUP($A275,raw[],48,FALSE)*(1-interactive!$C$7)</f>
        <v>0.16504542734609509</v>
      </c>
      <c r="AW275">
        <f>VLOOKUP($A275,raw[],49,FALSE)*(1-interactive!$C$7)</f>
        <v>0.17631480145230166</v>
      </c>
      <c r="AX275">
        <f>VLOOKUP($A275,raw[],50,FALSE)*(1-interactive!$C$7)</f>
        <v>57.791349999999994</v>
      </c>
    </row>
    <row r="277" spans="1:50" x14ac:dyDescent="0.25">
      <c r="A277" s="59" t="s">
        <v>144</v>
      </c>
      <c r="B277" s="59" t="s">
        <v>145</v>
      </c>
      <c r="C277" s="59" t="s">
        <v>146</v>
      </c>
      <c r="D277" s="59" t="s">
        <v>147</v>
      </c>
      <c r="E277" s="59" t="s">
        <v>148</v>
      </c>
      <c r="F277" s="59" t="s">
        <v>149</v>
      </c>
      <c r="G277" s="59" t="s">
        <v>150</v>
      </c>
      <c r="H277" s="60" t="s">
        <v>151</v>
      </c>
      <c r="I277" s="60" t="s">
        <v>152</v>
      </c>
      <c r="J277" s="50" t="s">
        <v>153</v>
      </c>
      <c r="K277" s="50" t="s">
        <v>154</v>
      </c>
      <c r="L277" s="50" t="s">
        <v>155</v>
      </c>
      <c r="M277" s="58" t="s">
        <v>156</v>
      </c>
      <c r="N277" s="58" t="s">
        <v>157</v>
      </c>
      <c r="O277" s="58" t="s">
        <v>158</v>
      </c>
      <c r="P277" s="58" t="s">
        <v>159</v>
      </c>
      <c r="Q277" s="58" t="s">
        <v>160</v>
      </c>
      <c r="R277" s="58" t="s">
        <v>161</v>
      </c>
      <c r="S277" s="58" t="s">
        <v>162</v>
      </c>
      <c r="T277" s="58" t="s">
        <v>163</v>
      </c>
      <c r="U277" s="58" t="s">
        <v>164</v>
      </c>
      <c r="V277" s="58" t="s">
        <v>165</v>
      </c>
      <c r="W277" s="58" t="s">
        <v>166</v>
      </c>
      <c r="X277" s="58" t="s">
        <v>167</v>
      </c>
      <c r="Y277" s="58" t="s">
        <v>168</v>
      </c>
      <c r="Z277" s="58" t="s">
        <v>169</v>
      </c>
      <c r="AA277" s="58" t="s">
        <v>170</v>
      </c>
      <c r="AB277" s="58" t="s">
        <v>171</v>
      </c>
      <c r="AC277" s="49" t="s">
        <v>172</v>
      </c>
      <c r="AD277" s="49" t="s">
        <v>173</v>
      </c>
      <c r="AE277" s="49" t="s">
        <v>174</v>
      </c>
      <c r="AF277" s="49" t="s">
        <v>175</v>
      </c>
      <c r="AG277" s="49" t="s">
        <v>176</v>
      </c>
      <c r="AH277" s="49" t="s">
        <v>177</v>
      </c>
      <c r="AI277" s="49" t="s">
        <v>178</v>
      </c>
      <c r="AJ277" s="49" t="s">
        <v>179</v>
      </c>
      <c r="AK277" s="49" t="s">
        <v>180</v>
      </c>
      <c r="AL277" s="49" t="s">
        <v>181</v>
      </c>
      <c r="AM277" s="49" t="s">
        <v>182</v>
      </c>
      <c r="AN277" s="49" t="s">
        <v>183</v>
      </c>
      <c r="AO277" s="49" t="s">
        <v>184</v>
      </c>
      <c r="AP277" s="49" t="s">
        <v>185</v>
      </c>
      <c r="AQ277" s="49" t="s">
        <v>186</v>
      </c>
      <c r="AR277" s="49" t="s">
        <v>187</v>
      </c>
      <c r="AS277" s="49" t="s">
        <v>188</v>
      </c>
      <c r="AT277" s="49" t="s">
        <v>189</v>
      </c>
      <c r="AU277" s="49" t="s">
        <v>190</v>
      </c>
      <c r="AV277" s="49" t="s">
        <v>191</v>
      </c>
      <c r="AW277" s="49" t="s">
        <v>192</v>
      </c>
      <c r="AX277" s="51" t="s">
        <v>193</v>
      </c>
    </row>
    <row r="278" spans="1:50" x14ac:dyDescent="0.25">
      <c r="A278" s="53" t="s">
        <v>194</v>
      </c>
      <c r="B278" s="54" t="s">
        <v>195</v>
      </c>
      <c r="C278" s="54">
        <v>4</v>
      </c>
      <c r="D278" s="54" t="s">
        <v>196</v>
      </c>
      <c r="E278" s="54" t="s">
        <v>197</v>
      </c>
      <c r="F278" s="54" t="s">
        <v>197</v>
      </c>
      <c r="G278" s="54" t="s">
        <v>198</v>
      </c>
      <c r="J278">
        <f>MIN(VLOOKUP($A278,raw[],10,FALSE)*(1+interactive!$C$7),0.999)</f>
        <v>0.59114999999999995</v>
      </c>
      <c r="K278">
        <f>MIN(VLOOKUP($A278,raw[],11,FALSE)*(1+interactive!$C$7),0.999)</f>
        <v>0.39900000000000002</v>
      </c>
      <c r="L278">
        <f>MIN(VLOOKUP($A278,raw[],12,FALSE)*(1+interactive!$C$7),0.999)</f>
        <v>0.73499999999999999</v>
      </c>
      <c r="M278">
        <v>1.9199999999999998E-2</v>
      </c>
      <c r="N278">
        <f>IFERROR(VLOOKUP($A278,[2]!hbe_prev[#Data],5,FALSE),0)</f>
        <v>0.37619999999999998</v>
      </c>
      <c r="O278">
        <f>VLOOKUP($F278,[2]!hbe_risk[#All],4,FALSE)</f>
        <v>0.9</v>
      </c>
      <c r="P278">
        <f>VLOOKUP($F278,[2]!hbe_risk[#All],7,FALSE)</f>
        <v>0.3</v>
      </c>
      <c r="Q278">
        <v>5.4306114832535899</v>
      </c>
      <c r="R278">
        <v>114.4164114832536</v>
      </c>
      <c r="S278">
        <v>144.37610068101299</v>
      </c>
      <c r="T278">
        <v>144.76108305546052</v>
      </c>
      <c r="U278">
        <v>144.58430728660494</v>
      </c>
      <c r="V278">
        <v>2.1027910059116857</v>
      </c>
      <c r="W278">
        <v>2.6067910059116857</v>
      </c>
      <c r="X278">
        <v>2.0933866239512748</v>
      </c>
      <c r="Y278">
        <v>2.5973866239512748</v>
      </c>
      <c r="Z278">
        <v>2.5917131330925551</v>
      </c>
      <c r="AA278">
        <v>2.1049612479025499</v>
      </c>
      <c r="AB278">
        <v>2.6089612479025499</v>
      </c>
      <c r="AC278">
        <f>VLOOKUP($A278,raw[],29,FALSE)*(1+interactive!$C$7)</f>
        <v>5.4291216000000052E-2</v>
      </c>
      <c r="AD278">
        <f>VLOOKUP($A278,raw[],30,FALSE)*(1+interactive!$C$7)</f>
        <v>4.4736446630563925E-3</v>
      </c>
      <c r="AE278">
        <f>VLOOKUP($A278,raw[],31,FALSE)*(1+interactive!$C$7)</f>
        <v>1.3884924682729519E-3</v>
      </c>
      <c r="AF278">
        <f>VLOOKUP($A278,raw[],32,FALSE)*(1+interactive!$C$7)</f>
        <v>1.0923600651805371E-3</v>
      </c>
      <c r="AG278">
        <f>VLOOKUP($A278,raw[],33,FALSE)*(1+interactive!$C$7)</f>
        <v>1.7615115099493964E-3</v>
      </c>
      <c r="AH278">
        <f>VLOOKUP($A278,raw[],34,FALSE)*(1+interactive!$C$7)</f>
        <v>2.4545452097130454E-3</v>
      </c>
      <c r="AI278">
        <f>VLOOKUP($A278,raw[],35,FALSE)*(1+interactive!$C$7)</f>
        <v>2.6732823567174801E-3</v>
      </c>
      <c r="AJ278">
        <f>VLOOKUP($A278,raw[],36,FALSE)*(1+interactive!$C$7)</f>
        <v>3.0601646028533438E-3</v>
      </c>
      <c r="AK278">
        <f>VLOOKUP($A278,raw[],37,FALSE)*(1+interactive!$C$7)</f>
        <v>3.7894886670088298E-3</v>
      </c>
      <c r="AL278">
        <f>VLOOKUP($A278,raw[],38,FALSE)*(1+interactive!$C$7)</f>
        <v>5.0029093072891904E-3</v>
      </c>
      <c r="AM278">
        <f>VLOOKUP($A278,raw[],39,FALSE)*(1+interactive!$C$7)</f>
        <v>7.0028678451799211E-3</v>
      </c>
      <c r="AN278">
        <f>VLOOKUP($A278,raw[],40,FALSE)*(1+interactive!$C$7)</f>
        <v>1.0196667626605361E-2</v>
      </c>
      <c r="AO278">
        <f>VLOOKUP($A278,raw[],41,FALSE)*(1+interactive!$C$7)</f>
        <v>1.5035255709653549E-2</v>
      </c>
      <c r="AP278">
        <f>VLOOKUP($A278,raw[],42,FALSE)*(1+interactive!$C$7)</f>
        <v>2.265522685698812E-2</v>
      </c>
      <c r="AQ278">
        <f>VLOOKUP($A278,raw[],43,FALSE)*(1+interactive!$C$7)</f>
        <v>3.4122288632465303E-2</v>
      </c>
      <c r="AR278">
        <f>VLOOKUP($A278,raw[],44,FALSE)*(1+interactive!$C$7)</f>
        <v>5.201871084634372E-2</v>
      </c>
      <c r="AS278">
        <f>VLOOKUP($A278,raw[],45,FALSE)*(1+interactive!$C$7)</f>
        <v>7.7473330773937699E-2</v>
      </c>
      <c r="AT278">
        <f>VLOOKUP($A278,raw[],46,FALSE)*(1+interactive!$C$7)</f>
        <v>0.11008928664919644</v>
      </c>
      <c r="AU278">
        <f>VLOOKUP($A278,raw[],47,FALSE)*(1+interactive!$C$7)</f>
        <v>0.14416872971918321</v>
      </c>
      <c r="AV278">
        <f>VLOOKUP($A278,raw[],48,FALSE)*(1+interactive!$C$7)</f>
        <v>0.17154248430925337</v>
      </c>
      <c r="AW278">
        <f>VLOOKUP($A278,raw[],49,FALSE)*(1+interactive!$C$7)</f>
        <v>0.18904832780332212</v>
      </c>
      <c r="AX278">
        <f>VLOOKUP($A278,raw[],50,FALSE)*(1+interactive!$C$7)</f>
        <v>67.492949999999993</v>
      </c>
    </row>
    <row r="279" spans="1:50" x14ac:dyDescent="0.25">
      <c r="A279" s="55" t="s">
        <v>199</v>
      </c>
      <c r="B279" s="56" t="s">
        <v>200</v>
      </c>
      <c r="C279" s="56">
        <v>8</v>
      </c>
      <c r="D279" s="56" t="s">
        <v>201</v>
      </c>
      <c r="E279" s="56" t="s">
        <v>202</v>
      </c>
      <c r="F279" s="56" t="s">
        <v>203</v>
      </c>
      <c r="G279" s="56" t="s">
        <v>204</v>
      </c>
      <c r="J279">
        <f>MIN(VLOOKUP($A279,raw[],10,FALSE)*(1+interactive!$C$7),0.999)</f>
        <v>0.999</v>
      </c>
      <c r="K279">
        <f>MIN(VLOOKUP($A279,raw[],11,FALSE)*(1+interactive!$C$7),0.999)</f>
        <v>0.999</v>
      </c>
      <c r="L279">
        <f>MIN(VLOOKUP($A279,raw[],12,FALSE)*(1+interactive!$C$7),0.999)</f>
        <v>0.999</v>
      </c>
      <c r="M279">
        <v>8.4399999999999989E-2</v>
      </c>
      <c r="N279">
        <f>IFERROR(VLOOKUP($A279,[2]!hbe_prev[#Data],5,FALSE),0)</f>
        <v>0.42849999999999999</v>
      </c>
      <c r="O279">
        <f>VLOOKUP($F279,[2]!hbe_risk[#All],4,FALSE)</f>
        <v>0.9</v>
      </c>
      <c r="P279">
        <f>VLOOKUP($F279,[2]!hbe_risk[#All],7,FALSE)</f>
        <v>0.3</v>
      </c>
      <c r="Q279">
        <v>19.644903488372101</v>
      </c>
      <c r="R279">
        <v>128.63070348837209</v>
      </c>
      <c r="S279">
        <v>190.91415595879803</v>
      </c>
      <c r="T279">
        <v>208.12252736405156</v>
      </c>
      <c r="U279">
        <v>200.22080695339207</v>
      </c>
      <c r="V279">
        <v>13.239301688685675</v>
      </c>
      <c r="W279">
        <v>17.512801688685677</v>
      </c>
      <c r="X279">
        <v>13.208714173067957</v>
      </c>
      <c r="Y279">
        <v>17.482214173067959</v>
      </c>
      <c r="Z279">
        <v>17.46561793826621</v>
      </c>
      <c r="AA279">
        <v>13.246360346135917</v>
      </c>
      <c r="AB279">
        <v>17.519860346135918</v>
      </c>
      <c r="AC279">
        <f>VLOOKUP($A279,raw[],29,FALSE)*(1+interactive!$C$7)</f>
        <v>8.4334319999999352E-3</v>
      </c>
      <c r="AD279">
        <f>VLOOKUP($A279,raw[],30,FALSE)*(1+interactive!$C$7)</f>
        <v>8.8462957823165782E-4</v>
      </c>
      <c r="AE279">
        <f>VLOOKUP($A279,raw[],31,FALSE)*(1+interactive!$C$7)</f>
        <v>2.3433754031012836E-4</v>
      </c>
      <c r="AF279">
        <f>VLOOKUP($A279,raw[],32,FALSE)*(1+interactive!$C$7)</f>
        <v>2.8138947505586064E-4</v>
      </c>
      <c r="AG279">
        <f>VLOOKUP($A279,raw[],33,FALSE)*(1+interactive!$C$7)</f>
        <v>3.9034878952091679E-4</v>
      </c>
      <c r="AH279">
        <f>VLOOKUP($A279,raw[],34,FALSE)*(1+interactive!$C$7)</f>
        <v>4.4526077165045339E-4</v>
      </c>
      <c r="AI279">
        <f>VLOOKUP($A279,raw[],35,FALSE)*(1+interactive!$C$7)</f>
        <v>5.1355028653840844E-4</v>
      </c>
      <c r="AJ279">
        <f>VLOOKUP($A279,raw[],36,FALSE)*(1+interactive!$C$7)</f>
        <v>6.6140345156813778E-4</v>
      </c>
      <c r="AK279">
        <f>VLOOKUP($A279,raw[],37,FALSE)*(1+interactive!$C$7)</f>
        <v>1.0829620432613045E-3</v>
      </c>
      <c r="AL279">
        <f>VLOOKUP($A279,raw[],38,FALSE)*(1+interactive!$C$7)</f>
        <v>1.4657750655382585E-3</v>
      </c>
      <c r="AM279">
        <f>VLOOKUP($A279,raw[],39,FALSE)*(1+interactive!$C$7)</f>
        <v>2.2789773197141208E-3</v>
      </c>
      <c r="AN279">
        <f>VLOOKUP($A279,raw[],40,FALSE)*(1+interactive!$C$7)</f>
        <v>3.4671124744431077E-3</v>
      </c>
      <c r="AO279">
        <f>VLOOKUP($A279,raw[],41,FALSE)*(1+interactive!$C$7)</f>
        <v>5.3132878452319355E-3</v>
      </c>
      <c r="AP279">
        <f>VLOOKUP($A279,raw[],42,FALSE)*(1+interactive!$C$7)</f>
        <v>8.2601003224228534E-3</v>
      </c>
      <c r="AQ279">
        <f>VLOOKUP($A279,raw[],43,FALSE)*(1+interactive!$C$7)</f>
        <v>1.377969761043002E-2</v>
      </c>
      <c r="AR279">
        <f>VLOOKUP($A279,raw[],44,FALSE)*(1+interactive!$C$7)</f>
        <v>2.4207567799047237E-2</v>
      </c>
      <c r="AS279">
        <f>VLOOKUP($A279,raw[],45,FALSE)*(1+interactive!$C$7)</f>
        <v>4.4024217800428062E-2</v>
      </c>
      <c r="AT279">
        <f>VLOOKUP($A279,raw[],46,FALSE)*(1+interactive!$C$7)</f>
        <v>7.9856580505644731E-2</v>
      </c>
      <c r="AU279">
        <f>VLOOKUP($A279,raw[],47,FALSE)*(1+interactive!$C$7)</f>
        <v>0.11859226071601725</v>
      </c>
      <c r="AV279">
        <f>VLOOKUP($A279,raw[],48,FALSE)*(1+interactive!$C$7)</f>
        <v>0.15762620911613293</v>
      </c>
      <c r="AW279">
        <f>VLOOKUP($A279,raw[],49,FALSE)*(1+interactive!$C$7)</f>
        <v>0.18670022109404086</v>
      </c>
      <c r="AX279">
        <f>VLOOKUP($A279,raw[],50,FALSE)*(1+interactive!$C$7)</f>
        <v>82.295850000000002</v>
      </c>
    </row>
    <row r="280" spans="1:50" x14ac:dyDescent="0.25">
      <c r="A280" s="53" t="s">
        <v>205</v>
      </c>
      <c r="B280" s="54" t="s">
        <v>206</v>
      </c>
      <c r="C280" s="54">
        <v>12</v>
      </c>
      <c r="D280" s="54" t="s">
        <v>207</v>
      </c>
      <c r="E280" s="54" t="s">
        <v>197</v>
      </c>
      <c r="F280" s="54" t="s">
        <v>197</v>
      </c>
      <c r="G280" s="54" t="s">
        <v>204</v>
      </c>
      <c r="J280">
        <f>MIN(VLOOKUP($A280,raw[],10,FALSE)*(1+interactive!$C$7),0.999)</f>
        <v>0.999</v>
      </c>
      <c r="K280">
        <f>MIN(VLOOKUP($A280,raw[],11,FALSE)*(1+interactive!$C$7),0.999)</f>
        <v>0.999</v>
      </c>
      <c r="L280">
        <f>MIN(VLOOKUP($A280,raw[],12,FALSE)*(1+interactive!$C$7),0.999)</f>
        <v>0.95550000000000013</v>
      </c>
      <c r="M280">
        <v>2.8300000000000002E-2</v>
      </c>
      <c r="N280">
        <f>IFERROR(VLOOKUP($A280,[2]!hbe_prev[#Data],5,FALSE),0)</f>
        <v>0.37619999999999998</v>
      </c>
      <c r="O280">
        <f>VLOOKUP($F280,[2]!hbe_risk[#All],4,FALSE)</f>
        <v>0.9</v>
      </c>
      <c r="P280">
        <f>VLOOKUP($F280,[2]!hbe_risk[#All],7,FALSE)</f>
        <v>0.3</v>
      </c>
      <c r="Q280">
        <v>15.938241417591801</v>
      </c>
      <c r="R280">
        <v>124.92404141759181</v>
      </c>
      <c r="S280">
        <v>181.95889054519026</v>
      </c>
      <c r="T280">
        <v>196.43554735521155</v>
      </c>
      <c r="U280">
        <v>189.78817254559212</v>
      </c>
      <c r="V280">
        <v>7.1151481351972139</v>
      </c>
      <c r="W280">
        <v>7.6191481351972143</v>
      </c>
      <c r="X280">
        <v>7.0763919366605323</v>
      </c>
      <c r="Y280">
        <v>7.5803919366605328</v>
      </c>
      <c r="Z280">
        <v>7.5571872459880076</v>
      </c>
      <c r="AA280">
        <v>7.1240918733210634</v>
      </c>
      <c r="AB280">
        <v>7.628091873321063</v>
      </c>
      <c r="AC280">
        <f>VLOOKUP($A280,raw[],29,FALSE)*(1+interactive!$C$7)</f>
        <v>2.2311575999999965E-2</v>
      </c>
      <c r="AD280">
        <f>VLOOKUP($A280,raw[],30,FALSE)*(1+interactive!$C$7)</f>
        <v>9.1728614844261357E-4</v>
      </c>
      <c r="AE280">
        <f>VLOOKUP($A280,raw[],31,FALSE)*(1+interactive!$C$7)</f>
        <v>4.6792589971866454E-4</v>
      </c>
      <c r="AF280">
        <f>VLOOKUP($A280,raw[],32,FALSE)*(1+interactive!$C$7)</f>
        <v>4.1573488014981416E-4</v>
      </c>
      <c r="AG280">
        <f>VLOOKUP($A280,raw[],33,FALSE)*(1+interactive!$C$7)</f>
        <v>5.9540197294586175E-4</v>
      </c>
      <c r="AH280">
        <f>VLOOKUP($A280,raw[],34,FALSE)*(1+interactive!$C$7)</f>
        <v>7.747306562901707E-4</v>
      </c>
      <c r="AI280">
        <f>VLOOKUP($A280,raw[],35,FALSE)*(1+interactive!$C$7)</f>
        <v>9.1424131136401507E-4</v>
      </c>
      <c r="AJ280">
        <f>VLOOKUP($A280,raw[],36,FALSE)*(1+interactive!$C$7)</f>
        <v>1.0799953396655735E-3</v>
      </c>
      <c r="AK280">
        <f>VLOOKUP($A280,raw[],37,FALSE)*(1+interactive!$C$7)</f>
        <v>1.4499923281177959E-3</v>
      </c>
      <c r="AL280">
        <f>VLOOKUP($A280,raw[],38,FALSE)*(1+interactive!$C$7)</f>
        <v>1.9653541907429014E-3</v>
      </c>
      <c r="AM280">
        <f>VLOOKUP($A280,raw[],39,FALSE)*(1+interactive!$C$7)</f>
        <v>2.8736961696675003E-3</v>
      </c>
      <c r="AN280">
        <f>VLOOKUP($A280,raw[],40,FALSE)*(1+interactive!$C$7)</f>
        <v>4.248034096895701E-3</v>
      </c>
      <c r="AO280">
        <f>VLOOKUP($A280,raw[],41,FALSE)*(1+interactive!$C$7)</f>
        <v>6.4292786291832828E-3</v>
      </c>
      <c r="AP280">
        <f>VLOOKUP($A280,raw[],42,FALSE)*(1+interactive!$C$7)</f>
        <v>1.0189366876116235E-2</v>
      </c>
      <c r="AQ280">
        <f>VLOOKUP($A280,raw[],43,FALSE)*(1+interactive!$C$7)</f>
        <v>1.5479331515656235E-2</v>
      </c>
      <c r="AR280">
        <f>VLOOKUP($A280,raw[],44,FALSE)*(1+interactive!$C$7)</f>
        <v>2.5223232055600318E-2</v>
      </c>
      <c r="AS280">
        <f>VLOOKUP($A280,raw[],45,FALSE)*(1+interactive!$C$7)</f>
        <v>4.2652761493149408E-2</v>
      </c>
      <c r="AT280">
        <f>VLOOKUP($A280,raw[],46,FALSE)*(1+interactive!$C$7)</f>
        <v>7.0468302694853033E-2</v>
      </c>
      <c r="AU280">
        <f>VLOOKUP($A280,raw[],47,FALSE)*(1+interactive!$C$7)</f>
        <v>0.10594771670660426</v>
      </c>
      <c r="AV280">
        <f>VLOOKUP($A280,raw[],48,FALSE)*(1+interactive!$C$7)</f>
        <v>0.14176084972045894</v>
      </c>
      <c r="AW280">
        <f>VLOOKUP($A280,raw[],49,FALSE)*(1+interactive!$C$7)</f>
        <v>0.1708921147588971</v>
      </c>
      <c r="AX280">
        <f>VLOOKUP($A280,raw[],50,FALSE)*(1+interactive!$C$7)</f>
        <v>80.422650000000004</v>
      </c>
    </row>
    <row r="281" spans="1:50" x14ac:dyDescent="0.25">
      <c r="A281" s="55" t="s">
        <v>208</v>
      </c>
      <c r="B281" s="56" t="s">
        <v>209</v>
      </c>
      <c r="C281" s="56">
        <v>24</v>
      </c>
      <c r="D281" s="56" t="s">
        <v>207</v>
      </c>
      <c r="E281" s="56" t="s">
        <v>210</v>
      </c>
      <c r="F281" s="56" t="s">
        <v>211</v>
      </c>
      <c r="G281" s="56" t="s">
        <v>212</v>
      </c>
      <c r="J281">
        <f>MIN(VLOOKUP($A281,raw[],10,FALSE)*(1+interactive!$C$7),0.999)</f>
        <v>0.47880000000000006</v>
      </c>
      <c r="K281">
        <f>MIN(VLOOKUP($A281,raw[],11,FALSE)*(1+interactive!$C$7),0.999)</f>
        <v>0</v>
      </c>
      <c r="L281">
        <f>MIN(VLOOKUP($A281,raw[],12,FALSE)*(1+interactive!$C$7),0.999)</f>
        <v>0.49349999999999999</v>
      </c>
      <c r="M281">
        <v>0.1216</v>
      </c>
      <c r="N281">
        <f>IFERROR(VLOOKUP($A281,[2]!hbe_prev[#Data],5,FALSE),0)</f>
        <v>0.40200000000000002</v>
      </c>
      <c r="O281">
        <f>VLOOKUP($F281,[2]!hbe_risk[#All],4,FALSE)</f>
        <v>0.74399999999999999</v>
      </c>
      <c r="P281">
        <f>VLOOKUP($F281,[2]!hbe_risk[#All],7,FALSE)</f>
        <v>0.13300000000000001</v>
      </c>
      <c r="Q281">
        <v>19.262564202589701</v>
      </c>
      <c r="R281">
        <v>128.2483642025897</v>
      </c>
      <c r="S281">
        <v>186.56325956075275</v>
      </c>
      <c r="T281">
        <v>201.70613569469833</v>
      </c>
      <c r="U281">
        <v>194.7528470536154</v>
      </c>
      <c r="V281">
        <v>3.2705957962531658</v>
      </c>
      <c r="W281">
        <v>8.3420957962531652</v>
      </c>
      <c r="X281">
        <v>3.2505050600017467</v>
      </c>
      <c r="Y281">
        <v>8.3220050600017466</v>
      </c>
      <c r="Z281">
        <v>8.3104347916140391</v>
      </c>
      <c r="AA281">
        <v>3.2752321200034933</v>
      </c>
      <c r="AB281">
        <v>8.3467321200034945</v>
      </c>
      <c r="AC281">
        <f>VLOOKUP($A281,raw[],29,FALSE)*(1+interactive!$C$7)</f>
        <v>6.4532390999999953E-2</v>
      </c>
      <c r="AD281">
        <f>VLOOKUP($A281,raw[],30,FALSE)*(1+interactive!$C$7)</f>
        <v>5.4345303321887391E-3</v>
      </c>
      <c r="AE281">
        <f>VLOOKUP($A281,raw[],31,FALSE)*(1+interactive!$C$7)</f>
        <v>2.0035212324966667E-3</v>
      </c>
      <c r="AF281">
        <f>VLOOKUP($A281,raw[],32,FALSE)*(1+interactive!$C$7)</f>
        <v>1.4609876587366316E-3</v>
      </c>
      <c r="AG281">
        <f>VLOOKUP($A281,raw[],33,FALSE)*(1+interactive!$C$7)</f>
        <v>2.4542422109967385E-3</v>
      </c>
      <c r="AH281">
        <f>VLOOKUP($A281,raw[],34,FALSE)*(1+interactive!$C$7)</f>
        <v>3.4179070351698709E-3</v>
      </c>
      <c r="AI281">
        <f>VLOOKUP($A281,raw[],35,FALSE)*(1+interactive!$C$7)</f>
        <v>3.768052153565302E-3</v>
      </c>
      <c r="AJ281">
        <f>VLOOKUP($A281,raw[],36,FALSE)*(1+interactive!$C$7)</f>
        <v>4.3477773916513248E-3</v>
      </c>
      <c r="AK281">
        <f>VLOOKUP($A281,raw[],37,FALSE)*(1+interactive!$C$7)</f>
        <v>5.3956705024911181E-3</v>
      </c>
      <c r="AL281">
        <f>VLOOKUP($A281,raw[],38,FALSE)*(1+interactive!$C$7)</f>
        <v>6.9254589752708491E-3</v>
      </c>
      <c r="AM281">
        <f>VLOOKUP($A281,raw[],39,FALSE)*(1+interactive!$C$7)</f>
        <v>9.2541198961064025E-3</v>
      </c>
      <c r="AN281">
        <f>VLOOKUP($A281,raw[],40,FALSE)*(1+interactive!$C$7)</f>
        <v>1.2954744915703672E-2</v>
      </c>
      <c r="AO281">
        <f>VLOOKUP($A281,raw[],41,FALSE)*(1+interactive!$C$7)</f>
        <v>1.8256968023479328E-2</v>
      </c>
      <c r="AP281">
        <f>VLOOKUP($A281,raw[],42,FALSE)*(1+interactive!$C$7)</f>
        <v>2.692097326954649E-2</v>
      </c>
      <c r="AQ281">
        <f>VLOOKUP($A281,raw[],43,FALSE)*(1+interactive!$C$7)</f>
        <v>3.9478208605023296E-2</v>
      </c>
      <c r="AR281">
        <f>VLOOKUP($A281,raw[],44,FALSE)*(1+interactive!$C$7)</f>
        <v>5.8337463884613729E-2</v>
      </c>
      <c r="AS281">
        <f>VLOOKUP($A281,raw[],45,FALSE)*(1+interactive!$C$7)</f>
        <v>8.3809307516354445E-2</v>
      </c>
      <c r="AT281">
        <f>VLOOKUP($A281,raw[],46,FALSE)*(1+interactive!$C$7)</f>
        <v>0.1142624331279386</v>
      </c>
      <c r="AU281">
        <f>VLOOKUP($A281,raw[],47,FALSE)*(1+interactive!$C$7)</f>
        <v>0.14275897860953365</v>
      </c>
      <c r="AV281">
        <f>VLOOKUP($A281,raw[],48,FALSE)*(1+interactive!$C$7)</f>
        <v>0.16790287143768604</v>
      </c>
      <c r="AW281">
        <f>VLOOKUP($A281,raw[],49,FALSE)*(1+interactive!$C$7)</f>
        <v>0.18688489258104082</v>
      </c>
      <c r="AX281">
        <f>VLOOKUP($A281,raw[],50,FALSE)*(1+interactive!$C$7)</f>
        <v>63.567</v>
      </c>
    </row>
    <row r="282" spans="1:50" x14ac:dyDescent="0.25">
      <c r="A282" s="53" t="s">
        <v>213</v>
      </c>
      <c r="B282" s="54" t="s">
        <v>214</v>
      </c>
      <c r="C282" s="54">
        <v>32</v>
      </c>
      <c r="D282" s="54" t="s">
        <v>215</v>
      </c>
      <c r="E282" s="54" t="s">
        <v>216</v>
      </c>
      <c r="F282" s="54" t="s">
        <v>217</v>
      </c>
      <c r="G282" s="54" t="s">
        <v>204</v>
      </c>
      <c r="J282">
        <f>MIN(VLOOKUP($A282,raw[],10,FALSE)*(1+interactive!$C$7),0.999)</f>
        <v>0.999</v>
      </c>
      <c r="K282">
        <f>MIN(VLOOKUP($A282,raw[],11,FALSE)*(1+interactive!$C$7),0.999)</f>
        <v>0.75600000000000001</v>
      </c>
      <c r="L282">
        <f>MIN(VLOOKUP($A282,raw[],12,FALSE)*(1+interactive!$C$7),0.999)</f>
        <v>0.77700000000000002</v>
      </c>
      <c r="M282">
        <v>4.0000000000000001E-3</v>
      </c>
      <c r="N282">
        <f>IFERROR(VLOOKUP($A282,[2]!hbe_prev[#Data],5,FALSE),0)</f>
        <v>0.45710000000000001</v>
      </c>
      <c r="O282">
        <f>VLOOKUP($F282,[2]!hbe_risk[#All],4,FALSE)</f>
        <v>0.9</v>
      </c>
      <c r="P282">
        <f>VLOOKUP($F282,[2]!hbe_risk[#All],7,FALSE)</f>
        <v>0.3</v>
      </c>
      <c r="Q282">
        <v>43.310299731600502</v>
      </c>
      <c r="R282">
        <v>152.29609973160052</v>
      </c>
      <c r="S282">
        <v>281.27005904167936</v>
      </c>
      <c r="T282">
        <v>333.18850834723287</v>
      </c>
      <c r="U282">
        <v>309.34865384233535</v>
      </c>
      <c r="V282">
        <v>8.9317415625950645</v>
      </c>
      <c r="W282">
        <v>8.9527415625950653</v>
      </c>
      <c r="X282">
        <v>8.8778984483283114</v>
      </c>
      <c r="Y282">
        <v>8.8988984483283122</v>
      </c>
      <c r="Z282">
        <v>8.8670519848922975</v>
      </c>
      <c r="AA282">
        <v>8.9441668966566219</v>
      </c>
      <c r="AB282">
        <v>8.9651668966566227</v>
      </c>
      <c r="AC282">
        <f>VLOOKUP($A282,raw[],29,FALSE)*(1+interactive!$C$7)</f>
        <v>1.0736449500000002E-2</v>
      </c>
      <c r="AD282">
        <f>VLOOKUP($A282,raw[],30,FALSE)*(1+interactive!$C$7)</f>
        <v>4.3416769719570319E-4</v>
      </c>
      <c r="AE282">
        <f>VLOOKUP($A282,raw[],31,FALSE)*(1+interactive!$C$7)</f>
        <v>1.9141551873711539E-4</v>
      </c>
      <c r="AF282">
        <f>VLOOKUP($A282,raw[],32,FALSE)*(1+interactive!$C$7)</f>
        <v>2.5058662202167312E-4</v>
      </c>
      <c r="AG282">
        <f>VLOOKUP($A282,raw[],33,FALSE)*(1+interactive!$C$7)</f>
        <v>7.8013312022640264E-4</v>
      </c>
      <c r="AH282">
        <f>VLOOKUP($A282,raw[],34,FALSE)*(1+interactive!$C$7)</f>
        <v>1.0731976901898542E-3</v>
      </c>
      <c r="AI282">
        <f>VLOOKUP($A282,raw[],35,FALSE)*(1+interactive!$C$7)</f>
        <v>1.0793786203272516E-3</v>
      </c>
      <c r="AJ282">
        <f>VLOOKUP($A282,raw[],36,FALSE)*(1+interactive!$C$7)</f>
        <v>1.2233884119593069E-3</v>
      </c>
      <c r="AK282">
        <f>VLOOKUP($A282,raw[],37,FALSE)*(1+interactive!$C$7)</f>
        <v>1.4810442455537233E-3</v>
      </c>
      <c r="AL282">
        <f>VLOOKUP($A282,raw[],38,FALSE)*(1+interactive!$C$7)</f>
        <v>2.0877274634634089E-3</v>
      </c>
      <c r="AM282">
        <f>VLOOKUP($A282,raw[],39,FALSE)*(1+interactive!$C$7)</f>
        <v>3.3055776573060304E-3</v>
      </c>
      <c r="AN282">
        <f>VLOOKUP($A282,raw[],40,FALSE)*(1+interactive!$C$7)</f>
        <v>5.3326199456536919E-3</v>
      </c>
      <c r="AO282">
        <f>VLOOKUP($A282,raw[],41,FALSE)*(1+interactive!$C$7)</f>
        <v>8.7721580601406567E-3</v>
      </c>
      <c r="AP282">
        <f>VLOOKUP($A282,raw[],42,FALSE)*(1+interactive!$C$7)</f>
        <v>1.317808429126319E-2</v>
      </c>
      <c r="AQ282">
        <f>VLOOKUP($A282,raw[],43,FALSE)*(1+interactive!$C$7)</f>
        <v>1.9845803227046845E-2</v>
      </c>
      <c r="AR282">
        <f>VLOOKUP($A282,raw[],44,FALSE)*(1+interactive!$C$7)</f>
        <v>2.8971093230379819E-2</v>
      </c>
      <c r="AS282">
        <f>VLOOKUP($A282,raw[],45,FALSE)*(1+interactive!$C$7)</f>
        <v>4.3838290922772687E-2</v>
      </c>
      <c r="AT282">
        <f>VLOOKUP($A282,raw[],46,FALSE)*(1+interactive!$C$7)</f>
        <v>6.7833779370984573E-2</v>
      </c>
      <c r="AU282">
        <f>VLOOKUP($A282,raw[],47,FALSE)*(1+interactive!$C$7)</f>
        <v>9.9899218330876352E-2</v>
      </c>
      <c r="AV282">
        <f>VLOOKUP($A282,raw[],48,FALSE)*(1+interactive!$C$7)</f>
        <v>0.13596107349635994</v>
      </c>
      <c r="AW282">
        <f>VLOOKUP($A282,raw[],49,FALSE)*(1+interactive!$C$7)</f>
        <v>0.16932898311248859</v>
      </c>
      <c r="AX282">
        <f>VLOOKUP($A282,raw[],50,FALSE)*(1+interactive!$C$7)</f>
        <v>80.270399999999995</v>
      </c>
    </row>
    <row r="283" spans="1:50" x14ac:dyDescent="0.25">
      <c r="A283" s="55" t="s">
        <v>218</v>
      </c>
      <c r="B283" s="56" t="s">
        <v>219</v>
      </c>
      <c r="C283" s="56">
        <v>51</v>
      </c>
      <c r="D283" s="56" t="s">
        <v>201</v>
      </c>
      <c r="E283" s="56" t="s">
        <v>220</v>
      </c>
      <c r="F283" s="56" t="s">
        <v>203</v>
      </c>
      <c r="G283" s="56" t="s">
        <v>204</v>
      </c>
      <c r="J283">
        <f>MIN(VLOOKUP($A283,raw[],10,FALSE)*(1+interactive!$C$7),0.999)</f>
        <v>0.999</v>
      </c>
      <c r="K283">
        <f>MIN(VLOOKUP($A283,raw[],11,FALSE)*(1+interactive!$C$7),0.999)</f>
        <v>0.999</v>
      </c>
      <c r="L283">
        <f>MIN(VLOOKUP($A283,raw[],12,FALSE)*(1+interactive!$C$7),0.999)</f>
        <v>0.96600000000000008</v>
      </c>
      <c r="M283">
        <v>3.6200000000000003E-2</v>
      </c>
      <c r="N283">
        <f>IFERROR(VLOOKUP($A283,[2]!hbe_prev[#Data],5,FALSE),0)</f>
        <v>0.43079999999999996</v>
      </c>
      <c r="O283">
        <f>VLOOKUP($F283,[2]!hbe_risk[#All],4,FALSE)</f>
        <v>0.9</v>
      </c>
      <c r="P283">
        <f>VLOOKUP($F283,[2]!hbe_risk[#All],7,FALSE)</f>
        <v>0.3</v>
      </c>
      <c r="Q283">
        <v>17.923082970137202</v>
      </c>
      <c r="R283">
        <v>126.90888297013721</v>
      </c>
      <c r="S283">
        <v>178.11442755619333</v>
      </c>
      <c r="T283">
        <v>189.55713509322453</v>
      </c>
      <c r="U283">
        <v>184.3028856602443</v>
      </c>
      <c r="V283">
        <v>9.9409545140205697</v>
      </c>
      <c r="W283">
        <v>14.21445451402057</v>
      </c>
      <c r="X283">
        <v>9.915178421528589</v>
      </c>
      <c r="Y283">
        <v>14.188678421528589</v>
      </c>
      <c r="Z283">
        <v>14.174070739186641</v>
      </c>
      <c r="AA283">
        <v>9.9469028430571793</v>
      </c>
      <c r="AB283">
        <v>14.22040284305718</v>
      </c>
      <c r="AC283">
        <f>VLOOKUP($A283,raw[],29,FALSE)*(1+interactive!$C$7)</f>
        <v>1.1305622999999949E-2</v>
      </c>
      <c r="AD283">
        <f>VLOOKUP($A283,raw[],30,FALSE)*(1+interactive!$C$7)</f>
        <v>6.3538712841229702E-4</v>
      </c>
      <c r="AE283">
        <f>VLOOKUP($A283,raw[],31,FALSE)*(1+interactive!$C$7)</f>
        <v>2.036205972877062E-4</v>
      </c>
      <c r="AF283">
        <f>VLOOKUP($A283,raw[],32,FALSE)*(1+interactive!$C$7)</f>
        <v>2.6074018110619208E-4</v>
      </c>
      <c r="AG283">
        <f>VLOOKUP($A283,raw[],33,FALSE)*(1+interactive!$C$7)</f>
        <v>6.6139323819383599E-4</v>
      </c>
      <c r="AH283">
        <f>VLOOKUP($A283,raw[],34,FALSE)*(1+interactive!$C$7)</f>
        <v>6.4808945827407572E-4</v>
      </c>
      <c r="AI283">
        <f>VLOOKUP($A283,raw[],35,FALSE)*(1+interactive!$C$7)</f>
        <v>6.1303933032236962E-4</v>
      </c>
      <c r="AJ283">
        <f>VLOOKUP($A283,raw[],36,FALSE)*(1+interactive!$C$7)</f>
        <v>8.0725571675903374E-4</v>
      </c>
      <c r="AK283">
        <f>VLOOKUP($A283,raw[],37,FALSE)*(1+interactive!$C$7)</f>
        <v>1.2139930181896412E-3</v>
      </c>
      <c r="AL283">
        <f>VLOOKUP($A283,raw[],38,FALSE)*(1+interactive!$C$7)</f>
        <v>2.2839225345098143E-3</v>
      </c>
      <c r="AM283">
        <f>VLOOKUP($A283,raw[],39,FALSE)*(1+interactive!$C$7)</f>
        <v>3.7918392970737861E-3</v>
      </c>
      <c r="AN283">
        <f>VLOOKUP($A283,raw[],40,FALSE)*(1+interactive!$C$7)</f>
        <v>6.2356902461657782E-3</v>
      </c>
      <c r="AO283">
        <f>VLOOKUP($A283,raw[],41,FALSE)*(1+interactive!$C$7)</f>
        <v>9.3726257396530184E-3</v>
      </c>
      <c r="AP283">
        <f>VLOOKUP($A283,raw[],42,FALSE)*(1+interactive!$C$7)</f>
        <v>1.4598259772619906E-2</v>
      </c>
      <c r="AQ283">
        <f>VLOOKUP($A283,raw[],43,FALSE)*(1+interactive!$C$7)</f>
        <v>2.2032205194243204E-2</v>
      </c>
      <c r="AR283">
        <f>VLOOKUP($A283,raw[],44,FALSE)*(1+interactive!$C$7)</f>
        <v>3.5071574389257419E-2</v>
      </c>
      <c r="AS283">
        <f>VLOOKUP($A283,raw[],45,FALSE)*(1+interactive!$C$7)</f>
        <v>5.7391741988149142E-2</v>
      </c>
      <c r="AT283">
        <f>VLOOKUP($A283,raw[],46,FALSE)*(1+interactive!$C$7)</f>
        <v>8.7063913993442293E-2</v>
      </c>
      <c r="AU283">
        <f>VLOOKUP($A283,raw[],47,FALSE)*(1+interactive!$C$7)</f>
        <v>0.12189283652912442</v>
      </c>
      <c r="AV283">
        <f>VLOOKUP($A283,raw[],48,FALSE)*(1+interactive!$C$7)</f>
        <v>0.15665459761307635</v>
      </c>
      <c r="AW283">
        <f>VLOOKUP($A283,raw[],49,FALSE)*(1+interactive!$C$7)</f>
        <v>0.17908283942329489</v>
      </c>
      <c r="AX283">
        <f>VLOOKUP($A283,raw[],50,FALSE)*(1+interactive!$C$7)</f>
        <v>78.609300000000005</v>
      </c>
    </row>
    <row r="284" spans="1:50" x14ac:dyDescent="0.25">
      <c r="A284" s="53" t="s">
        <v>221</v>
      </c>
      <c r="B284" s="54" t="s">
        <v>222</v>
      </c>
      <c r="C284" s="54">
        <v>31</v>
      </c>
      <c r="D284" s="54" t="s">
        <v>201</v>
      </c>
      <c r="E284" s="54" t="s">
        <v>220</v>
      </c>
      <c r="F284" s="54" t="s">
        <v>203</v>
      </c>
      <c r="G284" s="54" t="s">
        <v>204</v>
      </c>
      <c r="J284">
        <f>MIN(VLOOKUP($A284,raw[],10,FALSE)*(1+interactive!$C$7),0.999)</f>
        <v>0.999</v>
      </c>
      <c r="K284">
        <f>MIN(VLOOKUP($A284,raw[],11,FALSE)*(1+interactive!$C$7),0.999)</f>
        <v>0.999</v>
      </c>
      <c r="L284">
        <f>MIN(VLOOKUP($A284,raw[],12,FALSE)*(1+interactive!$C$7),0.999)</f>
        <v>0.82950000000000013</v>
      </c>
      <c r="M284">
        <v>3.15E-2</v>
      </c>
      <c r="N284">
        <f>IFERROR(VLOOKUP($A284,[2]!hbe_prev[#Data],5,FALSE),0)</f>
        <v>0.43079999999999996</v>
      </c>
      <c r="O284">
        <f>VLOOKUP($F284,[2]!hbe_risk[#All],4,FALSE)</f>
        <v>0.9</v>
      </c>
      <c r="P284">
        <f>VLOOKUP($F284,[2]!hbe_risk[#All],7,FALSE)</f>
        <v>0.3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8.9707615847713296</v>
      </c>
      <c r="W284">
        <v>13.24426158477133</v>
      </c>
      <c r="X284">
        <v>8.9456260467703892</v>
      </c>
      <c r="Y284">
        <v>13.219126046770389</v>
      </c>
      <c r="Z284">
        <v>13.205127746055624</v>
      </c>
      <c r="AA284">
        <v>8.9765620935407782</v>
      </c>
      <c r="AB284">
        <v>13.250062093540778</v>
      </c>
      <c r="AC284">
        <f>VLOOKUP($A284,raw[],29,FALSE)*(1+interactive!$C$7)</f>
        <v>2.1846110999999946E-2</v>
      </c>
      <c r="AD284">
        <f>VLOOKUP($A284,raw[],30,FALSE)*(1+interactive!$C$7)</f>
        <v>1.1793885202626491E-3</v>
      </c>
      <c r="AE284">
        <f>VLOOKUP($A284,raw[],31,FALSE)*(1+interactive!$C$7)</f>
        <v>4.0230899889438917E-4</v>
      </c>
      <c r="AF284">
        <f>VLOOKUP($A284,raw[],32,FALSE)*(1+interactive!$C$7)</f>
        <v>3.4391203420671416E-4</v>
      </c>
      <c r="AG284">
        <f>VLOOKUP($A284,raw[],33,FALSE)*(1+interactive!$C$7)</f>
        <v>7.0461586053505046E-4</v>
      </c>
      <c r="AH284">
        <f>VLOOKUP($A284,raw[],34,FALSE)*(1+interactive!$C$7)</f>
        <v>8.7594253175536923E-4</v>
      </c>
      <c r="AI284">
        <f>VLOOKUP($A284,raw[],35,FALSE)*(1+interactive!$C$7)</f>
        <v>8.8235187946452234E-4</v>
      </c>
      <c r="AJ284">
        <f>VLOOKUP($A284,raw[],36,FALSE)*(1+interactive!$C$7)</f>
        <v>1.0582051565842872E-3</v>
      </c>
      <c r="AK284">
        <f>VLOOKUP($A284,raw[],37,FALSE)*(1+interactive!$C$7)</f>
        <v>1.4819226964225328E-3</v>
      </c>
      <c r="AL284">
        <f>VLOOKUP($A284,raw[],38,FALSE)*(1+interactive!$C$7)</f>
        <v>2.2408441197714385E-3</v>
      </c>
      <c r="AM284">
        <f>VLOOKUP($A284,raw[],39,FALSE)*(1+interactive!$C$7)</f>
        <v>3.6372907403722865E-3</v>
      </c>
      <c r="AN284">
        <f>VLOOKUP($A284,raw[],40,FALSE)*(1+interactive!$C$7)</f>
        <v>5.9156551461323819E-3</v>
      </c>
      <c r="AO284">
        <f>VLOOKUP($A284,raw[],41,FALSE)*(1+interactive!$C$7)</f>
        <v>9.5894514051201515E-3</v>
      </c>
      <c r="AP284">
        <f>VLOOKUP($A284,raw[],42,FALSE)*(1+interactive!$C$7)</f>
        <v>1.5643340281275005E-2</v>
      </c>
      <c r="AQ284">
        <f>VLOOKUP($A284,raw[],43,FALSE)*(1+interactive!$C$7)</f>
        <v>2.5292856682757672E-2</v>
      </c>
      <c r="AR284">
        <f>VLOOKUP($A284,raw[],44,FALSE)*(1+interactive!$C$7)</f>
        <v>4.0843168590751461E-2</v>
      </c>
      <c r="AS284">
        <f>VLOOKUP($A284,raw[],45,FALSE)*(1+interactive!$C$7)</f>
        <v>6.4703097396811488E-2</v>
      </c>
      <c r="AT284">
        <f>VLOOKUP($A284,raw[],46,FALSE)*(1+interactive!$C$7)</f>
        <v>9.6037780124671776E-2</v>
      </c>
      <c r="AU284">
        <f>VLOOKUP($A284,raw[],47,FALSE)*(1+interactive!$C$7)</f>
        <v>0.13172421793735517</v>
      </c>
      <c r="AV284">
        <f>VLOOKUP($A284,raw[],48,FALSE)*(1+interactive!$C$7)</f>
        <v>0.16248624718434443</v>
      </c>
      <c r="AW284">
        <f>VLOOKUP($A284,raw[],49,FALSE)*(1+interactive!$C$7)</f>
        <v>0.1828268974179951</v>
      </c>
      <c r="AX284">
        <f>VLOOKUP($A284,raw[],50,FALSE)*(1+interactive!$C$7)</f>
        <v>76.450500000000005</v>
      </c>
    </row>
    <row r="285" spans="1:50" x14ac:dyDescent="0.25">
      <c r="A285" s="55" t="s">
        <v>223</v>
      </c>
      <c r="B285" s="56" t="s">
        <v>224</v>
      </c>
      <c r="C285" s="56">
        <v>50</v>
      </c>
      <c r="D285" s="56" t="s">
        <v>225</v>
      </c>
      <c r="E285" s="56" t="s">
        <v>226</v>
      </c>
      <c r="F285" s="56" t="s">
        <v>226</v>
      </c>
      <c r="G285" s="56" t="s">
        <v>212</v>
      </c>
      <c r="J285">
        <f>MIN(VLOOKUP($A285,raw[],10,FALSE)*(1+interactive!$C$7),0.999)</f>
        <v>0.56070000000000009</v>
      </c>
      <c r="K285">
        <f>MIN(VLOOKUP($A285,raw[],11,FALSE)*(1+interactive!$C$7),0.999)</f>
        <v>0</v>
      </c>
      <c r="L285">
        <f>MIN(VLOOKUP($A285,raw[],12,FALSE)*(1+interactive!$C$7),0.999)</f>
        <v>0.999</v>
      </c>
      <c r="M285">
        <v>3.2400000000000005E-2</v>
      </c>
      <c r="N285">
        <f>IFERROR(VLOOKUP($A285,[2]!hbe_prev[#Data],5,FALSE),0)</f>
        <v>0.35830000000000001</v>
      </c>
      <c r="O285">
        <f>VLOOKUP($F285,[2]!hbe_risk[#All],4,FALSE)</f>
        <v>0.9</v>
      </c>
      <c r="P285">
        <f>VLOOKUP($F285,[2]!hbe_risk[#All],7,FALSE)</f>
        <v>0.3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5.2460913518969674</v>
      </c>
      <c r="W285">
        <v>7.1464311859556453</v>
      </c>
      <c r="X285">
        <v>5.2228404700121196</v>
      </c>
      <c r="Y285">
        <v>7.1231803040707966</v>
      </c>
      <c r="Z285">
        <v>7.1090943062719258</v>
      </c>
      <c r="AA285">
        <v>5.2514569400242399</v>
      </c>
      <c r="AB285">
        <v>7.1517967740829178</v>
      </c>
      <c r="AC285">
        <f>VLOOKUP($A285,raw[],29,FALSE)*(1+interactive!$C$7)</f>
        <v>2.8192899000000004E-2</v>
      </c>
      <c r="AD285">
        <f>VLOOKUP($A285,raw[],30,FALSE)*(1+interactive!$C$7)</f>
        <v>1.4986931043553069E-3</v>
      </c>
      <c r="AE285">
        <f>VLOOKUP($A285,raw[],31,FALSE)*(1+interactive!$C$7)</f>
        <v>7.8563003325332961E-4</v>
      </c>
      <c r="AF285">
        <f>VLOOKUP($A285,raw[],32,FALSE)*(1+interactive!$C$7)</f>
        <v>6.6779422157501136E-4</v>
      </c>
      <c r="AG285">
        <f>VLOOKUP($A285,raw[],33,FALSE)*(1+interactive!$C$7)</f>
        <v>1.063212751384799E-3</v>
      </c>
      <c r="AH285">
        <f>VLOOKUP($A285,raw[],34,FALSE)*(1+interactive!$C$7)</f>
        <v>1.0913486411609861E-3</v>
      </c>
      <c r="AI285">
        <f>VLOOKUP($A285,raw[],35,FALSE)*(1+interactive!$C$7)</f>
        <v>1.0459760013848676E-3</v>
      </c>
      <c r="AJ285">
        <f>VLOOKUP($A285,raw[],36,FALSE)*(1+interactive!$C$7)</f>
        <v>1.3084921595591435E-3</v>
      </c>
      <c r="AK285">
        <f>VLOOKUP($A285,raw[],37,FALSE)*(1+interactive!$C$7)</f>
        <v>1.7796586704125564E-3</v>
      </c>
      <c r="AL285">
        <f>VLOOKUP($A285,raw[],38,FALSE)*(1+interactive!$C$7)</f>
        <v>2.6143720126092776E-3</v>
      </c>
      <c r="AM285">
        <f>VLOOKUP($A285,raw[],39,FALSE)*(1+interactive!$C$7)</f>
        <v>4.0728585310740931E-3</v>
      </c>
      <c r="AN285">
        <f>VLOOKUP($A285,raw[],40,FALSE)*(1+interactive!$C$7)</f>
        <v>6.6860062866684819E-3</v>
      </c>
      <c r="AO285">
        <f>VLOOKUP($A285,raw[],41,FALSE)*(1+interactive!$C$7)</f>
        <v>1.0524517731137347E-2</v>
      </c>
      <c r="AP285">
        <f>VLOOKUP($A285,raw[],42,FALSE)*(1+interactive!$C$7)</f>
        <v>1.7482220111529546E-2</v>
      </c>
      <c r="AQ285">
        <f>VLOOKUP($A285,raw[],43,FALSE)*(1+interactive!$C$7)</f>
        <v>2.5341885398422238E-2</v>
      </c>
      <c r="AR285">
        <f>VLOOKUP($A285,raw[],44,FALSE)*(1+interactive!$C$7)</f>
        <v>4.1097138602292867E-2</v>
      </c>
      <c r="AS285">
        <f>VLOOKUP($A285,raw[],45,FALSE)*(1+interactive!$C$7)</f>
        <v>5.5612030207403025E-2</v>
      </c>
      <c r="AT285">
        <f>VLOOKUP($A285,raw[],46,FALSE)*(1+interactive!$C$7)</f>
        <v>8.0003176281822214E-2</v>
      </c>
      <c r="AU285">
        <f>VLOOKUP($A285,raw[],47,FALSE)*(1+interactive!$C$7)</f>
        <v>0.10572073696016218</v>
      </c>
      <c r="AV285">
        <f>VLOOKUP($A285,raw[],48,FALSE)*(1+interactive!$C$7)</f>
        <v>0.13082793838293505</v>
      </c>
      <c r="AW285">
        <f>VLOOKUP($A285,raw[],49,FALSE)*(1+interactive!$C$7)</f>
        <v>0.14828933962360599</v>
      </c>
      <c r="AX285">
        <f>VLOOKUP($A285,raw[],50,FALSE)*(1+interactive!$C$7)</f>
        <v>75.757500000000007</v>
      </c>
    </row>
    <row r="286" spans="1:50" x14ac:dyDescent="0.25">
      <c r="A286" s="53" t="s">
        <v>227</v>
      </c>
      <c r="B286" s="54" t="s">
        <v>228</v>
      </c>
      <c r="C286" s="54">
        <v>112</v>
      </c>
      <c r="D286" s="54" t="s">
        <v>201</v>
      </c>
      <c r="E286" s="54" t="s">
        <v>229</v>
      </c>
      <c r="F286" s="54" t="s">
        <v>203</v>
      </c>
      <c r="G286" s="54" t="s">
        <v>204</v>
      </c>
      <c r="J286">
        <f>MIN(VLOOKUP($A286,raw[],10,FALSE)*(1+interactive!$C$7),0.999)</f>
        <v>0.999</v>
      </c>
      <c r="K286">
        <f>MIN(VLOOKUP($A286,raw[],11,FALSE)*(1+interactive!$C$7),0.999)</f>
        <v>0.999</v>
      </c>
      <c r="L286">
        <f>MIN(VLOOKUP($A286,raw[],12,FALSE)*(1+interactive!$C$7),0.999)</f>
        <v>0.999</v>
      </c>
      <c r="M286">
        <v>0.12529999999999999</v>
      </c>
      <c r="N286">
        <f>IFERROR(VLOOKUP($A286,[2]!hbe_prev[#Data],5,FALSE),0)</f>
        <v>0.42969999999999997</v>
      </c>
      <c r="O286">
        <f>VLOOKUP($F286,[2]!hbe_risk[#All],4,FALSE)</f>
        <v>0.9</v>
      </c>
      <c r="P286">
        <f>VLOOKUP($F286,[2]!hbe_risk[#All],7,FALSE)</f>
        <v>0.3</v>
      </c>
      <c r="Q286">
        <v>24.3582388144359</v>
      </c>
      <c r="R286">
        <v>133.34403881443592</v>
      </c>
      <c r="S286">
        <v>219.02878339088298</v>
      </c>
      <c r="T286">
        <v>248.41670943530912</v>
      </c>
      <c r="U286">
        <v>234.92239497732962</v>
      </c>
      <c r="V286">
        <v>10.102255652904972</v>
      </c>
      <c r="W286">
        <v>14.375755652904973</v>
      </c>
      <c r="X286">
        <v>10.064231256775157</v>
      </c>
      <c r="Y286">
        <v>14.337731256775157</v>
      </c>
      <c r="Z286">
        <v>14.316707919226404</v>
      </c>
      <c r="AA286">
        <v>10.111030513550315</v>
      </c>
      <c r="AB286">
        <v>14.384530513550315</v>
      </c>
      <c r="AC286">
        <f>VLOOKUP($A286,raw[],29,FALSE)*(1+interactive!$C$7)</f>
        <v>3.1142160000000442E-3</v>
      </c>
      <c r="AD286">
        <f>VLOOKUP($A286,raw[],30,FALSE)*(1+interactive!$C$7)</f>
        <v>2.2903592723731752E-4</v>
      </c>
      <c r="AE286">
        <f>VLOOKUP($A286,raw[],31,FALSE)*(1+interactive!$C$7)</f>
        <v>1.4563292605942237E-4</v>
      </c>
      <c r="AF286">
        <f>VLOOKUP($A286,raw[],32,FALSE)*(1+interactive!$C$7)</f>
        <v>1.3827040588088927E-4</v>
      </c>
      <c r="AG286">
        <f>VLOOKUP($A286,raw[],33,FALSE)*(1+interactive!$C$7)</f>
        <v>3.6928136403498733E-4</v>
      </c>
      <c r="AH286">
        <f>VLOOKUP($A286,raw[],34,FALSE)*(1+interactive!$C$7)</f>
        <v>6.2866237324011481E-4</v>
      </c>
      <c r="AI286">
        <f>VLOOKUP($A286,raw[],35,FALSE)*(1+interactive!$C$7)</f>
        <v>9.1833463519413452E-4</v>
      </c>
      <c r="AJ286">
        <f>VLOOKUP($A286,raw[],36,FALSE)*(1+interactive!$C$7)</f>
        <v>1.5047410190924481E-3</v>
      </c>
      <c r="AK286">
        <f>VLOOKUP($A286,raw[],37,FALSE)*(1+interactive!$C$7)</f>
        <v>2.4092155402448421E-3</v>
      </c>
      <c r="AL286">
        <f>VLOOKUP($A286,raw[],38,FALSE)*(1+interactive!$C$7)</f>
        <v>3.4813995843920647E-3</v>
      </c>
      <c r="AM286">
        <f>VLOOKUP($A286,raw[],39,FALSE)*(1+interactive!$C$7)</f>
        <v>5.2246224328802889E-3</v>
      </c>
      <c r="AN286">
        <f>VLOOKUP($A286,raw[],40,FALSE)*(1+interactive!$C$7)</f>
        <v>7.6689845751383521E-3</v>
      </c>
      <c r="AO286">
        <f>VLOOKUP($A286,raw[],41,FALSE)*(1+interactive!$C$7)</f>
        <v>1.1408770639083786E-2</v>
      </c>
      <c r="AP286">
        <f>VLOOKUP($A286,raw[],42,FALSE)*(1+interactive!$C$7)</f>
        <v>1.7257845009927643E-2</v>
      </c>
      <c r="AQ286">
        <f>VLOOKUP($A286,raw[],43,FALSE)*(1+interactive!$C$7)</f>
        <v>2.4325331760250705E-2</v>
      </c>
      <c r="AR286">
        <f>VLOOKUP($A286,raw[],44,FALSE)*(1+interactive!$C$7)</f>
        <v>3.494601896342301E-2</v>
      </c>
      <c r="AS286">
        <f>VLOOKUP($A286,raw[],45,FALSE)*(1+interactive!$C$7)</f>
        <v>5.2843723380311923E-2</v>
      </c>
      <c r="AT286">
        <f>VLOOKUP($A286,raw[],46,FALSE)*(1+interactive!$C$7)</f>
        <v>8.1226126212398428E-2</v>
      </c>
      <c r="AU286">
        <f>VLOOKUP($A286,raw[],47,FALSE)*(1+interactive!$C$7)</f>
        <v>0.11524829500926877</v>
      </c>
      <c r="AV286">
        <f>VLOOKUP($A286,raw[],48,FALSE)*(1+interactive!$C$7)</f>
        <v>0.15259072776501603</v>
      </c>
      <c r="AW286">
        <f>VLOOKUP($A286,raw[],49,FALSE)*(1+interactive!$C$7)</f>
        <v>0.18060359571210541</v>
      </c>
      <c r="AX286">
        <f>VLOOKUP($A286,raw[],50,FALSE)*(1+interactive!$C$7)</f>
        <v>78.214500000000001</v>
      </c>
    </row>
    <row r="287" spans="1:50" x14ac:dyDescent="0.25">
      <c r="A287" s="55" t="s">
        <v>230</v>
      </c>
      <c r="B287" s="56" t="s">
        <v>231</v>
      </c>
      <c r="C287" s="56">
        <v>84</v>
      </c>
      <c r="D287" s="56" t="s">
        <v>215</v>
      </c>
      <c r="E287" s="56" t="s">
        <v>232</v>
      </c>
      <c r="F287" s="56" t="s">
        <v>217</v>
      </c>
      <c r="G287" s="56" t="s">
        <v>204</v>
      </c>
      <c r="J287">
        <f>MIN(VLOOKUP($A287,raw[],10,FALSE)*(1+interactive!$C$7),0.999)</f>
        <v>0.999</v>
      </c>
      <c r="K287">
        <f>MIN(VLOOKUP($A287,raw[],11,FALSE)*(1+interactive!$C$7),0.999)</f>
        <v>0.70350000000000013</v>
      </c>
      <c r="L287">
        <f>MIN(VLOOKUP($A287,raw[],12,FALSE)*(1+interactive!$C$7),0.999)</f>
        <v>0.82950000000000013</v>
      </c>
      <c r="M287">
        <v>4.2300000000000004E-2</v>
      </c>
      <c r="N287">
        <f>IFERROR(VLOOKUP($A287,[2]!hbe_prev[#Data],5,FALSE),0)</f>
        <v>0.43</v>
      </c>
      <c r="O287">
        <f>VLOOKUP($F287,[2]!hbe_risk[#All],4,FALSE)</f>
        <v>0.9</v>
      </c>
      <c r="P287">
        <f>VLOOKUP($F287,[2]!hbe_risk[#All],7,FALSE)</f>
        <v>0.3</v>
      </c>
      <c r="Q287">
        <v>23.127402629725299</v>
      </c>
      <c r="R287">
        <v>132.11320262972532</v>
      </c>
      <c r="S287">
        <v>198.63072462983635</v>
      </c>
      <c r="T287">
        <v>218.04278123970246</v>
      </c>
      <c r="U287">
        <v>209.12917516305603</v>
      </c>
      <c r="V287">
        <v>20.81846446193272</v>
      </c>
      <c r="W287">
        <v>20.839464461932721</v>
      </c>
      <c r="X287">
        <v>20.772110737618053</v>
      </c>
      <c r="Y287">
        <v>20.793110737618054</v>
      </c>
      <c r="Z287">
        <v>20.766542792651528</v>
      </c>
      <c r="AA287">
        <v>20.829161475236106</v>
      </c>
      <c r="AB287">
        <v>20.850161475236106</v>
      </c>
      <c r="AC287">
        <f>VLOOKUP($A287,raw[],29,FALSE)*(1+interactive!$C$7)</f>
        <v>1.3456873500000037E-2</v>
      </c>
      <c r="AD287">
        <f>VLOOKUP($A287,raw[],30,FALSE)*(1+interactive!$C$7)</f>
        <v>5.5481416213893861E-4</v>
      </c>
      <c r="AE287">
        <f>VLOOKUP($A287,raw[],31,FALSE)*(1+interactive!$C$7)</f>
        <v>3.1954788147657982E-4</v>
      </c>
      <c r="AF287">
        <f>VLOOKUP($A287,raw[],32,FALSE)*(1+interactive!$C$7)</f>
        <v>3.4660729338680028E-4</v>
      </c>
      <c r="AG287">
        <f>VLOOKUP($A287,raw[],33,FALSE)*(1+interactive!$C$7)</f>
        <v>1.0430379379711484E-3</v>
      </c>
      <c r="AH287">
        <f>VLOOKUP($A287,raw[],34,FALSE)*(1+interactive!$C$7)</f>
        <v>1.6363446562201701E-3</v>
      </c>
      <c r="AI287">
        <f>VLOOKUP($A287,raw[],35,FALSE)*(1+interactive!$C$7)</f>
        <v>2.4450489148846533E-3</v>
      </c>
      <c r="AJ287">
        <f>VLOOKUP($A287,raw[],36,FALSE)*(1+interactive!$C$7)</f>
        <v>2.8888744868287622E-3</v>
      </c>
      <c r="AK287">
        <f>VLOOKUP($A287,raw[],37,FALSE)*(1+interactive!$C$7)</f>
        <v>3.0103773615054075E-3</v>
      </c>
      <c r="AL287">
        <f>VLOOKUP($A287,raw[],38,FALSE)*(1+interactive!$C$7)</f>
        <v>3.6910390693347039E-3</v>
      </c>
      <c r="AM287">
        <f>VLOOKUP($A287,raw[],39,FALSE)*(1+interactive!$C$7)</f>
        <v>5.0869788486900347E-3</v>
      </c>
      <c r="AN287">
        <f>VLOOKUP($A287,raw[],40,FALSE)*(1+interactive!$C$7)</f>
        <v>7.0578026459482785E-3</v>
      </c>
      <c r="AO287">
        <f>VLOOKUP($A287,raw[],41,FALSE)*(1+interactive!$C$7)</f>
        <v>1.1106750884387824E-2</v>
      </c>
      <c r="AP287">
        <f>VLOOKUP($A287,raw[],42,FALSE)*(1+interactive!$C$7)</f>
        <v>1.4790352880018072E-2</v>
      </c>
      <c r="AQ287">
        <f>VLOOKUP($A287,raw[],43,FALSE)*(1+interactive!$C$7)</f>
        <v>1.9978271426964601E-2</v>
      </c>
      <c r="AR287">
        <f>VLOOKUP($A287,raw[],44,FALSE)*(1+interactive!$C$7)</f>
        <v>2.7879687364920636E-2</v>
      </c>
      <c r="AS287">
        <f>VLOOKUP($A287,raw[],45,FALSE)*(1+interactive!$C$7)</f>
        <v>4.0603684682718563E-2</v>
      </c>
      <c r="AT287">
        <f>VLOOKUP($A287,raw[],46,FALSE)*(1+interactive!$C$7)</f>
        <v>6.4248609432827355E-2</v>
      </c>
      <c r="AU287">
        <f>VLOOKUP($A287,raw[],47,FALSE)*(1+interactive!$C$7)</f>
        <v>8.9522645266624915E-2</v>
      </c>
      <c r="AV287">
        <f>VLOOKUP($A287,raw[],48,FALSE)*(1+interactive!$C$7)</f>
        <v>0.11484669495853277</v>
      </c>
      <c r="AW287">
        <f>VLOOKUP($A287,raw[],49,FALSE)*(1+interactive!$C$7)</f>
        <v>0.15868235455120486</v>
      </c>
      <c r="AX287">
        <f>VLOOKUP($A287,raw[],50,FALSE)*(1+interactive!$C$7)</f>
        <v>78.08850000000001</v>
      </c>
    </row>
    <row r="288" spans="1:50" x14ac:dyDescent="0.25">
      <c r="A288" s="53" t="s">
        <v>233</v>
      </c>
      <c r="B288" s="54" t="s">
        <v>234</v>
      </c>
      <c r="C288" s="54">
        <v>204</v>
      </c>
      <c r="D288" s="54" t="s">
        <v>207</v>
      </c>
      <c r="E288" s="54" t="s">
        <v>235</v>
      </c>
      <c r="F288" s="54" t="s">
        <v>211</v>
      </c>
      <c r="G288" s="54" t="s">
        <v>198</v>
      </c>
      <c r="J288">
        <f>MIN(VLOOKUP($A288,raw[],10,FALSE)*(1+interactive!$C$7),0.999)</f>
        <v>0.88095000000000012</v>
      </c>
      <c r="K288">
        <f>MIN(VLOOKUP($A288,raw[],11,FALSE)*(1+interactive!$C$7),0.999)</f>
        <v>0.2205</v>
      </c>
      <c r="L288">
        <f>MIN(VLOOKUP($A288,raw[],12,FALSE)*(1+interactive!$C$7),0.999)</f>
        <v>0.75600000000000001</v>
      </c>
      <c r="M288">
        <v>0.1052</v>
      </c>
      <c r="N288">
        <f>IFERROR(VLOOKUP($A288,[2]!hbe_prev[#Data],5,FALSE),0)</f>
        <v>0.41070000000000001</v>
      </c>
      <c r="O288">
        <f>VLOOKUP($F288,[2]!hbe_risk[#All],4,FALSE)</f>
        <v>0.74399999999999999</v>
      </c>
      <c r="P288">
        <f>VLOOKUP($F288,[2]!hbe_risk[#All],7,FALSE)</f>
        <v>0.13300000000000001</v>
      </c>
      <c r="Q288">
        <v>7.51474805401112</v>
      </c>
      <c r="R288">
        <v>116.50054805401113</v>
      </c>
      <c r="S288">
        <v>149.46826702068492</v>
      </c>
      <c r="T288">
        <v>151.41882375576034</v>
      </c>
      <c r="U288">
        <v>150.52316933253064</v>
      </c>
      <c r="V288">
        <v>3.5148587135415097</v>
      </c>
      <c r="W288">
        <v>8.5863587135415109</v>
      </c>
      <c r="X288">
        <v>3.500769083333247</v>
      </c>
      <c r="Y288">
        <v>8.5722690833332464</v>
      </c>
      <c r="Z288">
        <v>8.5644912664604043</v>
      </c>
      <c r="AA288">
        <v>3.5181101666664936</v>
      </c>
      <c r="AB288">
        <v>8.5896101666664944</v>
      </c>
      <c r="AC288">
        <f>VLOOKUP($A288,raw[],29,FALSE)*(1+interactive!$C$7)</f>
        <v>6.4223197499999954E-2</v>
      </c>
      <c r="AD288">
        <f>VLOOKUP($A288,raw[],30,FALSE)*(1+interactive!$C$7)</f>
        <v>9.6517014623602078E-3</v>
      </c>
      <c r="AE288">
        <f>VLOOKUP($A288,raw[],31,FALSE)*(1+interactive!$C$7)</f>
        <v>3.2513119313655431E-3</v>
      </c>
      <c r="AF288">
        <f>VLOOKUP($A288,raw[],32,FALSE)*(1+interactive!$C$7)</f>
        <v>1.924050127045536E-3</v>
      </c>
      <c r="AG288">
        <f>VLOOKUP($A288,raw[],33,FALSE)*(1+interactive!$C$7)</f>
        <v>2.5864408097693477E-3</v>
      </c>
      <c r="AH288">
        <f>VLOOKUP($A288,raw[],34,FALSE)*(1+interactive!$C$7)</f>
        <v>3.5010170695736953E-3</v>
      </c>
      <c r="AI288">
        <f>VLOOKUP($A288,raw[],35,FALSE)*(1+interactive!$C$7)</f>
        <v>3.8485223485297867E-3</v>
      </c>
      <c r="AJ288">
        <f>VLOOKUP($A288,raw[],36,FALSE)*(1+interactive!$C$7)</f>
        <v>4.2466843448027538E-3</v>
      </c>
      <c r="AK288">
        <f>VLOOKUP($A288,raw[],37,FALSE)*(1+interactive!$C$7)</f>
        <v>4.8386462970565636E-3</v>
      </c>
      <c r="AL288">
        <f>VLOOKUP($A288,raw[],38,FALSE)*(1+interactive!$C$7)</f>
        <v>5.9794547993026843E-3</v>
      </c>
      <c r="AM288">
        <f>VLOOKUP($A288,raw[],39,FALSE)*(1+interactive!$C$7)</f>
        <v>7.2641983431902596E-3</v>
      </c>
      <c r="AN288">
        <f>VLOOKUP($A288,raw[],40,FALSE)*(1+interactive!$C$7)</f>
        <v>1.0099702290179638E-2</v>
      </c>
      <c r="AO288">
        <f>VLOOKUP($A288,raw[],41,FALSE)*(1+interactive!$C$7)</f>
        <v>1.3507770441399284E-2</v>
      </c>
      <c r="AP288">
        <f>VLOOKUP($A288,raw[],42,FALSE)*(1+interactive!$C$7)</f>
        <v>2.03071383658684E-2</v>
      </c>
      <c r="AQ288">
        <f>VLOOKUP($A288,raw[],43,FALSE)*(1+interactive!$C$7)</f>
        <v>3.09578419760803E-2</v>
      </c>
      <c r="AR288">
        <f>VLOOKUP($A288,raw[],44,FALSE)*(1+interactive!$C$7)</f>
        <v>4.7513756849464357E-2</v>
      </c>
      <c r="AS288">
        <f>VLOOKUP($A288,raw[],45,FALSE)*(1+interactive!$C$7)</f>
        <v>7.1127576709599932E-2</v>
      </c>
      <c r="AT288">
        <f>VLOOKUP($A288,raw[],46,FALSE)*(1+interactive!$C$7)</f>
        <v>0.10244396135590166</v>
      </c>
      <c r="AU288">
        <f>VLOOKUP($A288,raw[],47,FALSE)*(1+interactive!$C$7)</f>
        <v>0.13602144411677536</v>
      </c>
      <c r="AV288">
        <f>VLOOKUP($A288,raw[],48,FALSE)*(1+interactive!$C$7)</f>
        <v>0.16527335436667051</v>
      </c>
      <c r="AW288">
        <f>VLOOKUP($A288,raw[],49,FALSE)*(1+interactive!$C$7)</f>
        <v>0.18491714023966346</v>
      </c>
      <c r="AX288">
        <f>VLOOKUP($A288,raw[],50,FALSE)*(1+interactive!$C$7)</f>
        <v>64.36815</v>
      </c>
    </row>
    <row r="289" spans="1:50" x14ac:dyDescent="0.25">
      <c r="A289" s="55" t="s">
        <v>236</v>
      </c>
      <c r="B289" s="56" t="s">
        <v>237</v>
      </c>
      <c r="C289" s="56">
        <v>64</v>
      </c>
      <c r="D289" s="56" t="s">
        <v>225</v>
      </c>
      <c r="E289" s="56" t="s">
        <v>226</v>
      </c>
      <c r="F289" s="56" t="s">
        <v>226</v>
      </c>
      <c r="G289" s="56" t="s">
        <v>212</v>
      </c>
      <c r="J289">
        <f>MIN(VLOOKUP($A289,raw[],10,FALSE)*(1+interactive!$C$7),0.999)</f>
        <v>0.77490000000000003</v>
      </c>
      <c r="K289">
        <f>MIN(VLOOKUP($A289,raw[],11,FALSE)*(1+interactive!$C$7),0.999)</f>
        <v>0.89249999999999996</v>
      </c>
      <c r="L289">
        <f>MIN(VLOOKUP($A289,raw[],12,FALSE)*(1+interactive!$C$7),0.999)</f>
        <v>0.999</v>
      </c>
      <c r="M289">
        <v>4.0199999999999993E-2</v>
      </c>
      <c r="N289">
        <f>IFERROR(VLOOKUP($A289,[2]!hbe_prev[#Data],5,FALSE),0)</f>
        <v>0.35830000000000001</v>
      </c>
      <c r="O289">
        <f>VLOOKUP($F289,[2]!hbe_risk[#All],4,FALSE)</f>
        <v>0.9</v>
      </c>
      <c r="P289">
        <f>VLOOKUP($F289,[2]!hbe_risk[#All],7,FALSE)</f>
        <v>0.3</v>
      </c>
      <c r="Q289">
        <v>13.085819220009871</v>
      </c>
      <c r="R289">
        <v>122.07161922000988</v>
      </c>
      <c r="S289">
        <v>167.04784029178174</v>
      </c>
      <c r="T289">
        <v>175.24840266163275</v>
      </c>
      <c r="U289">
        <v>171.48287775920326</v>
      </c>
      <c r="V289">
        <v>15.501400934128295</v>
      </c>
      <c r="W289">
        <v>17.401740768186972</v>
      </c>
      <c r="X289">
        <v>15.468533825725956</v>
      </c>
      <c r="Y289">
        <v>17.368873659784633</v>
      </c>
      <c r="Z289">
        <v>17.350649829073713</v>
      </c>
      <c r="AA289">
        <v>15.508985651451912</v>
      </c>
      <c r="AB289">
        <v>17.409325485510589</v>
      </c>
      <c r="AC289">
        <f>VLOOKUP($A289,raw[],29,FALSE)*(1+interactive!$C$7)</f>
        <v>2.5273636500000068E-2</v>
      </c>
      <c r="AD289">
        <f>VLOOKUP($A289,raw[],30,FALSE)*(1+interactive!$C$7)</f>
        <v>1.4880623543164773E-3</v>
      </c>
      <c r="AE289">
        <f>VLOOKUP($A289,raw[],31,FALSE)*(1+interactive!$C$7)</f>
        <v>8.1232164332327341E-4</v>
      </c>
      <c r="AF289">
        <f>VLOOKUP($A289,raw[],32,FALSE)*(1+interactive!$C$7)</f>
        <v>6.583264557569749E-4</v>
      </c>
      <c r="AG289">
        <f>VLOOKUP($A289,raw[],33,FALSE)*(1+interactive!$C$7)</f>
        <v>8.9074187939460587E-4</v>
      </c>
      <c r="AH289">
        <f>VLOOKUP($A289,raw[],34,FALSE)*(1+interactive!$C$7)</f>
        <v>1.4505843462056264E-3</v>
      </c>
      <c r="AI289">
        <f>VLOOKUP($A289,raw[],35,FALSE)*(1+interactive!$C$7)</f>
        <v>2.0993890176562802E-3</v>
      </c>
      <c r="AJ289">
        <f>VLOOKUP($A289,raw[],36,FALSE)*(1+interactive!$C$7)</f>
        <v>3.0428864845611068E-3</v>
      </c>
      <c r="AK289">
        <f>VLOOKUP($A289,raw[],37,FALSE)*(1+interactive!$C$7)</f>
        <v>4.1372774217063417E-3</v>
      </c>
      <c r="AL289">
        <f>VLOOKUP($A289,raw[],38,FALSE)*(1+interactive!$C$7)</f>
        <v>5.409922572236275E-3</v>
      </c>
      <c r="AM289">
        <f>VLOOKUP($A289,raw[],39,FALSE)*(1+interactive!$C$7)</f>
        <v>7.0236254889374725E-3</v>
      </c>
      <c r="AN289">
        <f>VLOOKUP($A289,raw[],40,FALSE)*(1+interactive!$C$7)</f>
        <v>9.2363020299652612E-3</v>
      </c>
      <c r="AO289">
        <f>VLOOKUP($A289,raw[],41,FALSE)*(1+interactive!$C$7)</f>
        <v>1.2510046807870724E-2</v>
      </c>
      <c r="AP289">
        <f>VLOOKUP($A289,raw[],42,FALSE)*(1+interactive!$C$7)</f>
        <v>1.6786747696941679E-2</v>
      </c>
      <c r="AQ289">
        <f>VLOOKUP($A289,raw[],43,FALSE)*(1+interactive!$C$7)</f>
        <v>2.3489863690990945E-2</v>
      </c>
      <c r="AR289">
        <f>VLOOKUP($A289,raw[],44,FALSE)*(1+interactive!$C$7)</f>
        <v>3.3247989295890477E-2</v>
      </c>
      <c r="AS289">
        <f>VLOOKUP($A289,raw[],45,FALSE)*(1+interactive!$C$7)</f>
        <v>4.7486109853810528E-2</v>
      </c>
      <c r="AT289">
        <f>VLOOKUP($A289,raw[],46,FALSE)*(1+interactive!$C$7)</f>
        <v>6.704478414251791E-2</v>
      </c>
      <c r="AU289">
        <f>VLOOKUP($A289,raw[],47,FALSE)*(1+interactive!$C$7)</f>
        <v>8.8344914825090437E-2</v>
      </c>
      <c r="AV289">
        <f>VLOOKUP($A289,raw[],48,FALSE)*(1+interactive!$C$7)</f>
        <v>0.11295039410957219</v>
      </c>
      <c r="AW289">
        <f>VLOOKUP($A289,raw[],49,FALSE)*(1+interactive!$C$7)</f>
        <v>0.13700278494419421</v>
      </c>
      <c r="AX289">
        <f>VLOOKUP($A289,raw[],50,FALSE)*(1+interactive!$C$7)</f>
        <v>74.847149999999999</v>
      </c>
    </row>
    <row r="290" spans="1:50" x14ac:dyDescent="0.25">
      <c r="A290" s="53" t="s">
        <v>238</v>
      </c>
      <c r="B290" s="54" t="s">
        <v>239</v>
      </c>
      <c r="C290" s="54">
        <v>68</v>
      </c>
      <c r="D290" s="54" t="s">
        <v>215</v>
      </c>
      <c r="E290" s="54" t="s">
        <v>240</v>
      </c>
      <c r="F290" s="54" t="s">
        <v>217</v>
      </c>
      <c r="G290" s="54" t="s">
        <v>212</v>
      </c>
      <c r="J290">
        <f>MIN(VLOOKUP($A290,raw[],10,FALSE)*(1+interactive!$C$7),0.999)</f>
        <v>0.92085000000000006</v>
      </c>
      <c r="K290">
        <f>MIN(VLOOKUP($A290,raw[],11,FALSE)*(1+interactive!$C$7),0.999)</f>
        <v>0</v>
      </c>
      <c r="L290">
        <f>MIN(VLOOKUP($A290,raw[],12,FALSE)*(1+interactive!$C$7),0.999)</f>
        <v>0.71400000000000008</v>
      </c>
      <c r="M290">
        <v>1.2199999999999999E-2</v>
      </c>
      <c r="N290">
        <f>IFERROR(VLOOKUP($A290,[2]!hbe_prev[#Data],5,FALSE),0)</f>
        <v>0.43020000000000003</v>
      </c>
      <c r="O290">
        <f>VLOOKUP($F290,[2]!hbe_risk[#All],4,FALSE)</f>
        <v>0.9</v>
      </c>
      <c r="P290">
        <f>VLOOKUP($F290,[2]!hbe_risk[#All],7,FALSE)</f>
        <v>0.3</v>
      </c>
      <c r="Q290">
        <v>12.801088217522659</v>
      </c>
      <c r="R290">
        <v>121.78688821752267</v>
      </c>
      <c r="S290">
        <v>165.64559175715087</v>
      </c>
      <c r="T290">
        <v>173.26452531004114</v>
      </c>
      <c r="U290">
        <v>169.76607206629305</v>
      </c>
      <c r="V290">
        <v>6.0693641280431159</v>
      </c>
      <c r="W290">
        <v>6.0903641280431158</v>
      </c>
      <c r="X290">
        <v>6.0327946223686153</v>
      </c>
      <c r="Y290">
        <v>6.0537946223686152</v>
      </c>
      <c r="Z290">
        <v>6.0319941466904803</v>
      </c>
      <c r="AA290">
        <v>6.0778032447372317</v>
      </c>
      <c r="AB290">
        <v>6.0988032447372316</v>
      </c>
      <c r="AC290">
        <f>VLOOKUP($A290,raw[],29,FALSE)*(1+interactive!$C$7)</f>
        <v>3.1194555000000037E-2</v>
      </c>
      <c r="AD290">
        <f>VLOOKUP($A290,raw[],30,FALSE)*(1+interactive!$C$7)</f>
        <v>5.1420534037781782E-3</v>
      </c>
      <c r="AE290">
        <f>VLOOKUP($A290,raw[],31,FALSE)*(1+interactive!$C$7)</f>
        <v>1.4351608676646708E-3</v>
      </c>
      <c r="AF290">
        <f>VLOOKUP($A290,raw[],32,FALSE)*(1+interactive!$C$7)</f>
        <v>8.4152442129246388E-4</v>
      </c>
      <c r="AG290">
        <f>VLOOKUP($A290,raw[],33,FALSE)*(1+interactive!$C$7)</f>
        <v>1.6698044912856235E-3</v>
      </c>
      <c r="AH290">
        <f>VLOOKUP($A290,raw[],34,FALSE)*(1+interactive!$C$7)</f>
        <v>2.3275463574947523E-3</v>
      </c>
      <c r="AI290">
        <f>VLOOKUP($A290,raw[],35,FALSE)*(1+interactive!$C$7)</f>
        <v>2.4998669256271239E-3</v>
      </c>
      <c r="AJ290">
        <f>VLOOKUP($A290,raw[],36,FALSE)*(1+interactive!$C$7)</f>
        <v>2.8368557087298674E-3</v>
      </c>
      <c r="AK290">
        <f>VLOOKUP($A290,raw[],37,FALSE)*(1+interactive!$C$7)</f>
        <v>3.5753180508881414E-3</v>
      </c>
      <c r="AL290">
        <f>VLOOKUP($A290,raw[],38,FALSE)*(1+interactive!$C$7)</f>
        <v>4.2234484927379957E-3</v>
      </c>
      <c r="AM290">
        <f>VLOOKUP($A290,raw[],39,FALSE)*(1+interactive!$C$7)</f>
        <v>5.7181041167092385E-3</v>
      </c>
      <c r="AN290">
        <f>VLOOKUP($A290,raw[],40,FALSE)*(1+interactive!$C$7)</f>
        <v>7.7343078713497122E-3</v>
      </c>
      <c r="AO290">
        <f>VLOOKUP($A290,raw[],41,FALSE)*(1+interactive!$C$7)</f>
        <v>1.0862247438071713E-2</v>
      </c>
      <c r="AP290">
        <f>VLOOKUP($A290,raw[],42,FALSE)*(1+interactive!$C$7)</f>
        <v>1.6037130171302493E-2</v>
      </c>
      <c r="AQ290">
        <f>VLOOKUP($A290,raw[],43,FALSE)*(1+interactive!$C$7)</f>
        <v>2.1230883603528618E-2</v>
      </c>
      <c r="AR290">
        <f>VLOOKUP($A290,raw[],44,FALSE)*(1+interactive!$C$7)</f>
        <v>2.7537782677896489E-2</v>
      </c>
      <c r="AS290">
        <f>VLOOKUP($A290,raw[],45,FALSE)*(1+interactive!$C$7)</f>
        <v>3.9593325762970179E-2</v>
      </c>
      <c r="AT290">
        <f>VLOOKUP($A290,raw[],46,FALSE)*(1+interactive!$C$7)</f>
        <v>5.6086631322577185E-2</v>
      </c>
      <c r="AU290">
        <f>VLOOKUP($A290,raw[],47,FALSE)*(1+interactive!$C$7)</f>
        <v>7.8811888530146035E-2</v>
      </c>
      <c r="AV290">
        <f>VLOOKUP($A290,raw[],48,FALSE)*(1+interactive!$C$7)</f>
        <v>0.10512944576538689</v>
      </c>
      <c r="AW290">
        <f>VLOOKUP($A290,raw[],49,FALSE)*(1+interactive!$C$7)</f>
        <v>0.13073230314131756</v>
      </c>
      <c r="AX290">
        <f>VLOOKUP($A290,raw[],50,FALSE)*(1+interactive!$C$7)</f>
        <v>74.636099999999999</v>
      </c>
    </row>
    <row r="291" spans="1:50" x14ac:dyDescent="0.25">
      <c r="A291" s="55" t="s">
        <v>241</v>
      </c>
      <c r="B291" s="56" t="s">
        <v>242</v>
      </c>
      <c r="C291" s="56">
        <v>70</v>
      </c>
      <c r="D291" s="56" t="s">
        <v>201</v>
      </c>
      <c r="E291" s="56" t="s">
        <v>202</v>
      </c>
      <c r="F291" s="56" t="s">
        <v>203</v>
      </c>
      <c r="G291" s="56" t="s">
        <v>204</v>
      </c>
      <c r="J291">
        <f>MIN(VLOOKUP($A291,raw[],10,FALSE)*(1+interactive!$C$7),0.999)</f>
        <v>0.999</v>
      </c>
      <c r="K291">
        <f>MIN(VLOOKUP($A291,raw[],11,FALSE)*(1+interactive!$C$7),0.999)</f>
        <v>0</v>
      </c>
      <c r="L291">
        <f>MIN(VLOOKUP($A291,raw[],12,FALSE)*(1+interactive!$C$7),0.999)</f>
        <v>0.84000000000000008</v>
      </c>
      <c r="M291">
        <v>8.8499999999999995E-2</v>
      </c>
      <c r="N291">
        <f>IFERROR(VLOOKUP($A291,[2]!hbe_prev[#Data],5,FALSE),0)</f>
        <v>0.42849999999999999</v>
      </c>
      <c r="O291">
        <f>VLOOKUP($F291,[2]!hbe_risk[#All],4,FALSE)</f>
        <v>0.9</v>
      </c>
      <c r="P291">
        <f>VLOOKUP($F291,[2]!hbe_risk[#All],7,FALSE)</f>
        <v>0.3</v>
      </c>
      <c r="Q291">
        <v>22.481474085882201</v>
      </c>
      <c r="R291">
        <v>131.4672740858822</v>
      </c>
      <c r="S291">
        <v>200.95887628225267</v>
      </c>
      <c r="T291">
        <v>221.91883768675629</v>
      </c>
      <c r="U291">
        <v>212.2944664469515</v>
      </c>
      <c r="V291">
        <v>7.5101067809685063</v>
      </c>
      <c r="W291">
        <v>11.783606780968507</v>
      </c>
      <c r="X291">
        <v>7.4744774653619341</v>
      </c>
      <c r="Y291">
        <v>11.747977465361934</v>
      </c>
      <c r="Z291">
        <v>11.728520011639144</v>
      </c>
      <c r="AA291">
        <v>7.518328930723869</v>
      </c>
      <c r="AB291">
        <v>11.79182893072387</v>
      </c>
      <c r="AC291">
        <f>VLOOKUP($A291,raw[],29,FALSE)*(1+interactive!$C$7)</f>
        <v>6.3066359999999775E-3</v>
      </c>
      <c r="AD291">
        <f>VLOOKUP($A291,raw[],30,FALSE)*(1+interactive!$C$7)</f>
        <v>2.0351801934998835E-4</v>
      </c>
      <c r="AE291">
        <f>VLOOKUP($A291,raw[],31,FALSE)*(1+interactive!$C$7)</f>
        <v>8.2756941308546631E-5</v>
      </c>
      <c r="AF291">
        <f>VLOOKUP($A291,raw[],32,FALSE)*(1+interactive!$C$7)</f>
        <v>1.494806339870646E-4</v>
      </c>
      <c r="AG291">
        <f>VLOOKUP($A291,raw[],33,FALSE)*(1+interactive!$C$7)</f>
        <v>2.4377676395605908E-4</v>
      </c>
      <c r="AH291">
        <f>VLOOKUP($A291,raw[],34,FALSE)*(1+interactive!$C$7)</f>
        <v>3.7164011729438375E-4</v>
      </c>
      <c r="AI291">
        <f>VLOOKUP($A291,raw[],35,FALSE)*(1+interactive!$C$7)</f>
        <v>4.3995535186950246E-4</v>
      </c>
      <c r="AJ291">
        <f>VLOOKUP($A291,raw[],36,FALSE)*(1+interactive!$C$7)</f>
        <v>6.6440315380372717E-4</v>
      </c>
      <c r="AK291">
        <f>VLOOKUP($A291,raw[],37,FALSE)*(1+interactive!$C$7)</f>
        <v>9.1463025180476946E-4</v>
      </c>
      <c r="AL291">
        <f>VLOOKUP($A291,raw[],38,FALSE)*(1+interactive!$C$7)</f>
        <v>1.4985748180633648E-3</v>
      </c>
      <c r="AM291">
        <f>VLOOKUP($A291,raw[],39,FALSE)*(1+interactive!$C$7)</f>
        <v>2.7123135944377803E-3</v>
      </c>
      <c r="AN291">
        <f>VLOOKUP($A291,raw[],40,FALSE)*(1+interactive!$C$7)</f>
        <v>4.787711727519902E-3</v>
      </c>
      <c r="AO291">
        <f>VLOOKUP($A291,raw[],41,FALSE)*(1+interactive!$C$7)</f>
        <v>7.6445914553077855E-3</v>
      </c>
      <c r="AP291">
        <f>VLOOKUP($A291,raw[],42,FALSE)*(1+interactive!$C$7)</f>
        <v>1.2393722316994753E-2</v>
      </c>
      <c r="AQ291">
        <f>VLOOKUP($A291,raw[],43,FALSE)*(1+interactive!$C$7)</f>
        <v>1.9622276603720144E-2</v>
      </c>
      <c r="AR291">
        <f>VLOOKUP($A291,raw[],44,FALSE)*(1+interactive!$C$7)</f>
        <v>3.2267249651167319E-2</v>
      </c>
      <c r="AS291">
        <f>VLOOKUP($A291,raw[],45,FALSE)*(1+interactive!$C$7)</f>
        <v>5.2923830130217744E-2</v>
      </c>
      <c r="AT291">
        <f>VLOOKUP($A291,raw[],46,FALSE)*(1+interactive!$C$7)</f>
        <v>7.9646693829801274E-2</v>
      </c>
      <c r="AU291">
        <f>VLOOKUP($A291,raw[],47,FALSE)*(1+interactive!$C$7)</f>
        <v>0.1134418847692828</v>
      </c>
      <c r="AV291">
        <f>VLOOKUP($A291,raw[],48,FALSE)*(1+interactive!$C$7)</f>
        <v>0.14826164368020397</v>
      </c>
      <c r="AW291">
        <f>VLOOKUP($A291,raw[],49,FALSE)*(1+interactive!$C$7)</f>
        <v>0.17661388082859331</v>
      </c>
      <c r="AX291">
        <f>VLOOKUP($A291,raw[],50,FALSE)*(1+interactive!$C$7)</f>
        <v>81.034800000000004</v>
      </c>
    </row>
    <row r="292" spans="1:50" x14ac:dyDescent="0.25">
      <c r="A292" s="53" t="s">
        <v>243</v>
      </c>
      <c r="B292" s="54" t="s">
        <v>244</v>
      </c>
      <c r="C292" s="54">
        <v>72</v>
      </c>
      <c r="D292" s="54" t="s">
        <v>207</v>
      </c>
      <c r="E292" s="54" t="s">
        <v>245</v>
      </c>
      <c r="F292" s="54" t="s">
        <v>211</v>
      </c>
      <c r="G292" s="54" t="s">
        <v>204</v>
      </c>
      <c r="J292">
        <f>MIN(VLOOKUP($A292,raw[],10,FALSE)*(1+interactive!$C$7),0.999)</f>
        <v>0.999</v>
      </c>
      <c r="K292">
        <f>MIN(VLOOKUP($A292,raw[],11,FALSE)*(1+interactive!$C$7),0.999)</f>
        <v>0</v>
      </c>
      <c r="L292">
        <f>MIN(VLOOKUP($A292,raw[],12,FALSE)*(1+interactive!$C$7),0.999)</f>
        <v>0.99749999999999994</v>
      </c>
      <c r="M292">
        <v>1.6299999999999999E-2</v>
      </c>
      <c r="N292">
        <f>IFERROR(VLOOKUP($A292,[2]!hbe_prev[#Data],5,FALSE),0)</f>
        <v>0.3679</v>
      </c>
      <c r="O292">
        <f>VLOOKUP($F292,[2]!hbe_risk[#All],4,FALSE)</f>
        <v>0.74399999999999999</v>
      </c>
      <c r="P292">
        <f>VLOOKUP($F292,[2]!hbe_risk[#All],7,FALSE)</f>
        <v>0.13300000000000001</v>
      </c>
      <c r="Q292">
        <v>35.394808695652202</v>
      </c>
      <c r="R292">
        <v>144.3806086956522</v>
      </c>
      <c r="S292">
        <v>258.37795671969855</v>
      </c>
      <c r="T292">
        <v>302.50160330062181</v>
      </c>
      <c r="U292">
        <v>282.24095744573481</v>
      </c>
      <c r="V292">
        <v>14.354227839478382</v>
      </c>
      <c r="W292">
        <v>19.425727839478384</v>
      </c>
      <c r="X292">
        <v>14.318178463160486</v>
      </c>
      <c r="Y292">
        <v>19.389678463160486</v>
      </c>
      <c r="Z292">
        <v>19.371008672565026</v>
      </c>
      <c r="AA292">
        <v>14.362546926320974</v>
      </c>
      <c r="AB292">
        <v>19.434046926320974</v>
      </c>
      <c r="AC292">
        <f>VLOOKUP($A292,raw[],29,FALSE)*(1+interactive!$C$7)</f>
        <v>3.1668776999999933E-2</v>
      </c>
      <c r="AD292">
        <f>VLOOKUP($A292,raw[],30,FALSE)*(1+interactive!$C$7)</f>
        <v>2.1163875650899279E-3</v>
      </c>
      <c r="AE292">
        <f>VLOOKUP($A292,raw[],31,FALSE)*(1+interactive!$C$7)</f>
        <v>5.480864223197145E-4</v>
      </c>
      <c r="AF292">
        <f>VLOOKUP($A292,raw[],32,FALSE)*(1+interactive!$C$7)</f>
        <v>4.6032565878809301E-4</v>
      </c>
      <c r="AG292">
        <f>VLOOKUP($A292,raw[],33,FALSE)*(1+interactive!$C$7)</f>
        <v>8.2431399630368194E-4</v>
      </c>
      <c r="AH292">
        <f>VLOOKUP($A292,raw[],34,FALSE)*(1+interactive!$C$7)</f>
        <v>1.4521115504894998E-3</v>
      </c>
      <c r="AI292">
        <f>VLOOKUP($A292,raw[],35,FALSE)*(1+interactive!$C$7)</f>
        <v>2.3123795824377328E-3</v>
      </c>
      <c r="AJ292">
        <f>VLOOKUP($A292,raw[],36,FALSE)*(1+interactive!$C$7)</f>
        <v>3.2950728134911846E-3</v>
      </c>
      <c r="AK292">
        <f>VLOOKUP($A292,raw[],37,FALSE)*(1+interactive!$C$7)</f>
        <v>4.7428497106126585E-3</v>
      </c>
      <c r="AL292">
        <f>VLOOKUP($A292,raw[],38,FALSE)*(1+interactive!$C$7)</f>
        <v>5.9081482453454664E-3</v>
      </c>
      <c r="AM292">
        <f>VLOOKUP($A292,raw[],39,FALSE)*(1+interactive!$C$7)</f>
        <v>7.3598955269727692E-3</v>
      </c>
      <c r="AN292">
        <f>VLOOKUP($A292,raw[],40,FALSE)*(1+interactive!$C$7)</f>
        <v>9.410767981867546E-3</v>
      </c>
      <c r="AO292">
        <f>VLOOKUP($A292,raw[],41,FALSE)*(1+interactive!$C$7)</f>
        <v>1.175714992626482E-2</v>
      </c>
      <c r="AP292">
        <f>VLOOKUP($A292,raw[],42,FALSE)*(1+interactive!$C$7)</f>
        <v>1.6431516288776406E-2</v>
      </c>
      <c r="AQ292">
        <f>VLOOKUP($A292,raw[],43,FALSE)*(1+interactive!$C$7)</f>
        <v>2.4670423154195223E-2</v>
      </c>
      <c r="AR292">
        <f>VLOOKUP($A292,raw[],44,FALSE)*(1+interactive!$C$7)</f>
        <v>3.7785146279498964E-2</v>
      </c>
      <c r="AS292">
        <f>VLOOKUP($A292,raw[],45,FALSE)*(1+interactive!$C$7)</f>
        <v>5.7724378869112074E-2</v>
      </c>
      <c r="AT292">
        <f>VLOOKUP($A292,raw[],46,FALSE)*(1+interactive!$C$7)</f>
        <v>8.9846936039031933E-2</v>
      </c>
      <c r="AU292">
        <f>VLOOKUP($A292,raw[],47,FALSE)*(1+interactive!$C$7)</f>
        <v>0.13209441830921578</v>
      </c>
      <c r="AV292">
        <f>VLOOKUP($A292,raw[],48,FALSE)*(1+interactive!$C$7)</f>
        <v>0.17220229623260264</v>
      </c>
      <c r="AW292">
        <f>VLOOKUP($A292,raw[],49,FALSE)*(1+interactive!$C$7)</f>
        <v>0.1915413169661577</v>
      </c>
      <c r="AX292">
        <f>VLOOKUP($A292,raw[],50,FALSE)*(1+interactive!$C$7)</f>
        <v>72.549750000000003</v>
      </c>
    </row>
    <row r="293" spans="1:50" x14ac:dyDescent="0.25">
      <c r="A293" s="55" t="s">
        <v>246</v>
      </c>
      <c r="B293" s="56" t="s">
        <v>247</v>
      </c>
      <c r="C293" s="56">
        <v>76</v>
      </c>
      <c r="D293" s="56" t="s">
        <v>215</v>
      </c>
      <c r="E293" s="56" t="s">
        <v>248</v>
      </c>
      <c r="F293" s="56" t="s">
        <v>217</v>
      </c>
      <c r="G293" s="56" t="s">
        <v>204</v>
      </c>
      <c r="J293">
        <f>MIN(VLOOKUP($A293,raw[],10,FALSE)*(1+interactive!$C$7),0.999)</f>
        <v>0.999</v>
      </c>
      <c r="K293">
        <f>MIN(VLOOKUP($A293,raw[],11,FALSE)*(1+interactive!$C$7),0.999)</f>
        <v>0.66150000000000009</v>
      </c>
      <c r="L293">
        <f>MIN(VLOOKUP($A293,raw[],12,FALSE)*(1+interactive!$C$7),0.999)</f>
        <v>0.80850000000000011</v>
      </c>
      <c r="M293">
        <v>6.5000000000000006E-3</v>
      </c>
      <c r="N293">
        <f>IFERROR(VLOOKUP($A293,[2]!hbe_prev[#Data],5,FALSE),0)</f>
        <v>0.433</v>
      </c>
      <c r="O293">
        <f>VLOOKUP($F293,[2]!hbe_risk[#All],4,FALSE)</f>
        <v>0.9</v>
      </c>
      <c r="P293">
        <f>VLOOKUP($F293,[2]!hbe_risk[#All],7,FALSE)</f>
        <v>0.3</v>
      </c>
      <c r="Q293">
        <v>12.35942575869726</v>
      </c>
      <c r="R293">
        <v>121.34522575869727</v>
      </c>
      <c r="S293">
        <v>168.79327280226792</v>
      </c>
      <c r="T293">
        <v>178.28033419728618</v>
      </c>
      <c r="U293">
        <v>173.924076135625</v>
      </c>
      <c r="V293">
        <v>5.6316265346046137</v>
      </c>
      <c r="W293">
        <v>5.6526265346046136</v>
      </c>
      <c r="X293">
        <v>5.5926271915059935</v>
      </c>
      <c r="Y293">
        <v>5.6136271915059934</v>
      </c>
      <c r="Z293">
        <v>5.5928992898301306</v>
      </c>
      <c r="AA293">
        <v>5.6406263830119876</v>
      </c>
      <c r="AB293">
        <v>5.6616263830119875</v>
      </c>
      <c r="AC293">
        <f>VLOOKUP($A293,raw[],29,FALSE)*(1+interactive!$C$7)</f>
        <v>1.3667944500000029E-2</v>
      </c>
      <c r="AD293">
        <f>VLOOKUP($A293,raw[],30,FALSE)*(1+interactive!$C$7)</f>
        <v>5.9374698291380528E-4</v>
      </c>
      <c r="AE293">
        <f>VLOOKUP($A293,raw[],31,FALSE)*(1+interactive!$C$7)</f>
        <v>2.3735800032021091E-4</v>
      </c>
      <c r="AF293">
        <f>VLOOKUP($A293,raw[],32,FALSE)*(1+interactive!$C$7)</f>
        <v>3.2610888268157998E-4</v>
      </c>
      <c r="AG293">
        <f>VLOOKUP($A293,raw[],33,FALSE)*(1+interactive!$C$7)</f>
        <v>1.1375936296662927E-3</v>
      </c>
      <c r="AH293">
        <f>VLOOKUP($A293,raw[],34,FALSE)*(1+interactive!$C$7)</f>
        <v>1.7288053386884028E-3</v>
      </c>
      <c r="AI293">
        <f>VLOOKUP($A293,raw[],35,FALSE)*(1+interactive!$C$7)</f>
        <v>1.6526198133591807E-3</v>
      </c>
      <c r="AJ293">
        <f>VLOOKUP($A293,raw[],36,FALSE)*(1+interactive!$C$7)</f>
        <v>1.9060456586737252E-3</v>
      </c>
      <c r="AK293">
        <f>VLOOKUP($A293,raw[],37,FALSE)*(1+interactive!$C$7)</f>
        <v>2.4075288820521639E-3</v>
      </c>
      <c r="AL293">
        <f>VLOOKUP($A293,raw[],38,FALSE)*(1+interactive!$C$7)</f>
        <v>3.096660019454633E-3</v>
      </c>
      <c r="AM293">
        <f>VLOOKUP($A293,raw[],39,FALSE)*(1+interactive!$C$7)</f>
        <v>4.4668250245502193E-3</v>
      </c>
      <c r="AN293">
        <f>VLOOKUP($A293,raw[],40,FALSE)*(1+interactive!$C$7)</f>
        <v>6.3682316014096749E-3</v>
      </c>
      <c r="AO293">
        <f>VLOOKUP($A293,raw[],41,FALSE)*(1+interactive!$C$7)</f>
        <v>9.0009903017898626E-3</v>
      </c>
      <c r="AP293">
        <f>VLOOKUP($A293,raw[],42,FALSE)*(1+interactive!$C$7)</f>
        <v>1.339743036590146E-2</v>
      </c>
      <c r="AQ293">
        <f>VLOOKUP($A293,raw[],43,FALSE)*(1+interactive!$C$7)</f>
        <v>1.9841491315275833E-2</v>
      </c>
      <c r="AR293">
        <f>VLOOKUP($A293,raw[],44,FALSE)*(1+interactive!$C$7)</f>
        <v>2.8204717282977843E-2</v>
      </c>
      <c r="AS293">
        <f>VLOOKUP($A293,raw[],45,FALSE)*(1+interactive!$C$7)</f>
        <v>4.2198648789536101E-2</v>
      </c>
      <c r="AT293">
        <f>VLOOKUP($A293,raw[],46,FALSE)*(1+interactive!$C$7)</f>
        <v>6.1188720581459098E-2</v>
      </c>
      <c r="AU293">
        <f>VLOOKUP($A293,raw[],47,FALSE)*(1+interactive!$C$7)</f>
        <v>8.4980171569558463E-2</v>
      </c>
      <c r="AV293">
        <f>VLOOKUP($A293,raw[],48,FALSE)*(1+interactive!$C$7)</f>
        <v>0.11160538230564715</v>
      </c>
      <c r="AW293">
        <f>VLOOKUP($A293,raw[],49,FALSE)*(1+interactive!$C$7)</f>
        <v>0.14449637120275161</v>
      </c>
      <c r="AX293">
        <f>VLOOKUP($A293,raw[],50,FALSE)*(1+interactive!$C$7)</f>
        <v>79.339050000000015</v>
      </c>
    </row>
    <row r="294" spans="1:50" x14ac:dyDescent="0.25">
      <c r="A294" s="53" t="s">
        <v>249</v>
      </c>
      <c r="B294" s="54" t="s">
        <v>250</v>
      </c>
      <c r="C294" s="54">
        <v>100</v>
      </c>
      <c r="D294" s="54" t="s">
        <v>201</v>
      </c>
      <c r="E294" s="54" t="s">
        <v>202</v>
      </c>
      <c r="F294" s="54" t="s">
        <v>203</v>
      </c>
      <c r="G294" s="54" t="s">
        <v>204</v>
      </c>
      <c r="J294">
        <f>MIN(VLOOKUP($A294,raw[],10,FALSE)*(1+interactive!$C$7),0.999)</f>
        <v>0.999</v>
      </c>
      <c r="K294">
        <f>MIN(VLOOKUP($A294,raw[],11,FALSE)*(1+interactive!$C$7),0.999)</f>
        <v>0.999</v>
      </c>
      <c r="L294">
        <f>MIN(VLOOKUP($A294,raw[],12,FALSE)*(1+interactive!$C$7),0.999)</f>
        <v>0.95550000000000013</v>
      </c>
      <c r="M294">
        <v>2.5099999999999997E-2</v>
      </c>
      <c r="N294">
        <f>IFERROR(VLOOKUP($A294,[2]!hbe_prev[#Data],5,FALSE),0)</f>
        <v>0.42849999999999999</v>
      </c>
      <c r="O294">
        <f>VLOOKUP($F294,[2]!hbe_risk[#All],4,FALSE)</f>
        <v>0.9</v>
      </c>
      <c r="P294">
        <f>VLOOKUP($F294,[2]!hbe_risk[#All],7,FALSE)</f>
        <v>0.3</v>
      </c>
      <c r="Q294">
        <v>30.155888326113502</v>
      </c>
      <c r="R294">
        <v>139.14168832611352</v>
      </c>
      <c r="S294">
        <v>236.63241737140149</v>
      </c>
      <c r="T294">
        <v>272.16494569915517</v>
      </c>
      <c r="U294">
        <v>255.8491597530178</v>
      </c>
      <c r="V294">
        <v>11.020030571483529</v>
      </c>
      <c r="W294">
        <v>15.293530571483529</v>
      </c>
      <c r="X294">
        <v>10.958664039439189</v>
      </c>
      <c r="Y294">
        <v>15.232164039439189</v>
      </c>
      <c r="Z294">
        <v>15.197077248134526</v>
      </c>
      <c r="AA294">
        <v>11.034192078878378</v>
      </c>
      <c r="AB294">
        <v>15.307692078878379</v>
      </c>
      <c r="AC294">
        <f>VLOOKUP($A294,raw[],29,FALSE)*(1+interactive!$C$7)</f>
        <v>6.6015809999999406E-3</v>
      </c>
      <c r="AD294">
        <f>VLOOKUP($A294,raw[],30,FALSE)*(1+interactive!$C$7)</f>
        <v>3.0890439992129734E-4</v>
      </c>
      <c r="AE294">
        <f>VLOOKUP($A294,raw[],31,FALSE)*(1+interactive!$C$7)</f>
        <v>1.4909453833453161E-4</v>
      </c>
      <c r="AF294">
        <f>VLOOKUP($A294,raw[],32,FALSE)*(1+interactive!$C$7)</f>
        <v>1.7678650416068286E-4</v>
      </c>
      <c r="AG294">
        <f>VLOOKUP($A294,raw[],33,FALSE)*(1+interactive!$C$7)</f>
        <v>4.6328028526632721E-4</v>
      </c>
      <c r="AH294">
        <f>VLOOKUP($A294,raw[],34,FALSE)*(1+interactive!$C$7)</f>
        <v>6.1148462683962581E-4</v>
      </c>
      <c r="AI294">
        <f>VLOOKUP($A294,raw[],35,FALSE)*(1+interactive!$C$7)</f>
        <v>7.141618801007406E-4</v>
      </c>
      <c r="AJ294">
        <f>VLOOKUP($A294,raw[],36,FALSE)*(1+interactive!$C$7)</f>
        <v>1.025952780403982E-3</v>
      </c>
      <c r="AK294">
        <f>VLOOKUP($A294,raw[],37,FALSE)*(1+interactive!$C$7)</f>
        <v>1.5244285790594943E-3</v>
      </c>
      <c r="AL294">
        <f>VLOOKUP($A294,raw[],38,FALSE)*(1+interactive!$C$7)</f>
        <v>2.5543586426087336E-3</v>
      </c>
      <c r="AM294">
        <f>VLOOKUP($A294,raw[],39,FALSE)*(1+interactive!$C$7)</f>
        <v>4.5246301911702445E-3</v>
      </c>
      <c r="AN294">
        <f>VLOOKUP($A294,raw[],40,FALSE)*(1+interactive!$C$7)</f>
        <v>7.4336893265971819E-3</v>
      </c>
      <c r="AO294">
        <f>VLOOKUP($A294,raw[],41,FALSE)*(1+interactive!$C$7)</f>
        <v>1.1436435838606573E-2</v>
      </c>
      <c r="AP294">
        <f>VLOOKUP($A294,raw[],42,FALSE)*(1+interactive!$C$7)</f>
        <v>1.6482419677363823E-2</v>
      </c>
      <c r="AQ294">
        <f>VLOOKUP($A294,raw[],43,FALSE)*(1+interactive!$C$7)</f>
        <v>2.3087437528109832E-2</v>
      </c>
      <c r="AR294">
        <f>VLOOKUP($A294,raw[],44,FALSE)*(1+interactive!$C$7)</f>
        <v>3.2881625079762555E-2</v>
      </c>
      <c r="AS294">
        <f>VLOOKUP($A294,raw[],45,FALSE)*(1+interactive!$C$7)</f>
        <v>5.0336450319936728E-2</v>
      </c>
      <c r="AT294">
        <f>VLOOKUP($A294,raw[],46,FALSE)*(1+interactive!$C$7)</f>
        <v>8.1075094769396755E-2</v>
      </c>
      <c r="AU294">
        <f>VLOOKUP($A294,raw[],47,FALSE)*(1+interactive!$C$7)</f>
        <v>0.13549981672967126</v>
      </c>
      <c r="AV294">
        <f>VLOOKUP($A294,raw[],48,FALSE)*(1+interactive!$C$7)</f>
        <v>0.15826201991669178</v>
      </c>
      <c r="AW294">
        <f>VLOOKUP($A294,raw[],49,FALSE)*(1+interactive!$C$7)</f>
        <v>0.18627385141848052</v>
      </c>
      <c r="AX294">
        <f>VLOOKUP($A294,raw[],50,FALSE)*(1+interactive!$C$7)</f>
        <v>78.589349999999996</v>
      </c>
    </row>
    <row r="295" spans="1:50" x14ac:dyDescent="0.25">
      <c r="A295" s="55" t="s">
        <v>251</v>
      </c>
      <c r="B295" s="56" t="s">
        <v>252</v>
      </c>
      <c r="C295" s="56">
        <v>854</v>
      </c>
      <c r="D295" s="56" t="s">
        <v>207</v>
      </c>
      <c r="E295" s="56" t="s">
        <v>235</v>
      </c>
      <c r="F295" s="56" t="s">
        <v>211</v>
      </c>
      <c r="G295" s="56" t="s">
        <v>198</v>
      </c>
      <c r="J295">
        <f>MIN(VLOOKUP($A295,raw[],10,FALSE)*(1+interactive!$C$7),0.999)</f>
        <v>0.86310000000000009</v>
      </c>
      <c r="K295">
        <f>MIN(VLOOKUP($A295,raw[],11,FALSE)*(1+interactive!$C$7),0.999)</f>
        <v>0</v>
      </c>
      <c r="L295">
        <f>MIN(VLOOKUP($A295,raw[],12,FALSE)*(1+interactive!$C$7),0.999)</f>
        <v>0.95550000000000013</v>
      </c>
      <c r="M295">
        <v>7.2800000000000004E-2</v>
      </c>
      <c r="N295">
        <f>IFERROR(VLOOKUP($A295,[2]!hbe_prev[#Data],5,FALSE),0)</f>
        <v>0.41070000000000001</v>
      </c>
      <c r="O295">
        <f>VLOOKUP($F295,[2]!hbe_risk[#All],4,FALSE)</f>
        <v>0.74399999999999999</v>
      </c>
      <c r="P295">
        <f>VLOOKUP($F295,[2]!hbe_risk[#All],7,FALSE)</f>
        <v>0.13300000000000001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4.6071701179991926</v>
      </c>
      <c r="W295">
        <v>9.678670117999193</v>
      </c>
      <c r="X295">
        <v>4.5931363409650725</v>
      </c>
      <c r="Y295">
        <v>9.6646363409650728</v>
      </c>
      <c r="Z295">
        <v>9.6571613799373637</v>
      </c>
      <c r="AA295">
        <v>4.610408681930144</v>
      </c>
      <c r="AB295">
        <v>9.6819086819301443</v>
      </c>
      <c r="AC295">
        <f>VLOOKUP($A295,raw[],29,FALSE)*(1+interactive!$C$7)</f>
        <v>5.6939252999999926E-2</v>
      </c>
      <c r="AD295">
        <f>VLOOKUP($A295,raw[],30,FALSE)*(1+interactive!$C$7)</f>
        <v>8.1884704808496515E-3</v>
      </c>
      <c r="AE295">
        <f>VLOOKUP($A295,raw[],31,FALSE)*(1+interactive!$C$7)</f>
        <v>2.8453435689820335E-3</v>
      </c>
      <c r="AF295">
        <f>VLOOKUP($A295,raw[],32,FALSE)*(1+interactive!$C$7)</f>
        <v>1.6915266887062986E-3</v>
      </c>
      <c r="AG295">
        <f>VLOOKUP($A295,raw[],33,FALSE)*(1+interactive!$C$7)</f>
        <v>2.5793801995270004E-3</v>
      </c>
      <c r="AH295">
        <f>VLOOKUP($A295,raw[],34,FALSE)*(1+interactive!$C$7)</f>
        <v>3.6126746098943101E-3</v>
      </c>
      <c r="AI295">
        <f>VLOOKUP($A295,raw[],35,FALSE)*(1+interactive!$C$7)</f>
        <v>3.8681852629669023E-3</v>
      </c>
      <c r="AJ295">
        <f>VLOOKUP($A295,raw[],36,FALSE)*(1+interactive!$C$7)</f>
        <v>4.2721517909394607E-3</v>
      </c>
      <c r="AK295">
        <f>VLOOKUP($A295,raw[],37,FALSE)*(1+interactive!$C$7)</f>
        <v>4.9000666864527755E-3</v>
      </c>
      <c r="AL295">
        <f>VLOOKUP($A295,raw[],38,FALSE)*(1+interactive!$C$7)</f>
        <v>6.0227316199991127E-3</v>
      </c>
      <c r="AM295">
        <f>VLOOKUP($A295,raw[],39,FALSE)*(1+interactive!$C$7)</f>
        <v>7.5441349363544637E-3</v>
      </c>
      <c r="AN295">
        <f>VLOOKUP($A295,raw[],40,FALSE)*(1+interactive!$C$7)</f>
        <v>1.0583168965783008E-2</v>
      </c>
      <c r="AO295">
        <f>VLOOKUP($A295,raw[],41,FALSE)*(1+interactive!$C$7)</f>
        <v>1.5040784098539475E-2</v>
      </c>
      <c r="AP295">
        <f>VLOOKUP($A295,raw[],42,FALSE)*(1+interactive!$C$7)</f>
        <v>2.3380353706234848E-2</v>
      </c>
      <c r="AQ295">
        <f>VLOOKUP($A295,raw[],43,FALSE)*(1+interactive!$C$7)</f>
        <v>3.6048199398505162E-2</v>
      </c>
      <c r="AR295">
        <f>VLOOKUP($A295,raw[],44,FALSE)*(1+interactive!$C$7)</f>
        <v>5.7783262159245542E-2</v>
      </c>
      <c r="AS295">
        <f>VLOOKUP($A295,raw[],45,FALSE)*(1+interactive!$C$7)</f>
        <v>8.8827200479981161E-2</v>
      </c>
      <c r="AT295">
        <f>VLOOKUP($A295,raw[],46,FALSE)*(1+interactive!$C$7)</f>
        <v>0.12698276841269401</v>
      </c>
      <c r="AU295">
        <f>VLOOKUP($A295,raw[],47,FALSE)*(1+interactive!$C$7)</f>
        <v>0.16166715121147709</v>
      </c>
      <c r="AV295">
        <f>VLOOKUP($A295,raw[],48,FALSE)*(1+interactive!$C$7)</f>
        <v>0.18572019963992989</v>
      </c>
      <c r="AW295">
        <f>VLOOKUP($A295,raw[],49,FALSE)*(1+interactive!$C$7)</f>
        <v>0.20371890608448159</v>
      </c>
      <c r="AX295">
        <f>VLOOKUP($A295,raw[],50,FALSE)*(1+interactive!$C$7)</f>
        <v>63.962850000000003</v>
      </c>
    </row>
    <row r="296" spans="1:50" x14ac:dyDescent="0.25">
      <c r="A296" s="53" t="s">
        <v>253</v>
      </c>
      <c r="B296" s="54" t="s">
        <v>254</v>
      </c>
      <c r="C296" s="54">
        <v>108</v>
      </c>
      <c r="D296" s="54" t="s">
        <v>207</v>
      </c>
      <c r="E296" s="54" t="s">
        <v>255</v>
      </c>
      <c r="F296" s="54" t="s">
        <v>211</v>
      </c>
      <c r="G296" s="54" t="s">
        <v>198</v>
      </c>
      <c r="J296">
        <f>MIN(VLOOKUP($A296,raw[],10,FALSE)*(1+interactive!$C$7),0.999)</f>
        <v>0.88095000000000012</v>
      </c>
      <c r="K296">
        <f>MIN(VLOOKUP($A296,raw[],11,FALSE)*(1+interactive!$C$7),0.999)</f>
        <v>0</v>
      </c>
      <c r="L296">
        <f>MIN(VLOOKUP($A296,raw[],12,FALSE)*(1+interactive!$C$7),0.999)</f>
        <v>0.97650000000000015</v>
      </c>
      <c r="M296">
        <v>8.3000000000000004E-2</v>
      </c>
      <c r="N296">
        <f>IFERROR(VLOOKUP($A296,[2]!hbe_prev[#Data],5,FALSE),0)</f>
        <v>0.39960000000000001</v>
      </c>
      <c r="O296">
        <f>VLOOKUP($F296,[2]!hbe_risk[#All],4,FALSE)</f>
        <v>0.74399999999999999</v>
      </c>
      <c r="P296">
        <f>VLOOKUP($F296,[2]!hbe_risk[#All],7,FALSE)</f>
        <v>0.13300000000000001</v>
      </c>
      <c r="Q296">
        <v>5.2072684931506901</v>
      </c>
      <c r="R296">
        <v>114.1930684931507</v>
      </c>
      <c r="S296">
        <v>144.11130844067571</v>
      </c>
      <c r="T296">
        <v>144.47471792907513</v>
      </c>
      <c r="U296">
        <v>144.30784797350012</v>
      </c>
      <c r="V296">
        <v>4.5124748615706229</v>
      </c>
      <c r="W296">
        <v>9.5839748615706242</v>
      </c>
      <c r="X296">
        <v>4.5085511650044818</v>
      </c>
      <c r="Y296">
        <v>9.5800511650044822</v>
      </c>
      <c r="Z296">
        <v>9.5779512150792243</v>
      </c>
      <c r="AA296">
        <v>4.513380330008963</v>
      </c>
      <c r="AB296">
        <v>9.5848803300089642</v>
      </c>
      <c r="AC296">
        <f>VLOOKUP($A296,raw[],29,FALSE)*(1+interactive!$C$7)</f>
        <v>4.4575881000000005E-2</v>
      </c>
      <c r="AD296">
        <f>VLOOKUP($A296,raw[],30,FALSE)*(1+interactive!$C$7)</f>
        <v>5.5007881703701229E-3</v>
      </c>
      <c r="AE296">
        <f>VLOOKUP($A296,raw[],31,FALSE)*(1+interactive!$C$7)</f>
        <v>4.2067984480368536E-3</v>
      </c>
      <c r="AF296">
        <f>VLOOKUP($A296,raw[],32,FALSE)*(1+interactive!$C$7)</f>
        <v>2.624151240493281E-3</v>
      </c>
      <c r="AG296">
        <f>VLOOKUP($A296,raw[],33,FALSE)*(1+interactive!$C$7)</f>
        <v>3.0909863197611156E-3</v>
      </c>
      <c r="AH296">
        <f>VLOOKUP($A296,raw[],34,FALSE)*(1+interactive!$C$7)</f>
        <v>4.0374508247938276E-3</v>
      </c>
      <c r="AI296">
        <f>VLOOKUP($A296,raw[],35,FALSE)*(1+interactive!$C$7)</f>
        <v>4.8338494211648221E-3</v>
      </c>
      <c r="AJ296">
        <f>VLOOKUP($A296,raw[],36,FALSE)*(1+interactive!$C$7)</f>
        <v>5.9518343912190273E-3</v>
      </c>
      <c r="AK296">
        <f>VLOOKUP($A296,raw[],37,FALSE)*(1+interactive!$C$7)</f>
        <v>7.4606746887052652E-3</v>
      </c>
      <c r="AL296">
        <f>VLOOKUP($A296,raw[],38,FALSE)*(1+interactive!$C$7)</f>
        <v>8.2889062229026169E-3</v>
      </c>
      <c r="AM296">
        <f>VLOOKUP($A296,raw[],39,FALSE)*(1+interactive!$C$7)</f>
        <v>9.0231478292294408E-3</v>
      </c>
      <c r="AN296">
        <f>VLOOKUP($A296,raw[],40,FALSE)*(1+interactive!$C$7)</f>
        <v>1.137878643828392E-2</v>
      </c>
      <c r="AO296">
        <f>VLOOKUP($A296,raw[],41,FALSE)*(1+interactive!$C$7)</f>
        <v>1.4909727684066216E-2</v>
      </c>
      <c r="AP296">
        <f>VLOOKUP($A296,raw[],42,FALSE)*(1+interactive!$C$7)</f>
        <v>2.2044449488563413E-2</v>
      </c>
      <c r="AQ296">
        <f>VLOOKUP($A296,raw[],43,FALSE)*(1+interactive!$C$7)</f>
        <v>3.3279066524748067E-2</v>
      </c>
      <c r="AR296">
        <f>VLOOKUP($A296,raw[],44,FALSE)*(1+interactive!$C$7)</f>
        <v>5.0585482202940325E-2</v>
      </c>
      <c r="AS296">
        <f>VLOOKUP($A296,raw[],45,FALSE)*(1+interactive!$C$7)</f>
        <v>7.4622159576649791E-2</v>
      </c>
      <c r="AT296">
        <f>VLOOKUP($A296,raw[],46,FALSE)*(1+interactive!$C$7)</f>
        <v>0.10609497000997932</v>
      </c>
      <c r="AU296">
        <f>VLOOKUP($A296,raw[],47,FALSE)*(1+interactive!$C$7)</f>
        <v>0.13935542720612334</v>
      </c>
      <c r="AV296">
        <f>VLOOKUP($A296,raw[],48,FALSE)*(1+interactive!$C$7)</f>
        <v>0.16704248123513374</v>
      </c>
      <c r="AW296">
        <f>VLOOKUP($A296,raw[],49,FALSE)*(1+interactive!$C$7)</f>
        <v>0.18593369742334348</v>
      </c>
      <c r="AX296">
        <f>VLOOKUP($A296,raw[],50,FALSE)*(1+interactive!$C$7)</f>
        <v>64.076250000000002</v>
      </c>
    </row>
    <row r="297" spans="1:50" x14ac:dyDescent="0.25">
      <c r="A297" s="55" t="s">
        <v>256</v>
      </c>
      <c r="B297" s="56" t="s">
        <v>257</v>
      </c>
      <c r="C297" s="56">
        <v>132</v>
      </c>
      <c r="D297" s="56" t="s">
        <v>207</v>
      </c>
      <c r="E297" s="56" t="s">
        <v>235</v>
      </c>
      <c r="F297" s="56" t="s">
        <v>211</v>
      </c>
      <c r="G297" s="56" t="s">
        <v>212</v>
      </c>
      <c r="J297">
        <f>MIN(VLOOKUP($A297,raw[],10,FALSE)*(1+interactive!$C$7),0.999)</f>
        <v>0.79379999999999995</v>
      </c>
      <c r="K297">
        <f>MIN(VLOOKUP($A297,raw[],11,FALSE)*(1+interactive!$C$7),0.999)</f>
        <v>0.999</v>
      </c>
      <c r="L297">
        <f>MIN(VLOOKUP($A297,raw[],12,FALSE)*(1+interactive!$C$7),0.999)</f>
        <v>0.98699999999999999</v>
      </c>
      <c r="M297">
        <v>9.1700000000000004E-2</v>
      </c>
      <c r="N297">
        <f>IFERROR(VLOOKUP($A297,[2]!hbe_prev[#Data],5,FALSE),0)</f>
        <v>0.41070000000000001</v>
      </c>
      <c r="O297">
        <f>VLOOKUP($F297,[2]!hbe_risk[#All],4,FALSE)</f>
        <v>0.74399999999999999</v>
      </c>
      <c r="P297">
        <f>VLOOKUP($F297,[2]!hbe_risk[#All],7,FALSE)</f>
        <v>0.13300000000000001</v>
      </c>
      <c r="Q297">
        <v>15.362853846153801</v>
      </c>
      <c r="R297">
        <v>124.34865384615381</v>
      </c>
      <c r="S297">
        <v>171.32737372551114</v>
      </c>
      <c r="T297">
        <v>180.57016673507923</v>
      </c>
      <c r="U297">
        <v>176.32607155284086</v>
      </c>
      <c r="V297">
        <v>17.422789828335343</v>
      </c>
      <c r="W297">
        <v>22.494289828335344</v>
      </c>
      <c r="X297">
        <v>17.387917629426394</v>
      </c>
      <c r="Y297">
        <v>22.459417629426394</v>
      </c>
      <c r="Z297">
        <v>22.439196313988354</v>
      </c>
      <c r="AA297">
        <v>17.43083725885279</v>
      </c>
      <c r="AB297">
        <v>22.502337258852791</v>
      </c>
      <c r="AC297">
        <f>VLOOKUP($A297,raw[],29,FALSE)*(1+interactive!$C$7)</f>
        <v>1.7735896500000018E-2</v>
      </c>
      <c r="AD297">
        <f>VLOOKUP($A297,raw[],30,FALSE)*(1+interactive!$C$7)</f>
        <v>9.2768139762210828E-4</v>
      </c>
      <c r="AE297">
        <f>VLOOKUP($A297,raw[],31,FALSE)*(1+interactive!$C$7)</f>
        <v>3.781989716693595E-4</v>
      </c>
      <c r="AF297">
        <f>VLOOKUP($A297,raw[],32,FALSE)*(1+interactive!$C$7)</f>
        <v>3.3332373083062774E-4</v>
      </c>
      <c r="AG297">
        <f>VLOOKUP($A297,raw[],33,FALSE)*(1+interactive!$C$7)</f>
        <v>7.5468479048945367E-4</v>
      </c>
      <c r="AH297">
        <f>VLOOKUP($A297,raw[],34,FALSE)*(1+interactive!$C$7)</f>
        <v>1.0366578420183954E-3</v>
      </c>
      <c r="AI297">
        <f>VLOOKUP($A297,raw[],35,FALSE)*(1+interactive!$C$7)</f>
        <v>1.1076594719499201E-3</v>
      </c>
      <c r="AJ297">
        <f>VLOOKUP($A297,raw[],36,FALSE)*(1+interactive!$C$7)</f>
        <v>1.3457320779259705E-3</v>
      </c>
      <c r="AK297">
        <f>VLOOKUP($A297,raw[],37,FALSE)*(1+interactive!$C$7)</f>
        <v>1.8550918516530468E-3</v>
      </c>
      <c r="AL297">
        <f>VLOOKUP($A297,raw[],38,FALSE)*(1+interactive!$C$7)</f>
        <v>2.7635968394118392E-3</v>
      </c>
      <c r="AM297">
        <f>VLOOKUP($A297,raw[],39,FALSE)*(1+interactive!$C$7)</f>
        <v>4.3344899624156875E-3</v>
      </c>
      <c r="AN297">
        <f>VLOOKUP($A297,raw[],40,FALSE)*(1+interactive!$C$7)</f>
        <v>6.6970002931309716E-3</v>
      </c>
      <c r="AO297">
        <f>VLOOKUP($A297,raw[],41,FALSE)*(1+interactive!$C$7)</f>
        <v>1.0323104201258742E-2</v>
      </c>
      <c r="AP297">
        <f>VLOOKUP($A297,raw[],42,FALSE)*(1+interactive!$C$7)</f>
        <v>1.6147851184354356E-2</v>
      </c>
      <c r="AQ297">
        <f>VLOOKUP($A297,raw[],43,FALSE)*(1+interactive!$C$7)</f>
        <v>2.5035453641804036E-2</v>
      </c>
      <c r="AR297">
        <f>VLOOKUP($A297,raw[],44,FALSE)*(1+interactive!$C$7)</f>
        <v>3.909254035086817E-2</v>
      </c>
      <c r="AS297">
        <f>VLOOKUP($A297,raw[],45,FALSE)*(1+interactive!$C$7)</f>
        <v>6.2418620831603926E-2</v>
      </c>
      <c r="AT297">
        <f>VLOOKUP($A297,raw[],46,FALSE)*(1+interactive!$C$7)</f>
        <v>9.3269733517356498E-2</v>
      </c>
      <c r="AU297">
        <f>VLOOKUP($A297,raw[],47,FALSE)*(1+interactive!$C$7)</f>
        <v>0.12583828773331848</v>
      </c>
      <c r="AV297">
        <f>VLOOKUP($A297,raw[],48,FALSE)*(1+interactive!$C$7)</f>
        <v>0.15748170167518319</v>
      </c>
      <c r="AW297">
        <f>VLOOKUP($A297,raw[],49,FALSE)*(1+interactive!$C$7)</f>
        <v>0.18143750367165246</v>
      </c>
      <c r="AX297">
        <f>VLOOKUP($A297,raw[],50,FALSE)*(1+interactive!$C$7)</f>
        <v>76.338150000000013</v>
      </c>
    </row>
    <row r="298" spans="1:50" x14ac:dyDescent="0.25">
      <c r="A298" s="53" t="s">
        <v>258</v>
      </c>
      <c r="B298" s="54" t="s">
        <v>259</v>
      </c>
      <c r="C298" s="54">
        <v>116</v>
      </c>
      <c r="D298" s="54" t="s">
        <v>260</v>
      </c>
      <c r="E298" s="54" t="s">
        <v>261</v>
      </c>
      <c r="F298" s="54" t="s">
        <v>262</v>
      </c>
      <c r="G298" s="54" t="s">
        <v>212</v>
      </c>
      <c r="J298">
        <f>MIN(VLOOKUP($A298,raw[],10,FALSE)*(1+interactive!$C$7),0.999)</f>
        <v>0.87360000000000015</v>
      </c>
      <c r="K298">
        <f>MIN(VLOOKUP($A298,raw[],11,FALSE)*(1+interactive!$C$7),0.999)</f>
        <v>0.98699999999999999</v>
      </c>
      <c r="L298">
        <f>MIN(VLOOKUP($A298,raw[],12,FALSE)*(1+interactive!$C$7),0.999)</f>
        <v>0.96600000000000008</v>
      </c>
      <c r="M298">
        <v>4.7E-2</v>
      </c>
      <c r="N298">
        <f>IFERROR(VLOOKUP($A298,[2]!hbe_prev[#Data],5,FALSE),0)</f>
        <v>0.47729999999999995</v>
      </c>
      <c r="O298">
        <f>VLOOKUP($F298,[2]!hbe_risk[#All],4,FALSE)</f>
        <v>0.9</v>
      </c>
      <c r="P298">
        <f>VLOOKUP($F298,[2]!hbe_risk[#All],7,FALSE)</f>
        <v>0.3</v>
      </c>
      <c r="Q298">
        <v>7.8997698151950697</v>
      </c>
      <c r="R298">
        <v>116.88556981519508</v>
      </c>
      <c r="S298">
        <v>150.57617633416794</v>
      </c>
      <c r="T298">
        <v>152.90297077446556</v>
      </c>
      <c r="U298">
        <v>151.83455594964977</v>
      </c>
      <c r="V298">
        <v>5.561991549151692</v>
      </c>
      <c r="W298">
        <v>6.2234915491516922</v>
      </c>
      <c r="X298">
        <v>5.5449680271181752</v>
      </c>
      <c r="Y298">
        <v>6.2064680271181754</v>
      </c>
      <c r="Z298">
        <v>6.1969505870931325</v>
      </c>
      <c r="AA298">
        <v>5.5659200542363498</v>
      </c>
      <c r="AB298">
        <v>6.22742005423635</v>
      </c>
      <c r="AC298">
        <f>VLOOKUP($A298,raw[],29,FALSE)*(1+interactive!$C$7)</f>
        <v>2.4961555499999972E-2</v>
      </c>
      <c r="AD298">
        <f>VLOOKUP($A298,raw[],30,FALSE)*(1+interactive!$C$7)</f>
        <v>1.0229525591222857E-3</v>
      </c>
      <c r="AE298">
        <f>VLOOKUP($A298,raw[],31,FALSE)*(1+interactive!$C$7)</f>
        <v>1.7553334338314603E-3</v>
      </c>
      <c r="AF298">
        <f>VLOOKUP($A298,raw[],32,FALSE)*(1+interactive!$C$7)</f>
        <v>1.2541467749662078E-3</v>
      </c>
      <c r="AG298">
        <f>VLOOKUP($A298,raw[],33,FALSE)*(1+interactive!$C$7)</f>
        <v>1.1647917199032627E-3</v>
      </c>
      <c r="AH298">
        <f>VLOOKUP($A298,raw[],34,FALSE)*(1+interactive!$C$7)</f>
        <v>1.4038920457126404E-3</v>
      </c>
      <c r="AI298">
        <f>VLOOKUP($A298,raw[],35,FALSE)*(1+interactive!$C$7)</f>
        <v>1.9189835785008199E-3</v>
      </c>
      <c r="AJ298">
        <f>VLOOKUP($A298,raw[],36,FALSE)*(1+interactive!$C$7)</f>
        <v>2.5220097807888949E-3</v>
      </c>
      <c r="AK298">
        <f>VLOOKUP($A298,raw[],37,FALSE)*(1+interactive!$C$7)</f>
        <v>3.3237735724482029E-3</v>
      </c>
      <c r="AL298">
        <f>VLOOKUP($A298,raw[],38,FALSE)*(1+interactive!$C$7)</f>
        <v>4.2703669963175513E-3</v>
      </c>
      <c r="AM298">
        <f>VLOOKUP($A298,raw[],39,FALSE)*(1+interactive!$C$7)</f>
        <v>5.3704395952840029E-3</v>
      </c>
      <c r="AN298">
        <f>VLOOKUP($A298,raw[],40,FALSE)*(1+interactive!$C$7)</f>
        <v>6.9920532700676382E-3</v>
      </c>
      <c r="AO298">
        <f>VLOOKUP($A298,raw[],41,FALSE)*(1+interactive!$C$7)</f>
        <v>1.0775541003426169E-2</v>
      </c>
      <c r="AP298">
        <f>VLOOKUP($A298,raw[],42,FALSE)*(1+interactive!$C$7)</f>
        <v>1.8801073907392486E-2</v>
      </c>
      <c r="AQ298">
        <f>VLOOKUP($A298,raw[],43,FALSE)*(1+interactive!$C$7)</f>
        <v>2.9328665814697195E-2</v>
      </c>
      <c r="AR298">
        <f>VLOOKUP($A298,raw[],44,FALSE)*(1+interactive!$C$7)</f>
        <v>4.6612550918735951E-2</v>
      </c>
      <c r="AS298">
        <f>VLOOKUP($A298,raw[],45,FALSE)*(1+interactive!$C$7)</f>
        <v>7.1124619154067065E-2</v>
      </c>
      <c r="AT298">
        <f>VLOOKUP($A298,raw[],46,FALSE)*(1+interactive!$C$7)</f>
        <v>0.10066675147932852</v>
      </c>
      <c r="AU298">
        <f>VLOOKUP($A298,raw[],47,FALSE)*(1+interactive!$C$7)</f>
        <v>0.13189716305602933</v>
      </c>
      <c r="AV298">
        <f>VLOOKUP($A298,raw[],48,FALSE)*(1+interactive!$C$7)</f>
        <v>0.1605697004984446</v>
      </c>
      <c r="AW298">
        <f>VLOOKUP($A298,raw[],49,FALSE)*(1+interactive!$C$7)</f>
        <v>0.18662583802874358</v>
      </c>
      <c r="AX298">
        <f>VLOOKUP($A298,raw[],50,FALSE)*(1+interactive!$C$7)</f>
        <v>72.906750000000002</v>
      </c>
    </row>
    <row r="299" spans="1:50" x14ac:dyDescent="0.25">
      <c r="A299" s="55" t="s">
        <v>263</v>
      </c>
      <c r="B299" s="56" t="s">
        <v>264</v>
      </c>
      <c r="C299" s="56">
        <v>120</v>
      </c>
      <c r="D299" s="56" t="s">
        <v>207</v>
      </c>
      <c r="E299" s="56" t="s">
        <v>235</v>
      </c>
      <c r="F299" s="56" t="s">
        <v>211</v>
      </c>
      <c r="G299" s="56" t="s">
        <v>212</v>
      </c>
      <c r="J299">
        <f>MIN(VLOOKUP($A299,raw[],10,FALSE)*(1+interactive!$C$7),0.999)</f>
        <v>0.70350000000000013</v>
      </c>
      <c r="K299">
        <f>MIN(VLOOKUP($A299,raw[],11,FALSE)*(1+interactive!$C$7),0.999)</f>
        <v>0</v>
      </c>
      <c r="L299">
        <f>MIN(VLOOKUP($A299,raw[],12,FALSE)*(1+interactive!$C$7),0.999)</f>
        <v>0.72449999999999992</v>
      </c>
      <c r="M299">
        <v>7.2599999999999998E-2</v>
      </c>
      <c r="N299">
        <f>IFERROR(VLOOKUP($A299,[2]!hbe_prev[#Data],5,FALSE),0)</f>
        <v>0.41070000000000001</v>
      </c>
      <c r="O299">
        <f>VLOOKUP($F299,[2]!hbe_risk[#All],4,FALSE)</f>
        <v>0.74399999999999999</v>
      </c>
      <c r="P299">
        <f>VLOOKUP($F299,[2]!hbe_risk[#All],7,FALSE)</f>
        <v>0.13300000000000001</v>
      </c>
      <c r="Q299">
        <v>9.6486189602446508</v>
      </c>
      <c r="R299">
        <v>118.63441896024466</v>
      </c>
      <c r="S299">
        <v>153.89788812560084</v>
      </c>
      <c r="T299">
        <v>157.0433025999867</v>
      </c>
      <c r="U299">
        <v>155.59899475894076</v>
      </c>
      <c r="V299">
        <v>3.7638419350753964</v>
      </c>
      <c r="W299">
        <v>8.8353419350753963</v>
      </c>
      <c r="X299">
        <v>3.7443975503864255</v>
      </c>
      <c r="Y299">
        <v>8.8158975503864259</v>
      </c>
      <c r="Z299">
        <v>8.8033521497653915</v>
      </c>
      <c r="AA299">
        <v>3.7683291007728514</v>
      </c>
      <c r="AB299">
        <v>8.8398291007728513</v>
      </c>
      <c r="AC299">
        <f>VLOOKUP($A299,raw[],29,FALSE)*(1+interactive!$C$7)</f>
        <v>6.4254130500000062E-2</v>
      </c>
      <c r="AD299">
        <f>VLOOKUP($A299,raw[],30,FALSE)*(1+interactive!$C$7)</f>
        <v>7.5785071486419277E-3</v>
      </c>
      <c r="AE299">
        <f>VLOOKUP($A299,raw[],31,FALSE)*(1+interactive!$C$7)</f>
        <v>2.7589366391510776E-3</v>
      </c>
      <c r="AF299">
        <f>VLOOKUP($A299,raw[],32,FALSE)*(1+interactive!$C$7)</f>
        <v>1.8820907365986214E-3</v>
      </c>
      <c r="AG299">
        <f>VLOOKUP($A299,raw[],33,FALSE)*(1+interactive!$C$7)</f>
        <v>2.8086797886576744E-3</v>
      </c>
      <c r="AH299">
        <f>VLOOKUP($A299,raw[],34,FALSE)*(1+interactive!$C$7)</f>
        <v>4.0332490670256143E-3</v>
      </c>
      <c r="AI299">
        <f>VLOOKUP($A299,raw[],35,FALSE)*(1+interactive!$C$7)</f>
        <v>4.7856244543156568E-3</v>
      </c>
      <c r="AJ299">
        <f>VLOOKUP($A299,raw[],36,FALSE)*(1+interactive!$C$7)</f>
        <v>5.6243568510979253E-3</v>
      </c>
      <c r="AK299">
        <f>VLOOKUP($A299,raw[],37,FALSE)*(1+interactive!$C$7)</f>
        <v>6.8096072892051118E-3</v>
      </c>
      <c r="AL299">
        <f>VLOOKUP($A299,raw[],38,FALSE)*(1+interactive!$C$7)</f>
        <v>8.3241175940499037E-3</v>
      </c>
      <c r="AM299">
        <f>VLOOKUP($A299,raw[],39,FALSE)*(1+interactive!$C$7)</f>
        <v>1.0103526164107221E-2</v>
      </c>
      <c r="AN299">
        <f>VLOOKUP($A299,raw[],40,FALSE)*(1+interactive!$C$7)</f>
        <v>1.3632963157637833E-2</v>
      </c>
      <c r="AO299">
        <f>VLOOKUP($A299,raw[],41,FALSE)*(1+interactive!$C$7)</f>
        <v>1.7775661953574207E-2</v>
      </c>
      <c r="AP299">
        <f>VLOOKUP($A299,raw[],42,FALSE)*(1+interactive!$C$7)</f>
        <v>2.5868940777707287E-2</v>
      </c>
      <c r="AQ299">
        <f>VLOOKUP($A299,raw[],43,FALSE)*(1+interactive!$C$7)</f>
        <v>3.8716838558161298E-2</v>
      </c>
      <c r="AR299">
        <f>VLOOKUP($A299,raw[],44,FALSE)*(1+interactive!$C$7)</f>
        <v>5.8547125256770555E-2</v>
      </c>
      <c r="AS299">
        <f>VLOOKUP($A299,raw[],45,FALSE)*(1+interactive!$C$7)</f>
        <v>8.6739916452669805E-2</v>
      </c>
      <c r="AT299">
        <f>VLOOKUP($A299,raw[],46,FALSE)*(1+interactive!$C$7)</f>
        <v>0.12472593538660115</v>
      </c>
      <c r="AU299">
        <f>VLOOKUP($A299,raw[],47,FALSE)*(1+interactive!$C$7)</f>
        <v>0.16459225712055983</v>
      </c>
      <c r="AV299">
        <f>VLOOKUP($A299,raw[],48,FALSE)*(1+interactive!$C$7)</f>
        <v>0.19306388000483238</v>
      </c>
      <c r="AW299">
        <f>VLOOKUP($A299,raw[],49,FALSE)*(1+interactive!$C$7)</f>
        <v>0.19944893621190976</v>
      </c>
      <c r="AX299">
        <f>VLOOKUP($A299,raw[],50,FALSE)*(1+interactive!$C$7)</f>
        <v>61.710599999999999</v>
      </c>
    </row>
    <row r="300" spans="1:50" x14ac:dyDescent="0.25">
      <c r="A300" s="53" t="s">
        <v>265</v>
      </c>
      <c r="B300" s="54" t="s">
        <v>266</v>
      </c>
      <c r="C300" s="54">
        <v>140</v>
      </c>
      <c r="D300" s="54" t="s">
        <v>207</v>
      </c>
      <c r="E300" s="54" t="s">
        <v>210</v>
      </c>
      <c r="F300" s="54" t="s">
        <v>211</v>
      </c>
      <c r="G300" s="54" t="s">
        <v>198</v>
      </c>
      <c r="J300">
        <f>MIN(VLOOKUP($A300,raw[],10,FALSE)*(1+interactive!$C$7),0.999)</f>
        <v>0.55125000000000002</v>
      </c>
      <c r="K300">
        <f>MIN(VLOOKUP($A300,raw[],11,FALSE)*(1+interactive!$C$7),0.999)</f>
        <v>0</v>
      </c>
      <c r="L300">
        <f>MIN(VLOOKUP($A300,raw[],12,FALSE)*(1+interactive!$C$7),0.999)</f>
        <v>0.441</v>
      </c>
      <c r="M300">
        <v>8.6599999999999996E-2</v>
      </c>
      <c r="N300">
        <f>IFERROR(VLOOKUP($A300,[2]!hbe_prev[#Data],5,FALSE),0)</f>
        <v>0.40200000000000002</v>
      </c>
      <c r="O300">
        <f>VLOOKUP($F300,[2]!hbe_risk[#All],4,FALSE)</f>
        <v>0.74399999999999999</v>
      </c>
      <c r="P300">
        <f>VLOOKUP($F300,[2]!hbe_risk[#All],7,FALSE)</f>
        <v>0.13300000000000001</v>
      </c>
      <c r="Q300">
        <v>6.7633932773109198</v>
      </c>
      <c r="R300">
        <v>115.74919327731094</v>
      </c>
      <c r="S300">
        <v>147.02185938103207</v>
      </c>
      <c r="T300">
        <v>148.09020034498326</v>
      </c>
      <c r="U300">
        <v>147.59964075618802</v>
      </c>
      <c r="V300">
        <v>2.3787168849264315</v>
      </c>
      <c r="W300">
        <v>7.4502168849264319</v>
      </c>
      <c r="X300">
        <v>2.3703597296145826</v>
      </c>
      <c r="Y300">
        <v>7.441859729614583</v>
      </c>
      <c r="Z300">
        <v>7.4372016071710423</v>
      </c>
      <c r="AA300">
        <v>2.3806454592291657</v>
      </c>
      <c r="AB300">
        <v>7.4521454592291665</v>
      </c>
      <c r="AC300">
        <f>VLOOKUP($A300,raw[],29,FALSE)*(1+interactive!$C$7)</f>
        <v>8.6019086999999939E-2</v>
      </c>
      <c r="AD300">
        <f>VLOOKUP($A300,raw[],30,FALSE)*(1+interactive!$C$7)</f>
        <v>1.1422111859542601E-2</v>
      </c>
      <c r="AE300">
        <f>VLOOKUP($A300,raw[],31,FALSE)*(1+interactive!$C$7)</f>
        <v>3.3562350950848406E-3</v>
      </c>
      <c r="AF300">
        <f>VLOOKUP($A300,raw[],32,FALSE)*(1+interactive!$C$7)</f>
        <v>2.4023410491510635E-3</v>
      </c>
      <c r="AG300">
        <f>VLOOKUP($A300,raw[],33,FALSE)*(1+interactive!$C$7)</f>
        <v>3.4594000069982948E-3</v>
      </c>
      <c r="AH300">
        <f>VLOOKUP($A300,raw[],34,FALSE)*(1+interactive!$C$7)</f>
        <v>5.2701869972663472E-3</v>
      </c>
      <c r="AI300">
        <f>VLOOKUP($A300,raw[],35,FALSE)*(1+interactive!$C$7)</f>
        <v>7.185415696899203E-3</v>
      </c>
      <c r="AJ300">
        <f>VLOOKUP($A300,raw[],36,FALSE)*(1+interactive!$C$7)</f>
        <v>9.1074934087733237E-3</v>
      </c>
      <c r="AK300">
        <f>VLOOKUP($A300,raw[],37,FALSE)*(1+interactive!$C$7)</f>
        <v>1.1616115912694246E-2</v>
      </c>
      <c r="AL300">
        <f>VLOOKUP($A300,raw[],38,FALSE)*(1+interactive!$C$7)</f>
        <v>1.3583914661327837E-2</v>
      </c>
      <c r="AM300">
        <f>VLOOKUP($A300,raw[],39,FALSE)*(1+interactive!$C$7)</f>
        <v>1.5732752163134703E-2</v>
      </c>
      <c r="AN300">
        <f>VLOOKUP($A300,raw[],40,FALSE)*(1+interactive!$C$7)</f>
        <v>1.9208420679319563E-2</v>
      </c>
      <c r="AO300">
        <f>VLOOKUP($A300,raw[],41,FALSE)*(1+interactive!$C$7)</f>
        <v>2.3413629635424229E-2</v>
      </c>
      <c r="AP300">
        <f>VLOOKUP($A300,raw[],42,FALSE)*(1+interactive!$C$7)</f>
        <v>3.1275837522924038E-2</v>
      </c>
      <c r="AQ300">
        <f>VLOOKUP($A300,raw[],43,FALSE)*(1+interactive!$C$7)</f>
        <v>4.3594639595034373E-2</v>
      </c>
      <c r="AR300">
        <f>VLOOKUP($A300,raw[],44,FALSE)*(1+interactive!$C$7)</f>
        <v>6.2409139228909144E-2</v>
      </c>
      <c r="AS300">
        <f>VLOOKUP($A300,raw[],45,FALSE)*(1+interactive!$C$7)</f>
        <v>8.8287402570474197E-2</v>
      </c>
      <c r="AT300">
        <f>VLOOKUP($A300,raw[],46,FALSE)*(1+interactive!$C$7)</f>
        <v>0.12391461307710899</v>
      </c>
      <c r="AU300">
        <f>VLOOKUP($A300,raw[],47,FALSE)*(1+interactive!$C$7)</f>
        <v>0.16157022652989556</v>
      </c>
      <c r="AV300">
        <f>VLOOKUP($A300,raw[],48,FALSE)*(1+interactive!$C$7)</f>
        <v>0.18845474787299726</v>
      </c>
      <c r="AW300">
        <f>VLOOKUP($A300,raw[],49,FALSE)*(1+interactive!$C$7)</f>
        <v>0.19711987322296953</v>
      </c>
      <c r="AX300">
        <f>VLOOKUP($A300,raw[],50,FALSE)*(1+interactive!$C$7)</f>
        <v>55.301400000000001</v>
      </c>
    </row>
    <row r="301" spans="1:50" x14ac:dyDescent="0.25">
      <c r="A301" s="55" t="s">
        <v>267</v>
      </c>
      <c r="B301" s="56" t="s">
        <v>268</v>
      </c>
      <c r="C301" s="56">
        <v>148</v>
      </c>
      <c r="D301" s="56" t="s">
        <v>207</v>
      </c>
      <c r="E301" s="56" t="s">
        <v>235</v>
      </c>
      <c r="F301" s="56" t="s">
        <v>211</v>
      </c>
      <c r="G301" s="56" t="s">
        <v>198</v>
      </c>
      <c r="J301">
        <f>MIN(VLOOKUP($A301,raw[],10,FALSE)*(1+interactive!$C$7),0.999)</f>
        <v>0.22785</v>
      </c>
      <c r="K301">
        <f>MIN(VLOOKUP($A301,raw[],11,FALSE)*(1+interactive!$C$7),0.999)</f>
        <v>0</v>
      </c>
      <c r="L301">
        <f>MIN(VLOOKUP($A301,raw[],12,FALSE)*(1+interactive!$C$7),0.999)</f>
        <v>0.54600000000000004</v>
      </c>
      <c r="M301">
        <v>0.2223</v>
      </c>
      <c r="N301">
        <f>IFERROR(VLOOKUP($A301,[2]!hbe_prev[#Data],5,FALSE),0)</f>
        <v>0.41070000000000001</v>
      </c>
      <c r="O301">
        <f>VLOOKUP($F301,[2]!hbe_risk[#All],4,FALSE)</f>
        <v>0.74399999999999999</v>
      </c>
      <c r="P301">
        <f>VLOOKUP($F301,[2]!hbe_risk[#All],7,FALSE)</f>
        <v>0.13300000000000001</v>
      </c>
      <c r="Q301">
        <v>7.7413848739495803</v>
      </c>
      <c r="R301">
        <v>116.7271848739496</v>
      </c>
      <c r="S301">
        <v>149.73928020340685</v>
      </c>
      <c r="T301">
        <v>151.71293328430625</v>
      </c>
      <c r="U301">
        <v>150.80667350726873</v>
      </c>
      <c r="V301">
        <v>1.8794908422700543</v>
      </c>
      <c r="W301">
        <v>6.9509908422700546</v>
      </c>
      <c r="X301">
        <v>1.8685480509076162</v>
      </c>
      <c r="Y301">
        <v>6.9400480509076168</v>
      </c>
      <c r="Z301">
        <v>6.9341087011309197</v>
      </c>
      <c r="AA301">
        <v>1.8820161018152322</v>
      </c>
      <c r="AB301">
        <v>6.9535161018152323</v>
      </c>
      <c r="AC301">
        <f>VLOOKUP($A301,raw[],29,FALSE)*(1+interactive!$C$7)</f>
        <v>7.8250850999999996E-2</v>
      </c>
      <c r="AD301">
        <f>VLOOKUP($A301,raw[],30,FALSE)*(1+interactive!$C$7)</f>
        <v>1.3737286830904133E-2</v>
      </c>
      <c r="AE301">
        <f>VLOOKUP($A301,raw[],31,FALSE)*(1+interactive!$C$7)</f>
        <v>5.4313159497370884E-3</v>
      </c>
      <c r="AF301">
        <f>VLOOKUP($A301,raw[],32,FALSE)*(1+interactive!$C$7)</f>
        <v>3.5235556550192761E-3</v>
      </c>
      <c r="AG301">
        <f>VLOOKUP($A301,raw[],33,FALSE)*(1+interactive!$C$7)</f>
        <v>4.0523070971601755E-3</v>
      </c>
      <c r="AH301">
        <f>VLOOKUP($A301,raw[],34,FALSE)*(1+interactive!$C$7)</f>
        <v>5.3536653155781067E-3</v>
      </c>
      <c r="AI301">
        <f>VLOOKUP($A301,raw[],35,FALSE)*(1+interactive!$C$7)</f>
        <v>7.0302796654811315E-3</v>
      </c>
      <c r="AJ301">
        <f>VLOOKUP($A301,raw[],36,FALSE)*(1+interactive!$C$7)</f>
        <v>8.8956890442532834E-3</v>
      </c>
      <c r="AK301">
        <f>VLOOKUP($A301,raw[],37,FALSE)*(1+interactive!$C$7)</f>
        <v>1.0932522255850985E-2</v>
      </c>
      <c r="AL301">
        <f>VLOOKUP($A301,raw[],38,FALSE)*(1+interactive!$C$7)</f>
        <v>1.1634158910832243E-2</v>
      </c>
      <c r="AM301">
        <f>VLOOKUP($A301,raw[],39,FALSE)*(1+interactive!$C$7)</f>
        <v>1.2137291146807372E-2</v>
      </c>
      <c r="AN301">
        <f>VLOOKUP($A301,raw[],40,FALSE)*(1+interactive!$C$7)</f>
        <v>1.3570751492016971E-2</v>
      </c>
      <c r="AO301">
        <f>VLOOKUP($A301,raw[],41,FALSE)*(1+interactive!$C$7)</f>
        <v>1.7166595070707766E-2</v>
      </c>
      <c r="AP301">
        <f>VLOOKUP($A301,raw[],42,FALSE)*(1+interactive!$C$7)</f>
        <v>2.4576013658572531E-2</v>
      </c>
      <c r="AQ301">
        <f>VLOOKUP($A301,raw[],43,FALSE)*(1+interactive!$C$7)</f>
        <v>3.6415272298963609E-2</v>
      </c>
      <c r="AR301">
        <f>VLOOKUP($A301,raw[],44,FALSE)*(1+interactive!$C$7)</f>
        <v>5.4723696862596378E-2</v>
      </c>
      <c r="AS301">
        <f>VLOOKUP($A301,raw[],45,FALSE)*(1+interactive!$C$7)</f>
        <v>7.9512078226499847E-2</v>
      </c>
      <c r="AT301">
        <f>VLOOKUP($A301,raw[],46,FALSE)*(1+interactive!$C$7)</f>
        <v>0.11119639861738595</v>
      </c>
      <c r="AU301">
        <f>VLOOKUP($A301,raw[],47,FALSE)*(1+interactive!$C$7)</f>
        <v>0.14381004901641981</v>
      </c>
      <c r="AV301">
        <f>VLOOKUP($A301,raw[],48,FALSE)*(1+interactive!$C$7)</f>
        <v>0.1703019847311481</v>
      </c>
      <c r="AW301">
        <f>VLOOKUP($A301,raw[],49,FALSE)*(1+interactive!$C$7)</f>
        <v>0.18765929752631852</v>
      </c>
      <c r="AX301">
        <f>VLOOKUP($A301,raw[],50,FALSE)*(1+interactive!$C$7)</f>
        <v>56.488950000000003</v>
      </c>
    </row>
    <row r="302" spans="1:50" x14ac:dyDescent="0.25">
      <c r="A302" s="53" t="s">
        <v>269</v>
      </c>
      <c r="B302" s="54" t="s">
        <v>270</v>
      </c>
      <c r="C302" s="54">
        <v>156</v>
      </c>
      <c r="D302" s="54" t="s">
        <v>260</v>
      </c>
      <c r="E302" s="54" t="s">
        <v>271</v>
      </c>
      <c r="F302" s="54" t="s">
        <v>262</v>
      </c>
      <c r="G302" s="54" t="s">
        <v>204</v>
      </c>
      <c r="J302">
        <f>MIN(VLOOKUP($A302,raw[],10,FALSE)*(1+interactive!$C$7),0.999)</f>
        <v>0.999</v>
      </c>
      <c r="K302">
        <f>MIN(VLOOKUP($A302,raw[],11,FALSE)*(1+interactive!$C$7),0.999)</f>
        <v>0.99749999999999994</v>
      </c>
      <c r="L302">
        <f>MIN(VLOOKUP($A302,raw[],12,FALSE)*(1+interactive!$C$7),0.999)</f>
        <v>0.999</v>
      </c>
      <c r="M302">
        <v>6.6799999999999998E-2</v>
      </c>
      <c r="N302">
        <f>IFERROR(VLOOKUP($A302,[2]!hbe_prev[#Data],5,FALSE),0)</f>
        <v>0.49159999999999998</v>
      </c>
      <c r="O302">
        <f>VLOOKUP($F302,[2]!hbe_risk[#All],4,FALSE)</f>
        <v>0.9</v>
      </c>
      <c r="P302">
        <f>VLOOKUP($F302,[2]!hbe_risk[#All],7,FALSE)</f>
        <v>0.3</v>
      </c>
      <c r="Q302">
        <v>19.653385648530602</v>
      </c>
      <c r="R302">
        <v>128.6391856485306</v>
      </c>
      <c r="S302">
        <v>189.88246819644192</v>
      </c>
      <c r="T302">
        <v>206.54946751215894</v>
      </c>
      <c r="U302">
        <v>198.89633372186645</v>
      </c>
      <c r="V302">
        <v>6.169881144021832</v>
      </c>
      <c r="W302">
        <v>6.8313811440218322</v>
      </c>
      <c r="X302">
        <v>6.1067320104948042</v>
      </c>
      <c r="Y302">
        <v>6.7682320104948044</v>
      </c>
      <c r="Z302">
        <v>6.7323779251349656</v>
      </c>
      <c r="AA302">
        <v>6.1844540209896079</v>
      </c>
      <c r="AB302">
        <v>6.8459540209896081</v>
      </c>
      <c r="AC302">
        <f>VLOOKUP($A302,raw[],29,FALSE)*(1+interactive!$C$7)</f>
        <v>1.0388878500000014E-2</v>
      </c>
      <c r="AD302">
        <f>VLOOKUP($A302,raw[],30,FALSE)*(1+interactive!$C$7)</f>
        <v>4.3416570933633048E-4</v>
      </c>
      <c r="AE302">
        <f>VLOOKUP($A302,raw[],31,FALSE)*(1+interactive!$C$7)</f>
        <v>3.275213003052299E-4</v>
      </c>
      <c r="AF302">
        <f>VLOOKUP($A302,raw[],32,FALSE)*(1+interactive!$C$7)</f>
        <v>2.4446073542310094E-4</v>
      </c>
      <c r="AG302">
        <f>VLOOKUP($A302,raw[],33,FALSE)*(1+interactive!$C$7)</f>
        <v>3.5530383416762881E-4</v>
      </c>
      <c r="AH302">
        <f>VLOOKUP($A302,raw[],34,FALSE)*(1+interactive!$C$7)</f>
        <v>4.9888851330976379E-4</v>
      </c>
      <c r="AI302">
        <f>VLOOKUP($A302,raw[],35,FALSE)*(1+interactive!$C$7)</f>
        <v>6.6737545992606978E-4</v>
      </c>
      <c r="AJ302">
        <f>VLOOKUP($A302,raw[],36,FALSE)*(1+interactive!$C$7)</f>
        <v>8.4401533215246671E-4</v>
      </c>
      <c r="AK302">
        <f>VLOOKUP($A302,raw[],37,FALSE)*(1+interactive!$C$7)</f>
        <v>1.0691935416804385E-3</v>
      </c>
      <c r="AL302">
        <f>VLOOKUP($A302,raw[],38,FALSE)*(1+interactive!$C$7)</f>
        <v>1.5136907289111795E-3</v>
      </c>
      <c r="AM302">
        <f>VLOOKUP($A302,raw[],39,FALSE)*(1+interactive!$C$7)</f>
        <v>2.2232564877873212E-3</v>
      </c>
      <c r="AN302">
        <f>VLOOKUP($A302,raw[],40,FALSE)*(1+interactive!$C$7)</f>
        <v>3.688196632888335E-3</v>
      </c>
      <c r="AO302">
        <f>VLOOKUP($A302,raw[],41,FALSE)*(1+interactive!$C$7)</f>
        <v>6.1772918136575256E-3</v>
      </c>
      <c r="AP302">
        <f>VLOOKUP($A302,raw[],42,FALSE)*(1+interactive!$C$7)</f>
        <v>1.1503424996676561E-2</v>
      </c>
      <c r="AQ302">
        <f>VLOOKUP($A302,raw[],43,FALSE)*(1+interactive!$C$7)</f>
        <v>2.0410915435282482E-2</v>
      </c>
      <c r="AR302">
        <f>VLOOKUP($A302,raw[],44,FALSE)*(1+interactive!$C$7)</f>
        <v>3.5969712869659769E-2</v>
      </c>
      <c r="AS302">
        <f>VLOOKUP($A302,raw[],45,FALSE)*(1+interactive!$C$7)</f>
        <v>5.715356864386141E-2</v>
      </c>
      <c r="AT302">
        <f>VLOOKUP($A302,raw[],46,FALSE)*(1+interactive!$C$7)</f>
        <v>8.1287902552564462E-2</v>
      </c>
      <c r="AU302">
        <f>VLOOKUP($A302,raw[],47,FALSE)*(1+interactive!$C$7)</f>
        <v>0.11254239208089294</v>
      </c>
      <c r="AV302">
        <f>VLOOKUP($A302,raw[],48,FALSE)*(1+interactive!$C$7)</f>
        <v>0.13992990044129835</v>
      </c>
      <c r="AW302">
        <f>VLOOKUP($A302,raw[],49,FALSE)*(1+interactive!$C$7)</f>
        <v>0.16239294842650695</v>
      </c>
      <c r="AX302">
        <f>VLOOKUP($A302,raw[],50,FALSE)*(1+interactive!$C$7)</f>
        <v>80.454150000000013</v>
      </c>
    </row>
    <row r="303" spans="1:50" x14ac:dyDescent="0.25">
      <c r="A303" s="55" t="s">
        <v>272</v>
      </c>
      <c r="B303" s="56" t="s">
        <v>273</v>
      </c>
      <c r="C303" s="56">
        <v>170</v>
      </c>
      <c r="D303" s="56" t="s">
        <v>215</v>
      </c>
      <c r="E303" s="56" t="s">
        <v>274</v>
      </c>
      <c r="F303" s="56" t="s">
        <v>217</v>
      </c>
      <c r="G303" s="56" t="s">
        <v>204</v>
      </c>
      <c r="J303">
        <f>MIN(VLOOKUP($A303,raw[],10,FALSE)*(1+interactive!$C$7),0.999)</f>
        <v>0.999</v>
      </c>
      <c r="K303">
        <f>MIN(VLOOKUP($A303,raw[],11,FALSE)*(1+interactive!$C$7),0.999)</f>
        <v>0.92400000000000004</v>
      </c>
      <c r="L303">
        <f>MIN(VLOOKUP($A303,raw[],12,FALSE)*(1+interactive!$C$7),0.999)</f>
        <v>0.92400000000000004</v>
      </c>
      <c r="M303">
        <v>1.4499999999999999E-2</v>
      </c>
      <c r="N303">
        <f>IFERROR(VLOOKUP($A303,[2]!hbe_prev[#Data],5,FALSE),0)</f>
        <v>0.42950000000000005</v>
      </c>
      <c r="O303">
        <f>VLOOKUP($F303,[2]!hbe_risk[#All],4,FALSE)</f>
        <v>0.9</v>
      </c>
      <c r="P303">
        <f>VLOOKUP($F303,[2]!hbe_risk[#All],7,FALSE)</f>
        <v>0.3</v>
      </c>
      <c r="Q303">
        <v>47.276937514415003</v>
      </c>
      <c r="R303">
        <v>156.26273751441499</v>
      </c>
      <c r="S303">
        <v>229.271674291431</v>
      </c>
      <c r="T303">
        <v>252.06228541028096</v>
      </c>
      <c r="U303">
        <v>241.59731851665376</v>
      </c>
      <c r="V303">
        <v>6.9387215580570043</v>
      </c>
      <c r="W303">
        <v>6.9597215580570042</v>
      </c>
      <c r="X303">
        <v>6.9051342389280022</v>
      </c>
      <c r="Y303">
        <v>6.9261342389280021</v>
      </c>
      <c r="Z303">
        <v>6.9062000828859285</v>
      </c>
      <c r="AA303">
        <v>6.9464724778560045</v>
      </c>
      <c r="AB303">
        <v>6.9674724778560044</v>
      </c>
      <c r="AC303">
        <f>VLOOKUP($A303,raw[],29,FALSE)*(1+interactive!$C$7)</f>
        <v>1.3269217500000006E-2</v>
      </c>
      <c r="AD303">
        <f>VLOOKUP($A303,raw[],30,FALSE)*(1+interactive!$C$7)</f>
        <v>5.6558474234365014E-4</v>
      </c>
      <c r="AE303">
        <f>VLOOKUP($A303,raw[],31,FALSE)*(1+interactive!$C$7)</f>
        <v>4.205157007828283E-4</v>
      </c>
      <c r="AF303">
        <f>VLOOKUP($A303,raw[],32,FALSE)*(1+interactive!$C$7)</f>
        <v>3.869290717702229E-4</v>
      </c>
      <c r="AG303">
        <f>VLOOKUP($A303,raw[],33,FALSE)*(1+interactive!$C$7)</f>
        <v>9.8226951185629869E-4</v>
      </c>
      <c r="AH303">
        <f>VLOOKUP($A303,raw[],34,FALSE)*(1+interactive!$C$7)</f>
        <v>1.8893959409679504E-3</v>
      </c>
      <c r="AI303">
        <f>VLOOKUP($A303,raw[],35,FALSE)*(1+interactive!$C$7)</f>
        <v>1.9574446322153166E-3</v>
      </c>
      <c r="AJ303">
        <f>VLOOKUP($A303,raw[],36,FALSE)*(1+interactive!$C$7)</f>
        <v>1.9168524821048811E-3</v>
      </c>
      <c r="AK303">
        <f>VLOOKUP($A303,raw[],37,FALSE)*(1+interactive!$C$7)</f>
        <v>2.0879619868999525E-3</v>
      </c>
      <c r="AL303">
        <f>VLOOKUP($A303,raw[],38,FALSE)*(1+interactive!$C$7)</f>
        <v>2.3654538459092819E-3</v>
      </c>
      <c r="AM303">
        <f>VLOOKUP($A303,raw[],39,FALSE)*(1+interactive!$C$7)</f>
        <v>2.9885780366456457E-3</v>
      </c>
      <c r="AN303">
        <f>VLOOKUP($A303,raw[],40,FALSE)*(1+interactive!$C$7)</f>
        <v>4.594928662610155E-3</v>
      </c>
      <c r="AO303">
        <f>VLOOKUP($A303,raw[],41,FALSE)*(1+interactive!$C$7)</f>
        <v>6.858961155307027E-3</v>
      </c>
      <c r="AP303">
        <f>VLOOKUP($A303,raw[],42,FALSE)*(1+interactive!$C$7)</f>
        <v>1.059687926958783E-2</v>
      </c>
      <c r="AQ303">
        <f>VLOOKUP($A303,raw[],43,FALSE)*(1+interactive!$C$7)</f>
        <v>1.6376748179812075E-2</v>
      </c>
      <c r="AR303">
        <f>VLOOKUP($A303,raw[],44,FALSE)*(1+interactive!$C$7)</f>
        <v>2.5030467272620469E-2</v>
      </c>
      <c r="AS303">
        <f>VLOOKUP($A303,raw[],45,FALSE)*(1+interactive!$C$7)</f>
        <v>3.7610188834164678E-2</v>
      </c>
      <c r="AT303">
        <f>VLOOKUP($A303,raw[],46,FALSE)*(1+interactive!$C$7)</f>
        <v>5.8842619160951681E-2</v>
      </c>
      <c r="AU303">
        <f>VLOOKUP($A303,raw[],47,FALSE)*(1+interactive!$C$7)</f>
        <v>9.1978856263772724E-2</v>
      </c>
      <c r="AV303">
        <f>VLOOKUP($A303,raw[],48,FALSE)*(1+interactive!$C$7)</f>
        <v>0.10916242875421556</v>
      </c>
      <c r="AW303">
        <f>VLOOKUP($A303,raw[],49,FALSE)*(1+interactive!$C$7)</f>
        <v>0.16016280300682081</v>
      </c>
      <c r="AX303">
        <f>VLOOKUP($A303,raw[],50,FALSE)*(1+interactive!$C$7)</f>
        <v>80.872050000000002</v>
      </c>
    </row>
    <row r="304" spans="1:50" x14ac:dyDescent="0.25">
      <c r="A304" s="53" t="s">
        <v>275</v>
      </c>
      <c r="B304" s="54" t="s">
        <v>276</v>
      </c>
      <c r="C304" s="54">
        <v>174</v>
      </c>
      <c r="D304" s="54" t="s">
        <v>207</v>
      </c>
      <c r="E304" s="54" t="s">
        <v>255</v>
      </c>
      <c r="F304" s="54" t="s">
        <v>211</v>
      </c>
      <c r="G304" s="54" t="s">
        <v>212</v>
      </c>
      <c r="J304">
        <f>MIN(VLOOKUP($A304,raw[],10,FALSE)*(1+interactive!$C$7),0.999)</f>
        <v>0.79904999999999993</v>
      </c>
      <c r="K304">
        <f>MIN(VLOOKUP($A304,raw[],11,FALSE)*(1+interactive!$C$7),0.999)</f>
        <v>0</v>
      </c>
      <c r="L304">
        <f>MIN(VLOOKUP($A304,raw[],12,FALSE)*(1+interactive!$C$7),0.999)</f>
        <v>0.91349999999999998</v>
      </c>
      <c r="M304">
        <v>0.22589999999999999</v>
      </c>
      <c r="N304">
        <f>IFERROR(VLOOKUP($A304,[2]!hbe_prev[#Data],5,FALSE),0)</f>
        <v>0.39960000000000001</v>
      </c>
      <c r="O304">
        <f>VLOOKUP($F304,[2]!hbe_risk[#All],4,FALSE)</f>
        <v>0.74399999999999999</v>
      </c>
      <c r="P304">
        <f>VLOOKUP($F304,[2]!hbe_risk[#All],7,FALSE)</f>
        <v>0.13300000000000001</v>
      </c>
      <c r="Q304">
        <v>7.8478114044350598</v>
      </c>
      <c r="R304">
        <v>116.83361140443508</v>
      </c>
      <c r="S304">
        <v>149.49070608305419</v>
      </c>
      <c r="T304">
        <v>151.27959373287246</v>
      </c>
      <c r="U304">
        <v>150.45817433634375</v>
      </c>
      <c r="V304">
        <v>10.104500260650973</v>
      </c>
      <c r="W304">
        <v>15.176000260650973</v>
      </c>
      <c r="X304">
        <v>10.088569316221227</v>
      </c>
      <c r="Y304">
        <v>15.160069316221227</v>
      </c>
      <c r="Z304">
        <v>15.150985420351645</v>
      </c>
      <c r="AA304">
        <v>10.108176632442454</v>
      </c>
      <c r="AB304">
        <v>15.179676632442455</v>
      </c>
      <c r="AC304">
        <f>VLOOKUP($A304,raw[],29,FALSE)*(1+interactive!$C$7)</f>
        <v>5.5773459000000018E-2</v>
      </c>
      <c r="AD304">
        <f>VLOOKUP($A304,raw[],30,FALSE)*(1+interactive!$C$7)</f>
        <v>4.6969909157253227E-3</v>
      </c>
      <c r="AE304">
        <f>VLOOKUP($A304,raw[],31,FALSE)*(1+interactive!$C$7)</f>
        <v>1.4363668813447705E-3</v>
      </c>
      <c r="AF304">
        <f>VLOOKUP($A304,raw[],32,FALSE)*(1+interactive!$C$7)</f>
        <v>1.1268248616282093E-3</v>
      </c>
      <c r="AG304">
        <f>VLOOKUP($A304,raw[],33,FALSE)*(1+interactive!$C$7)</f>
        <v>1.8076827063667935E-3</v>
      </c>
      <c r="AH304">
        <f>VLOOKUP($A304,raw[],34,FALSE)*(1+interactive!$C$7)</f>
        <v>2.5172680684390114E-3</v>
      </c>
      <c r="AI304">
        <f>VLOOKUP($A304,raw[],35,FALSE)*(1+interactive!$C$7)</f>
        <v>2.744678616521994E-3</v>
      </c>
      <c r="AJ304">
        <f>VLOOKUP($A304,raw[],36,FALSE)*(1+interactive!$C$7)</f>
        <v>3.1435774718896561E-3</v>
      </c>
      <c r="AK304">
        <f>VLOOKUP($A304,raw[],37,FALSE)*(1+interactive!$C$7)</f>
        <v>3.8829291089565216E-3</v>
      </c>
      <c r="AL304">
        <f>VLOOKUP($A304,raw[],38,FALSE)*(1+interactive!$C$7)</f>
        <v>5.1025802128150111E-3</v>
      </c>
      <c r="AM304">
        <f>VLOOKUP($A304,raw[],39,FALSE)*(1+interactive!$C$7)</f>
        <v>7.1027528541279181E-3</v>
      </c>
      <c r="AN304">
        <f>VLOOKUP($A304,raw[],40,FALSE)*(1+interactive!$C$7)</f>
        <v>1.0301257657844396E-2</v>
      </c>
      <c r="AO304">
        <f>VLOOKUP($A304,raw[],41,FALSE)*(1+interactive!$C$7)</f>
        <v>1.512486332996967E-2</v>
      </c>
      <c r="AP304">
        <f>VLOOKUP($A304,raw[],42,FALSE)*(1+interactive!$C$7)</f>
        <v>2.2766690201277775E-2</v>
      </c>
      <c r="AQ304">
        <f>VLOOKUP($A304,raw[],43,FALSE)*(1+interactive!$C$7)</f>
        <v>3.4354550882199318E-2</v>
      </c>
      <c r="AR304">
        <f>VLOOKUP($A304,raw[],44,FALSE)*(1+interactive!$C$7)</f>
        <v>5.2271147595953742E-2</v>
      </c>
      <c r="AS304">
        <f>VLOOKUP($A304,raw[],45,FALSE)*(1+interactive!$C$7)</f>
        <v>7.755237884289469E-2</v>
      </c>
      <c r="AT304">
        <f>VLOOKUP($A304,raw[],46,FALSE)*(1+interactive!$C$7)</f>
        <v>0.1100893846024886</v>
      </c>
      <c r="AU304">
        <f>VLOOKUP($A304,raw[],47,FALSE)*(1+interactive!$C$7)</f>
        <v>0.1439812423464415</v>
      </c>
      <c r="AV304">
        <f>VLOOKUP($A304,raw[],48,FALSE)*(1+interactive!$C$7)</f>
        <v>0.17126360738678251</v>
      </c>
      <c r="AW304">
        <f>VLOOKUP($A304,raw[],49,FALSE)*(1+interactive!$C$7)</f>
        <v>0.18867871843907949</v>
      </c>
      <c r="AX304">
        <f>VLOOKUP($A304,raw[],50,FALSE)*(1+interactive!$C$7)</f>
        <v>67.182149999999993</v>
      </c>
    </row>
    <row r="305" spans="1:50" x14ac:dyDescent="0.25">
      <c r="A305" s="55" t="s">
        <v>277</v>
      </c>
      <c r="B305" s="56" t="s">
        <v>278</v>
      </c>
      <c r="C305" s="56">
        <v>180</v>
      </c>
      <c r="D305" s="56" t="s">
        <v>207</v>
      </c>
      <c r="E305" s="56" t="s">
        <v>210</v>
      </c>
      <c r="F305" s="56" t="s">
        <v>211</v>
      </c>
      <c r="G305" s="56" t="s">
        <v>198</v>
      </c>
      <c r="J305">
        <f>MIN(VLOOKUP($A305,raw[],10,FALSE)*(1+interactive!$C$7),0.999)</f>
        <v>0.85575000000000001</v>
      </c>
      <c r="K305">
        <f>MIN(VLOOKUP($A305,raw[],11,FALSE)*(1+interactive!$C$7),0.999)</f>
        <v>0</v>
      </c>
      <c r="L305">
        <f>MIN(VLOOKUP($A305,raw[],12,FALSE)*(1+interactive!$C$7),0.999)</f>
        <v>0.59849999999999992</v>
      </c>
      <c r="M305">
        <v>0.1318</v>
      </c>
      <c r="N305">
        <f>IFERROR(VLOOKUP($A305,[2]!hbe_prev[#Data],5,FALSE),0)</f>
        <v>0.40200000000000002</v>
      </c>
      <c r="O305">
        <f>VLOOKUP($F305,[2]!hbe_risk[#All],4,FALSE)</f>
        <v>0.74399999999999999</v>
      </c>
      <c r="P305">
        <f>VLOOKUP($F305,[2]!hbe_risk[#All],7,FALSE)</f>
        <v>0.13300000000000001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2.5653230237214393</v>
      </c>
      <c r="W305">
        <v>7.6368230237214396</v>
      </c>
      <c r="X305">
        <v>2.5564735992945873</v>
      </c>
      <c r="Y305">
        <v>7.6279735992945881</v>
      </c>
      <c r="Z305">
        <v>7.6232937791737925</v>
      </c>
      <c r="AA305">
        <v>2.5673651985891746</v>
      </c>
      <c r="AB305">
        <v>7.6388651985891745</v>
      </c>
      <c r="AC305">
        <f>VLOOKUP($A305,raw[],29,FALSE)*(1+interactive!$C$7)</f>
        <v>6.8179145999999941E-2</v>
      </c>
      <c r="AD305">
        <f>VLOOKUP($A305,raw[],30,FALSE)*(1+interactive!$C$7)</f>
        <v>9.9809530591311122E-3</v>
      </c>
      <c r="AE305">
        <f>VLOOKUP($A305,raw[],31,FALSE)*(1+interactive!$C$7)</f>
        <v>3.6131285870006297E-3</v>
      </c>
      <c r="AF305">
        <f>VLOOKUP($A305,raw[],32,FALSE)*(1+interactive!$C$7)</f>
        <v>2.1347073568982258E-3</v>
      </c>
      <c r="AG305">
        <f>VLOOKUP($A305,raw[],33,FALSE)*(1+interactive!$C$7)</f>
        <v>2.8557623331473964E-3</v>
      </c>
      <c r="AH305">
        <f>VLOOKUP($A305,raw[],34,FALSE)*(1+interactive!$C$7)</f>
        <v>3.8467359351907621E-3</v>
      </c>
      <c r="AI305">
        <f>VLOOKUP($A305,raw[],35,FALSE)*(1+interactive!$C$7)</f>
        <v>4.2138562223496675E-3</v>
      </c>
      <c r="AJ305">
        <f>VLOOKUP($A305,raw[],36,FALSE)*(1+interactive!$C$7)</f>
        <v>4.6267852367904211E-3</v>
      </c>
      <c r="AK305">
        <f>VLOOKUP($A305,raw[],37,FALSE)*(1+interactive!$C$7)</f>
        <v>5.2382755358250412E-3</v>
      </c>
      <c r="AL305">
        <f>VLOOKUP($A305,raw[],38,FALSE)*(1+interactive!$C$7)</f>
        <v>6.4208911195776375E-3</v>
      </c>
      <c r="AM305">
        <f>VLOOKUP($A305,raw[],39,FALSE)*(1+interactive!$C$7)</f>
        <v>7.7283181586088115E-3</v>
      </c>
      <c r="AN305">
        <f>VLOOKUP($A305,raw[],40,FALSE)*(1+interactive!$C$7)</f>
        <v>1.0645845397185893E-2</v>
      </c>
      <c r="AO305">
        <f>VLOOKUP($A305,raw[],41,FALSE)*(1+interactive!$C$7)</f>
        <v>1.4113132619577695E-2</v>
      </c>
      <c r="AP305">
        <f>VLOOKUP($A305,raw[],42,FALSE)*(1+interactive!$C$7)</f>
        <v>2.103716336586222E-2</v>
      </c>
      <c r="AQ305">
        <f>VLOOKUP($A305,raw[],43,FALSE)*(1+interactive!$C$7)</f>
        <v>3.1894047538254179E-2</v>
      </c>
      <c r="AR305">
        <f>VLOOKUP($A305,raw[],44,FALSE)*(1+interactive!$C$7)</f>
        <v>4.8670284947360393E-2</v>
      </c>
      <c r="AS305">
        <f>VLOOKUP($A305,raw[],45,FALSE)*(1+interactive!$C$7)</f>
        <v>7.2363064897314422E-2</v>
      </c>
      <c r="AT305">
        <f>VLOOKUP($A305,raw[],46,FALSE)*(1+interactive!$C$7)</f>
        <v>0.10360179250949343</v>
      </c>
      <c r="AU305">
        <f>VLOOKUP($A305,raw[],47,FALSE)*(1+interactive!$C$7)</f>
        <v>0.13721220924006233</v>
      </c>
      <c r="AV305">
        <f>VLOOKUP($A305,raw[],48,FALSE)*(1+interactive!$C$7)</f>
        <v>0.16573935331980036</v>
      </c>
      <c r="AW305">
        <f>VLOOKUP($A305,raw[],49,FALSE)*(1+interactive!$C$7)</f>
        <v>0.1855006038634697</v>
      </c>
      <c r="AX305">
        <f>VLOOKUP($A305,raw[],50,FALSE)*(1+interactive!$C$7)</f>
        <v>63.221550000000001</v>
      </c>
    </row>
    <row r="306" spans="1:50" x14ac:dyDescent="0.25">
      <c r="A306" s="53" t="s">
        <v>279</v>
      </c>
      <c r="B306" s="54" t="s">
        <v>280</v>
      </c>
      <c r="C306" s="54">
        <v>178</v>
      </c>
      <c r="D306" s="54" t="s">
        <v>207</v>
      </c>
      <c r="E306" s="54" t="s">
        <v>210</v>
      </c>
      <c r="F306" s="54" t="s">
        <v>211</v>
      </c>
      <c r="G306" s="54" t="s">
        <v>212</v>
      </c>
      <c r="J306">
        <f>MIN(VLOOKUP($A306,raw[],10,FALSE)*(1+interactive!$C$7),0.999)</f>
        <v>0.9607500000000001</v>
      </c>
      <c r="K306">
        <f>MIN(VLOOKUP($A306,raw[],11,FALSE)*(1+interactive!$C$7),0.999)</f>
        <v>0</v>
      </c>
      <c r="L306">
        <f>MIN(VLOOKUP($A306,raw[],12,FALSE)*(1+interactive!$C$7),0.999)</f>
        <v>0.76649999999999996</v>
      </c>
      <c r="M306">
        <v>0.10929999999999999</v>
      </c>
      <c r="N306">
        <f>IFERROR(VLOOKUP($A306,[2]!hbe_prev[#Data],5,FALSE),0)</f>
        <v>0.40200000000000002</v>
      </c>
      <c r="O306">
        <f>VLOOKUP($F306,[2]!hbe_risk[#All],4,FALSE)</f>
        <v>0.74399999999999999</v>
      </c>
      <c r="P306">
        <f>VLOOKUP($F306,[2]!hbe_risk[#All],7,FALSE)</f>
        <v>0.13300000000000001</v>
      </c>
      <c r="Q306">
        <v>14.656235522318299</v>
      </c>
      <c r="R306">
        <v>123.64203552231831</v>
      </c>
      <c r="S306">
        <v>170.07516865884244</v>
      </c>
      <c r="T306">
        <v>179.03400283764856</v>
      </c>
      <c r="U306">
        <v>174.92029554837106</v>
      </c>
      <c r="V306">
        <v>4.9200499465495957</v>
      </c>
      <c r="W306">
        <v>9.9915499465495969</v>
      </c>
      <c r="X306">
        <v>4.8997376946480529</v>
      </c>
      <c r="Y306">
        <v>9.9712376946480532</v>
      </c>
      <c r="Z306">
        <v>9.9599130466450898</v>
      </c>
      <c r="AA306">
        <v>4.9247373892961059</v>
      </c>
      <c r="AB306">
        <v>9.9962373892961054</v>
      </c>
      <c r="AC306">
        <f>VLOOKUP($A306,raw[],29,FALSE)*(1+interactive!$C$7)</f>
        <v>3.7071310499999947E-2</v>
      </c>
      <c r="AD306">
        <f>VLOOKUP($A306,raw[],30,FALSE)*(1+interactive!$C$7)</f>
        <v>3.3303177311180543E-3</v>
      </c>
      <c r="AE306">
        <f>VLOOKUP($A306,raw[],31,FALSE)*(1+interactive!$C$7)</f>
        <v>1.4125410797627207E-3</v>
      </c>
      <c r="AF306">
        <f>VLOOKUP($A306,raw[],32,FALSE)*(1+interactive!$C$7)</f>
        <v>1.0436199559808867E-3</v>
      </c>
      <c r="AG306">
        <f>VLOOKUP($A306,raw[],33,FALSE)*(1+interactive!$C$7)</f>
        <v>1.7021511230116281E-3</v>
      </c>
      <c r="AH306">
        <f>VLOOKUP($A306,raw[],34,FALSE)*(1+interactive!$C$7)</f>
        <v>2.6877670965000239E-3</v>
      </c>
      <c r="AI306">
        <f>VLOOKUP($A306,raw[],35,FALSE)*(1+interactive!$C$7)</f>
        <v>3.612036369739266E-3</v>
      </c>
      <c r="AJ306">
        <f>VLOOKUP($A306,raw[],36,FALSE)*(1+interactive!$C$7)</f>
        <v>4.5924009199306698E-3</v>
      </c>
      <c r="AK306">
        <f>VLOOKUP($A306,raw[],37,FALSE)*(1+interactive!$C$7)</f>
        <v>5.9602219503795502E-3</v>
      </c>
      <c r="AL306">
        <f>VLOOKUP($A306,raw[],38,FALSE)*(1+interactive!$C$7)</f>
        <v>7.342677538236057E-3</v>
      </c>
      <c r="AM306">
        <f>VLOOKUP($A306,raw[],39,FALSE)*(1+interactive!$C$7)</f>
        <v>9.027285202148138E-3</v>
      </c>
      <c r="AN306">
        <f>VLOOKUP($A306,raw[],40,FALSE)*(1+interactive!$C$7)</f>
        <v>1.2024456605297801E-2</v>
      </c>
      <c r="AO306">
        <f>VLOOKUP($A306,raw[],41,FALSE)*(1+interactive!$C$7)</f>
        <v>1.5559301342286641E-2</v>
      </c>
      <c r="AP306">
        <f>VLOOKUP($A306,raw[],42,FALSE)*(1+interactive!$C$7)</f>
        <v>2.2367405766487377E-2</v>
      </c>
      <c r="AQ306">
        <f>VLOOKUP($A306,raw[],43,FALSE)*(1+interactive!$C$7)</f>
        <v>3.3458601833906948E-2</v>
      </c>
      <c r="AR306">
        <f>VLOOKUP($A306,raw[],44,FALSE)*(1+interactive!$C$7)</f>
        <v>5.0976521067808846E-2</v>
      </c>
      <c r="AS306">
        <f>VLOOKUP($A306,raw[],45,FALSE)*(1+interactive!$C$7)</f>
        <v>7.7035595202035595E-2</v>
      </c>
      <c r="AT306">
        <f>VLOOKUP($A306,raw[],46,FALSE)*(1+interactive!$C$7)</f>
        <v>0.11477758034772892</v>
      </c>
      <c r="AU306">
        <f>VLOOKUP($A306,raw[],47,FALSE)*(1+interactive!$C$7)</f>
        <v>0.15752259566269641</v>
      </c>
      <c r="AV306">
        <f>VLOOKUP($A306,raw[],48,FALSE)*(1+interactive!$C$7)</f>
        <v>0.1901080803334419</v>
      </c>
      <c r="AW306">
        <f>VLOOKUP($A306,raw[],49,FALSE)*(1+interactive!$C$7)</f>
        <v>0.19916726345277219</v>
      </c>
      <c r="AX306">
        <f>VLOOKUP($A306,raw[],50,FALSE)*(1+interactive!$C$7)</f>
        <v>67.364850000000004</v>
      </c>
    </row>
    <row r="307" spans="1:50" x14ac:dyDescent="0.25">
      <c r="A307" s="55" t="s">
        <v>281</v>
      </c>
      <c r="B307" s="56" t="s">
        <v>282</v>
      </c>
      <c r="C307" s="56">
        <v>188</v>
      </c>
      <c r="D307" s="56" t="s">
        <v>215</v>
      </c>
      <c r="E307" s="56" t="s">
        <v>274</v>
      </c>
      <c r="F307" s="56" t="s">
        <v>217</v>
      </c>
      <c r="G307" s="56" t="s">
        <v>204</v>
      </c>
      <c r="J307">
        <f>MIN(VLOOKUP($A307,raw[],10,FALSE)*(1+interactive!$C$7),0.999)</f>
        <v>0.999</v>
      </c>
      <c r="K307">
        <f>MIN(VLOOKUP($A307,raw[],11,FALSE)*(1+interactive!$C$7),0.999)</f>
        <v>0.91349999999999998</v>
      </c>
      <c r="L307">
        <f>MIN(VLOOKUP($A307,raw[],12,FALSE)*(1+interactive!$C$7),0.999)</f>
        <v>0.999</v>
      </c>
      <c r="M307">
        <v>7.3000000000000001E-3</v>
      </c>
      <c r="N307">
        <f>IFERROR(VLOOKUP($A307,[2]!hbe_prev[#Data],5,FALSE),0)</f>
        <v>0.42950000000000005</v>
      </c>
      <c r="O307">
        <f>VLOOKUP($F307,[2]!hbe_risk[#All],4,FALSE)</f>
        <v>0.9</v>
      </c>
      <c r="P307">
        <f>VLOOKUP($F307,[2]!hbe_risk[#All],7,FALSE)</f>
        <v>0.3</v>
      </c>
      <c r="Q307">
        <v>35.200565954514104</v>
      </c>
      <c r="R307">
        <v>144.18636595451409</v>
      </c>
      <c r="S307">
        <v>249.29303572907432</v>
      </c>
      <c r="T307">
        <v>288.78939502054664</v>
      </c>
      <c r="U307">
        <v>270.65350168058251</v>
      </c>
      <c r="V307">
        <v>14.150240391278899</v>
      </c>
      <c r="W307">
        <v>14.1712403912789</v>
      </c>
      <c r="X307">
        <v>14.076275595188358</v>
      </c>
      <c r="Y307">
        <v>14.097275595188359</v>
      </c>
      <c r="Z307">
        <v>14.054955303706629</v>
      </c>
      <c r="AA307">
        <v>14.167309190376717</v>
      </c>
      <c r="AB307">
        <v>14.188309190376717</v>
      </c>
      <c r="AC307">
        <f>VLOOKUP($A307,raw[],29,FALSE)*(1+interactive!$C$7)</f>
        <v>7.6840364999999442E-3</v>
      </c>
      <c r="AD307">
        <f>VLOOKUP($A307,raw[],30,FALSE)*(1+interactive!$C$7)</f>
        <v>4.8449547587691024E-4</v>
      </c>
      <c r="AE307">
        <f>VLOOKUP($A307,raw[],31,FALSE)*(1+interactive!$C$7)</f>
        <v>1.9864859824144407E-4</v>
      </c>
      <c r="AF307">
        <f>VLOOKUP($A307,raw[],32,FALSE)*(1+interactive!$C$7)</f>
        <v>2.6494374921401566E-4</v>
      </c>
      <c r="AG307">
        <f>VLOOKUP($A307,raw[],33,FALSE)*(1+interactive!$C$7)</f>
        <v>5.47810767724522E-4</v>
      </c>
      <c r="AH307">
        <f>VLOOKUP($A307,raw[],34,FALSE)*(1+interactive!$C$7)</f>
        <v>8.3040647949385825E-4</v>
      </c>
      <c r="AI307">
        <f>VLOOKUP($A307,raw[],35,FALSE)*(1+interactive!$C$7)</f>
        <v>9.6546940223510367E-4</v>
      </c>
      <c r="AJ307">
        <f>VLOOKUP($A307,raw[],36,FALSE)*(1+interactive!$C$7)</f>
        <v>1.1399615311745647E-3</v>
      </c>
      <c r="AK307">
        <f>VLOOKUP($A307,raw[],37,FALSE)*(1+interactive!$C$7)</f>
        <v>1.3985603515726487E-3</v>
      </c>
      <c r="AL307">
        <f>VLOOKUP($A307,raw[],38,FALSE)*(1+interactive!$C$7)</f>
        <v>1.8358241104170759E-3</v>
      </c>
      <c r="AM307">
        <f>VLOOKUP($A307,raw[],39,FALSE)*(1+interactive!$C$7)</f>
        <v>2.5921710105203891E-3</v>
      </c>
      <c r="AN307">
        <f>VLOOKUP($A307,raw[],40,FALSE)*(1+interactive!$C$7)</f>
        <v>3.8003885665016837E-3</v>
      </c>
      <c r="AO307">
        <f>VLOOKUP($A307,raw[],41,FALSE)*(1+interactive!$C$7)</f>
        <v>5.7656491555989819E-3</v>
      </c>
      <c r="AP307">
        <f>VLOOKUP($A307,raw[],42,FALSE)*(1+interactive!$C$7)</f>
        <v>8.879850796448624E-3</v>
      </c>
      <c r="AQ307">
        <f>VLOOKUP($A307,raw[],43,FALSE)*(1+interactive!$C$7)</f>
        <v>1.3904015770322384E-2</v>
      </c>
      <c r="AR307">
        <f>VLOOKUP($A307,raw[],44,FALSE)*(1+interactive!$C$7)</f>
        <v>2.1510604932386289E-2</v>
      </c>
      <c r="AS307">
        <f>VLOOKUP($A307,raw[],45,FALSE)*(1+interactive!$C$7)</f>
        <v>3.4097894881394059E-2</v>
      </c>
      <c r="AT307">
        <f>VLOOKUP($A307,raw[],46,FALSE)*(1+interactive!$C$7)</f>
        <v>5.2973451743123331E-2</v>
      </c>
      <c r="AU307">
        <f>VLOOKUP($A307,raw[],47,FALSE)*(1+interactive!$C$7)</f>
        <v>7.8864980847786398E-2</v>
      </c>
      <c r="AV307">
        <f>VLOOKUP($A307,raw[],48,FALSE)*(1+interactive!$C$7)</f>
        <v>0.1119692505070348</v>
      </c>
      <c r="AW307">
        <f>VLOOKUP($A307,raw[],49,FALSE)*(1+interactive!$C$7)</f>
        <v>0.14876225985532948</v>
      </c>
      <c r="AX307">
        <f>VLOOKUP($A307,raw[],50,FALSE)*(1+interactive!$C$7)</f>
        <v>84.003150000000005</v>
      </c>
    </row>
    <row r="308" spans="1:50" x14ac:dyDescent="0.25">
      <c r="A308" s="53" t="s">
        <v>283</v>
      </c>
      <c r="B308" s="54" t="s">
        <v>284</v>
      </c>
      <c r="C308" s="54">
        <v>384</v>
      </c>
      <c r="D308" s="54" t="s">
        <v>207</v>
      </c>
      <c r="E308" s="54" t="s">
        <v>235</v>
      </c>
      <c r="F308" s="54" t="s">
        <v>211</v>
      </c>
      <c r="G308" s="54" t="s">
        <v>212</v>
      </c>
      <c r="J308">
        <f>MIN(VLOOKUP($A308,raw[],10,FALSE)*(1+interactive!$C$7),0.999)</f>
        <v>0.7329</v>
      </c>
      <c r="K308">
        <f>MIN(VLOOKUP($A308,raw[],11,FALSE)*(1+interactive!$C$7),0.999)</f>
        <v>0.65100000000000002</v>
      </c>
      <c r="L308">
        <f>MIN(VLOOKUP($A308,raw[],12,FALSE)*(1+interactive!$C$7),0.999)</f>
        <v>0.84000000000000008</v>
      </c>
      <c r="M308">
        <v>0.1182</v>
      </c>
      <c r="N308">
        <f>IFERROR(VLOOKUP($A308,[2]!hbe_prev[#Data],5,FALSE),0)</f>
        <v>0.41070000000000001</v>
      </c>
      <c r="O308">
        <f>VLOOKUP($F308,[2]!hbe_risk[#All],4,FALSE)</f>
        <v>0.74399999999999999</v>
      </c>
      <c r="P308">
        <f>VLOOKUP($F308,[2]!hbe_risk[#All],7,FALSE)</f>
        <v>0.13300000000000001</v>
      </c>
      <c r="Q308">
        <v>8.72911954022989</v>
      </c>
      <c r="R308">
        <v>117.7149195402299</v>
      </c>
      <c r="S308">
        <v>153.08620145333302</v>
      </c>
      <c r="T308">
        <v>156.28772869474193</v>
      </c>
      <c r="U308">
        <v>154.8176550571518</v>
      </c>
      <c r="V308">
        <v>4.2524212244237711</v>
      </c>
      <c r="W308">
        <v>9.3239212244237706</v>
      </c>
      <c r="X308">
        <v>4.2264753651993221</v>
      </c>
      <c r="Y308">
        <v>9.2979753651993224</v>
      </c>
      <c r="Z308">
        <v>9.2832695830001661</v>
      </c>
      <c r="AA308">
        <v>4.258408730398644</v>
      </c>
      <c r="AB308">
        <v>9.3299087303986443</v>
      </c>
      <c r="AC308">
        <f>VLOOKUP($A308,raw[],29,FALSE)*(1+interactive!$C$7)</f>
        <v>6.3482789999999956E-2</v>
      </c>
      <c r="AD308">
        <f>VLOOKUP($A308,raw[],30,FALSE)*(1+interactive!$C$7)</f>
        <v>7.4397056134479587E-3</v>
      </c>
      <c r="AE308">
        <f>VLOOKUP($A308,raw[],31,FALSE)*(1+interactive!$C$7)</f>
        <v>2.7128496503496546E-3</v>
      </c>
      <c r="AF308">
        <f>VLOOKUP($A308,raw[],32,FALSE)*(1+interactive!$C$7)</f>
        <v>1.9529501496306765E-3</v>
      </c>
      <c r="AG308">
        <f>VLOOKUP($A308,raw[],33,FALSE)*(1+interactive!$C$7)</f>
        <v>2.9101681745531552E-3</v>
      </c>
      <c r="AH308">
        <f>VLOOKUP($A308,raw[],34,FALSE)*(1+interactive!$C$7)</f>
        <v>4.3030360554522579E-3</v>
      </c>
      <c r="AI308">
        <f>VLOOKUP($A308,raw[],35,FALSE)*(1+interactive!$C$7)</f>
        <v>5.4897735512845188E-3</v>
      </c>
      <c r="AJ308">
        <f>VLOOKUP($A308,raw[],36,FALSE)*(1+interactive!$C$7)</f>
        <v>6.7332565343040402E-3</v>
      </c>
      <c r="AK308">
        <f>VLOOKUP($A308,raw[],37,FALSE)*(1+interactive!$C$7)</f>
        <v>8.4405343023970982E-3</v>
      </c>
      <c r="AL308">
        <f>VLOOKUP($A308,raw[],38,FALSE)*(1+interactive!$C$7)</f>
        <v>1.0237851914425595E-2</v>
      </c>
      <c r="AM308">
        <f>VLOOKUP($A308,raw[],39,FALSE)*(1+interactive!$C$7)</f>
        <v>1.2317365838045423E-2</v>
      </c>
      <c r="AN308">
        <f>VLOOKUP($A308,raw[],40,FALSE)*(1+interactive!$C$7)</f>
        <v>1.6076492086612638E-2</v>
      </c>
      <c r="AO308">
        <f>VLOOKUP($A308,raw[],41,FALSE)*(1+interactive!$C$7)</f>
        <v>2.0516586185045611E-2</v>
      </c>
      <c r="AP308">
        <f>VLOOKUP($A308,raw[],42,FALSE)*(1+interactive!$C$7)</f>
        <v>2.8908801975983226E-2</v>
      </c>
      <c r="AQ308">
        <f>VLOOKUP($A308,raw[],43,FALSE)*(1+interactive!$C$7)</f>
        <v>4.2057271622457926E-2</v>
      </c>
      <c r="AR308">
        <f>VLOOKUP($A308,raw[],44,FALSE)*(1+interactive!$C$7)</f>
        <v>6.1942564966317351E-2</v>
      </c>
      <c r="AS308">
        <f>VLOOKUP($A308,raw[],45,FALSE)*(1+interactive!$C$7)</f>
        <v>8.9632154075950918E-2</v>
      </c>
      <c r="AT308">
        <f>VLOOKUP($A308,raw[],46,FALSE)*(1+interactive!$C$7)</f>
        <v>0.12672532263895597</v>
      </c>
      <c r="AU308">
        <f>VLOOKUP($A308,raw[],47,FALSE)*(1+interactive!$C$7)</f>
        <v>0.16527496002866171</v>
      </c>
      <c r="AV308">
        <f>VLOOKUP($A308,raw[],48,FALSE)*(1+interactive!$C$7)</f>
        <v>0.19238938460276342</v>
      </c>
      <c r="AW308">
        <f>VLOOKUP($A308,raw[],49,FALSE)*(1+interactive!$C$7)</f>
        <v>0.19904176052197139</v>
      </c>
      <c r="AX308">
        <f>VLOOKUP($A308,raw[],50,FALSE)*(1+interactive!$C$7)</f>
        <v>60.107250000000001</v>
      </c>
    </row>
    <row r="309" spans="1:50" x14ac:dyDescent="0.25">
      <c r="A309" s="55" t="s">
        <v>285</v>
      </c>
      <c r="B309" s="56" t="s">
        <v>286</v>
      </c>
      <c r="C309" s="56">
        <v>192</v>
      </c>
      <c r="D309" s="56" t="s">
        <v>215</v>
      </c>
      <c r="E309" s="56" t="s">
        <v>232</v>
      </c>
      <c r="F309" s="56" t="s">
        <v>217</v>
      </c>
      <c r="G309" s="56" t="s">
        <v>204</v>
      </c>
      <c r="J309">
        <f>MIN(VLOOKUP($A309,raw[],10,FALSE)*(1+interactive!$C$7),0.999)</f>
        <v>0.999</v>
      </c>
      <c r="K309">
        <f>MIN(VLOOKUP($A309,raw[],11,FALSE)*(1+interactive!$C$7),0.999)</f>
        <v>0.999</v>
      </c>
      <c r="L309">
        <f>MIN(VLOOKUP($A309,raw[],12,FALSE)*(1+interactive!$C$7),0.999)</f>
        <v>0.999</v>
      </c>
      <c r="M309">
        <v>1.43E-2</v>
      </c>
      <c r="N309">
        <f>IFERROR(VLOOKUP($A309,[2]!hbe_prev[#Data],5,FALSE),0)</f>
        <v>0.43</v>
      </c>
      <c r="O309">
        <f>VLOOKUP($F309,[2]!hbe_risk[#All],4,FALSE)</f>
        <v>0.9</v>
      </c>
      <c r="P309">
        <f>VLOOKUP($F309,[2]!hbe_risk[#All],7,FALSE)</f>
        <v>0.3</v>
      </c>
      <c r="Q309">
        <v>29.769230135610201</v>
      </c>
      <c r="R309">
        <v>138.75503013561018</v>
      </c>
      <c r="S309">
        <v>210.76558445516983</v>
      </c>
      <c r="T309">
        <v>233.03657239952625</v>
      </c>
      <c r="U309">
        <v>222.81020548419181</v>
      </c>
      <c r="V309">
        <v>11.302318019110631</v>
      </c>
      <c r="W309">
        <v>11.323318019110632</v>
      </c>
      <c r="X309">
        <v>11.24376690709552</v>
      </c>
      <c r="Y309">
        <v>11.26476690709552</v>
      </c>
      <c r="Z309">
        <v>11.230732422022371</v>
      </c>
      <c r="AA309">
        <v>11.315829814191041</v>
      </c>
      <c r="AB309">
        <v>11.336829814191042</v>
      </c>
      <c r="AC309">
        <f>VLOOKUP($A309,raw[],29,FALSE)*(1+interactive!$C$7)</f>
        <v>4.7103104999999482E-3</v>
      </c>
      <c r="AD309">
        <f>VLOOKUP($A309,raw[],30,FALSE)*(1+interactive!$C$7)</f>
        <v>2.8650727449847996E-4</v>
      </c>
      <c r="AE309">
        <f>VLOOKUP($A309,raw[],31,FALSE)*(1+interactive!$C$7)</f>
        <v>1.6861411395299348E-4</v>
      </c>
      <c r="AF309">
        <f>VLOOKUP($A309,raw[],32,FALSE)*(1+interactive!$C$7)</f>
        <v>2.1440256301702491E-4</v>
      </c>
      <c r="AG309">
        <f>VLOOKUP($A309,raw[],33,FALSE)*(1+interactive!$C$7)</f>
        <v>4.4998918613442041E-4</v>
      </c>
      <c r="AH309">
        <f>VLOOKUP($A309,raw[],34,FALSE)*(1+interactive!$C$7)</f>
        <v>6.0250298554991575E-4</v>
      </c>
      <c r="AI309">
        <f>VLOOKUP($A309,raw[],35,FALSE)*(1+interactive!$C$7)</f>
        <v>6.6622155431293511E-4</v>
      </c>
      <c r="AJ309">
        <f>VLOOKUP($A309,raw[],36,FALSE)*(1+interactive!$C$7)</f>
        <v>8.2993635591092723E-4</v>
      </c>
      <c r="AK309">
        <f>VLOOKUP($A309,raw[],37,FALSE)*(1+interactive!$C$7)</f>
        <v>1.1219183717560233E-3</v>
      </c>
      <c r="AL309">
        <f>VLOOKUP($A309,raw[],38,FALSE)*(1+interactive!$C$7)</f>
        <v>1.7829519156825112E-3</v>
      </c>
      <c r="AM309">
        <f>VLOOKUP($A309,raw[],39,FALSE)*(1+interactive!$C$7)</f>
        <v>2.9736073288610366E-3</v>
      </c>
      <c r="AN309">
        <f>VLOOKUP($A309,raw[],40,FALSE)*(1+interactive!$C$7)</f>
        <v>4.7903248563541606E-3</v>
      </c>
      <c r="AO309">
        <f>VLOOKUP($A309,raw[],41,FALSE)*(1+interactive!$C$7)</f>
        <v>7.3860883649489685E-3</v>
      </c>
      <c r="AP309">
        <f>VLOOKUP($A309,raw[],42,FALSE)*(1+interactive!$C$7)</f>
        <v>1.1702067424583684E-2</v>
      </c>
      <c r="AQ309">
        <f>VLOOKUP($A309,raw[],43,FALSE)*(1+interactive!$C$7)</f>
        <v>1.7855114365333158E-2</v>
      </c>
      <c r="AR309">
        <f>VLOOKUP($A309,raw[],44,FALSE)*(1+interactive!$C$7)</f>
        <v>2.6029844089512821E-2</v>
      </c>
      <c r="AS309">
        <f>VLOOKUP($A309,raw[],45,FALSE)*(1+interactive!$C$7)</f>
        <v>3.9446844112182106E-2</v>
      </c>
      <c r="AT309">
        <f>VLOOKUP($A309,raw[],46,FALSE)*(1+interactive!$C$7)</f>
        <v>6.3429264972472962E-2</v>
      </c>
      <c r="AU309">
        <f>VLOOKUP($A309,raw[],47,FALSE)*(1+interactive!$C$7)</f>
        <v>8.9947572057597555E-2</v>
      </c>
      <c r="AV309">
        <f>VLOOKUP($A309,raw[],48,FALSE)*(1+interactive!$C$7)</f>
        <v>0.11956395055577872</v>
      </c>
      <c r="AW309">
        <f>VLOOKUP($A309,raw[],49,FALSE)*(1+interactive!$C$7)</f>
        <v>0.15017008888538708</v>
      </c>
      <c r="AX309">
        <f>VLOOKUP($A309,raw[],50,FALSE)*(1+interactive!$C$7)</f>
        <v>82.619250000000008</v>
      </c>
    </row>
    <row r="310" spans="1:50" x14ac:dyDescent="0.25">
      <c r="A310" s="53" t="s">
        <v>287</v>
      </c>
      <c r="B310" s="54" t="s">
        <v>288</v>
      </c>
      <c r="C310" s="54">
        <v>262</v>
      </c>
      <c r="D310" s="54" t="s">
        <v>196</v>
      </c>
      <c r="E310" s="54" t="s">
        <v>255</v>
      </c>
      <c r="F310" s="54" t="s">
        <v>211</v>
      </c>
      <c r="G310" s="54" t="s">
        <v>212</v>
      </c>
      <c r="J310">
        <f>MIN(VLOOKUP($A310,raw[],10,FALSE)*(1+interactive!$C$7),0.999)</f>
        <v>0.91034999999999999</v>
      </c>
      <c r="K310">
        <f>MIN(VLOOKUP($A310,raw[],11,FALSE)*(1+interactive!$C$7),0.999)</f>
        <v>0.80850000000000011</v>
      </c>
      <c r="L310">
        <f>MIN(VLOOKUP($A310,raw[],12,FALSE)*(1+interactive!$C$7),0.999)</f>
        <v>0.73499999999999999</v>
      </c>
      <c r="M310">
        <v>0.2306</v>
      </c>
      <c r="N310">
        <f>IFERROR(VLOOKUP($A310,[2]!hbe_prev[#Data],5,FALSE),0)</f>
        <v>0.39960000000000001</v>
      </c>
      <c r="O310">
        <f>VLOOKUP($F310,[2]!hbe_risk[#All],4,FALSE)</f>
        <v>0.74399999999999999</v>
      </c>
      <c r="P310">
        <f>VLOOKUP($F310,[2]!hbe_risk[#All],7,FALSE)</f>
        <v>0.13300000000000001</v>
      </c>
      <c r="Q310">
        <v>10.44519447513812</v>
      </c>
      <c r="R310">
        <v>119.43099447513814</v>
      </c>
      <c r="S310">
        <v>156.61268520300644</v>
      </c>
      <c r="T310">
        <v>160.75646695663514</v>
      </c>
      <c r="U310">
        <v>158.85372996375676</v>
      </c>
      <c r="V310">
        <v>8.720964728676849</v>
      </c>
      <c r="W310">
        <v>13.792464728676849</v>
      </c>
      <c r="X310">
        <v>8.6830689537527448</v>
      </c>
      <c r="Y310">
        <v>13.754568953752745</v>
      </c>
      <c r="Z310">
        <v>13.733301956858208</v>
      </c>
      <c r="AA310">
        <v>8.7297099075054891</v>
      </c>
      <c r="AB310">
        <v>13.801209907505489</v>
      </c>
      <c r="AC310">
        <f>VLOOKUP($A310,raw[],29,FALSE)*(1+interactive!$C$7)</f>
        <v>3.5334652500000022E-2</v>
      </c>
      <c r="AD310">
        <f>VLOOKUP($A310,raw[],30,FALSE)*(1+interactive!$C$7)</f>
        <v>4.7551296093710253E-3</v>
      </c>
      <c r="AE310">
        <f>VLOOKUP($A310,raw[],31,FALSE)*(1+interactive!$C$7)</f>
        <v>1.8658947045567841E-3</v>
      </c>
      <c r="AF310">
        <f>VLOOKUP($A310,raw[],32,FALSE)*(1+interactive!$C$7)</f>
        <v>1.2747800671641923E-3</v>
      </c>
      <c r="AG310">
        <f>VLOOKUP($A310,raw[],33,FALSE)*(1+interactive!$C$7)</f>
        <v>1.7032426883974935E-3</v>
      </c>
      <c r="AH310">
        <f>VLOOKUP($A310,raw[],34,FALSE)*(1+interactive!$C$7)</f>
        <v>2.2777213570817183E-3</v>
      </c>
      <c r="AI310">
        <f>VLOOKUP($A310,raw[],35,FALSE)*(1+interactive!$C$7)</f>
        <v>2.7445467096541801E-3</v>
      </c>
      <c r="AJ310">
        <f>VLOOKUP($A310,raw[],36,FALSE)*(1+interactive!$C$7)</f>
        <v>3.463455038555479E-3</v>
      </c>
      <c r="AK310">
        <f>VLOOKUP($A310,raw[],37,FALSE)*(1+interactive!$C$7)</f>
        <v>4.6902182482030279E-3</v>
      </c>
      <c r="AL310">
        <f>VLOOKUP($A310,raw[],38,FALSE)*(1+interactive!$C$7)</f>
        <v>5.7900850229833829E-3</v>
      </c>
      <c r="AM310">
        <f>VLOOKUP($A310,raw[],39,FALSE)*(1+interactive!$C$7)</f>
        <v>6.9502881972931026E-3</v>
      </c>
      <c r="AN310">
        <f>VLOOKUP($A310,raw[],40,FALSE)*(1+interactive!$C$7)</f>
        <v>9.0929701269253631E-3</v>
      </c>
      <c r="AO310">
        <f>VLOOKUP($A310,raw[],41,FALSE)*(1+interactive!$C$7)</f>
        <v>1.1893974390922574E-2</v>
      </c>
      <c r="AP310">
        <f>VLOOKUP($A310,raw[],42,FALSE)*(1+interactive!$C$7)</f>
        <v>1.7926799237069378E-2</v>
      </c>
      <c r="AQ310">
        <f>VLOOKUP($A310,raw[],43,FALSE)*(1+interactive!$C$7)</f>
        <v>2.7643343997271905E-2</v>
      </c>
      <c r="AR310">
        <f>VLOOKUP($A310,raw[],44,FALSE)*(1+interactive!$C$7)</f>
        <v>4.3039174342356788E-2</v>
      </c>
      <c r="AS310">
        <f>VLOOKUP($A310,raw[],45,FALSE)*(1+interactive!$C$7)</f>
        <v>6.5597605741143344E-2</v>
      </c>
      <c r="AT310">
        <f>VLOOKUP($A310,raw[],46,FALSE)*(1+interactive!$C$7)</f>
        <v>9.6274295897434414E-2</v>
      </c>
      <c r="AU310">
        <f>VLOOKUP($A310,raw[],47,FALSE)*(1+interactive!$C$7)</f>
        <v>0.13078924888408708</v>
      </c>
      <c r="AV310">
        <f>VLOOKUP($A310,raw[],48,FALSE)*(1+interactive!$C$7)</f>
        <v>0.16119898153366818</v>
      </c>
      <c r="AW310">
        <f>VLOOKUP($A310,raw[],49,FALSE)*(1+interactive!$C$7)</f>
        <v>0.1832810302423396</v>
      </c>
      <c r="AX310">
        <f>VLOOKUP($A310,raw[],50,FALSE)*(1+interactive!$C$7)</f>
        <v>69.867000000000004</v>
      </c>
    </row>
    <row r="311" spans="1:50" x14ac:dyDescent="0.25">
      <c r="A311" s="55" t="s">
        <v>289</v>
      </c>
      <c r="B311" s="56" t="s">
        <v>290</v>
      </c>
      <c r="C311" s="56">
        <v>212</v>
      </c>
      <c r="D311" s="56" t="s">
        <v>215</v>
      </c>
      <c r="E311" s="56" t="s">
        <v>232</v>
      </c>
      <c r="F311" s="56" t="s">
        <v>217</v>
      </c>
      <c r="G311" s="56" t="s">
        <v>204</v>
      </c>
      <c r="J311">
        <f>MIN(VLOOKUP($A311,raw[],10,FALSE)*(1+interactive!$C$7),0.999)</f>
        <v>0</v>
      </c>
      <c r="K311">
        <f>MIN(VLOOKUP($A311,raw[],11,FALSE)*(1+interactive!$C$7),0.999)</f>
        <v>0.999</v>
      </c>
      <c r="L311">
        <f>MIN(VLOOKUP($A311,raw[],12,FALSE)*(1+interactive!$C$7),0.999)</f>
        <v>0.999</v>
      </c>
      <c r="M311">
        <v>4.3799999999999999E-2</v>
      </c>
      <c r="N311">
        <f>IFERROR(VLOOKUP($A311,[2]!hbe_prev[#Data],5,FALSE),0)</f>
        <v>0</v>
      </c>
      <c r="O311">
        <f>VLOOKUP($F311,[2]!hbe_risk[#All],4,FALSE)</f>
        <v>0.9</v>
      </c>
      <c r="P311">
        <f>VLOOKUP($F311,[2]!hbe_risk[#All],7,FALSE)</f>
        <v>0.3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37.829669622834295</v>
      </c>
      <c r="W311">
        <v>37.850669622834296</v>
      </c>
      <c r="X311">
        <v>37.789729309149955</v>
      </c>
      <c r="Y311">
        <v>37.810729309149956</v>
      </c>
      <c r="Z311">
        <v>37.789673903481209</v>
      </c>
      <c r="AA311">
        <v>37.83888661829991</v>
      </c>
      <c r="AB311">
        <v>37.85988661829991</v>
      </c>
      <c r="AC311">
        <f>VLOOKUP($A311,raw[],29,FALSE)*(1+interactive!$C$7)</f>
        <v>0</v>
      </c>
      <c r="AD311">
        <f>VLOOKUP($A311,raw[],30,FALSE)*(1+interactive!$C$7)</f>
        <v>0</v>
      </c>
      <c r="AE311">
        <f>VLOOKUP($A311,raw[],31,FALSE)*(1+interactive!$C$7)</f>
        <v>0</v>
      </c>
      <c r="AF311">
        <f>VLOOKUP($A311,raw[],32,FALSE)*(1+interactive!$C$7)</f>
        <v>0</v>
      </c>
      <c r="AG311">
        <f>VLOOKUP($A311,raw[],33,FALSE)*(1+interactive!$C$7)</f>
        <v>0</v>
      </c>
      <c r="AH311">
        <f>VLOOKUP($A311,raw[],34,FALSE)*(1+interactive!$C$7)</f>
        <v>0</v>
      </c>
      <c r="AI311">
        <f>VLOOKUP($A311,raw[],35,FALSE)*(1+interactive!$C$7)</f>
        <v>0</v>
      </c>
      <c r="AJ311">
        <f>VLOOKUP($A311,raw[],36,FALSE)*(1+interactive!$C$7)</f>
        <v>0</v>
      </c>
      <c r="AK311">
        <f>VLOOKUP($A311,raw[],37,FALSE)*(1+interactive!$C$7)</f>
        <v>0</v>
      </c>
      <c r="AL311">
        <f>VLOOKUP($A311,raw[],38,FALSE)*(1+interactive!$C$7)</f>
        <v>0</v>
      </c>
      <c r="AM311">
        <f>VLOOKUP($A311,raw[],39,FALSE)*(1+interactive!$C$7)</f>
        <v>0</v>
      </c>
      <c r="AN311">
        <f>VLOOKUP($A311,raw[],40,FALSE)*(1+interactive!$C$7)</f>
        <v>0</v>
      </c>
      <c r="AO311">
        <f>VLOOKUP($A311,raw[],41,FALSE)*(1+interactive!$C$7)</f>
        <v>0</v>
      </c>
      <c r="AP311">
        <f>VLOOKUP($A311,raw[],42,FALSE)*(1+interactive!$C$7)</f>
        <v>0</v>
      </c>
      <c r="AQ311">
        <f>VLOOKUP($A311,raw[],43,FALSE)*(1+interactive!$C$7)</f>
        <v>0</v>
      </c>
      <c r="AR311">
        <f>VLOOKUP($A311,raw[],44,FALSE)*(1+interactive!$C$7)</f>
        <v>0</v>
      </c>
      <c r="AS311">
        <f>VLOOKUP($A311,raw[],45,FALSE)*(1+interactive!$C$7)</f>
        <v>0</v>
      </c>
      <c r="AT311">
        <f>VLOOKUP($A311,raw[],46,FALSE)*(1+interactive!$C$7)</f>
        <v>0</v>
      </c>
      <c r="AU311">
        <f>VLOOKUP($A311,raw[],47,FALSE)*(1+interactive!$C$7)</f>
        <v>0</v>
      </c>
      <c r="AV311">
        <f>VLOOKUP($A311,raw[],48,FALSE)*(1+interactive!$C$7)</f>
        <v>0</v>
      </c>
      <c r="AW311">
        <f>VLOOKUP($A311,raw[],49,FALSE)*(1+interactive!$C$7)</f>
        <v>0</v>
      </c>
      <c r="AX311">
        <f>VLOOKUP($A311,raw[],50,FALSE)*(1+interactive!$C$7)</f>
        <v>0</v>
      </c>
    </row>
    <row r="312" spans="1:50" x14ac:dyDescent="0.25">
      <c r="A312" s="53" t="s">
        <v>291</v>
      </c>
      <c r="B312" s="54" t="s">
        <v>292</v>
      </c>
      <c r="C312" s="54">
        <v>214</v>
      </c>
      <c r="D312" s="54" t="s">
        <v>215</v>
      </c>
      <c r="E312" s="54" t="s">
        <v>232</v>
      </c>
      <c r="F312" s="54" t="s">
        <v>217</v>
      </c>
      <c r="G312" s="54" t="s">
        <v>204</v>
      </c>
      <c r="J312">
        <f>MIN(VLOOKUP($A312,raw[],10,FALSE)*(1+interactive!$C$7),0.999)</f>
        <v>0.999</v>
      </c>
      <c r="K312">
        <f>MIN(VLOOKUP($A312,raw[],11,FALSE)*(1+interactive!$C$7),0.999)</f>
        <v>0.69300000000000006</v>
      </c>
      <c r="L312">
        <f>MIN(VLOOKUP($A312,raw[],12,FALSE)*(1+interactive!$C$7),0.999)</f>
        <v>0.85050000000000014</v>
      </c>
      <c r="M312">
        <v>4.4000000000000004E-2</v>
      </c>
      <c r="N312">
        <f>IFERROR(VLOOKUP($A312,[2]!hbe_prev[#Data],5,FALSE),0)</f>
        <v>0.43</v>
      </c>
      <c r="O312">
        <f>VLOOKUP($F312,[2]!hbe_risk[#All],4,FALSE)</f>
        <v>0.9</v>
      </c>
      <c r="P312">
        <f>VLOOKUP($F312,[2]!hbe_risk[#All],7,FALSE)</f>
        <v>0.3</v>
      </c>
      <c r="Q312">
        <v>22.916467052650599</v>
      </c>
      <c r="R312">
        <v>131.90226705265061</v>
      </c>
      <c r="S312">
        <v>209.08394601129754</v>
      </c>
      <c r="T312">
        <v>234.04632359355909</v>
      </c>
      <c r="U312">
        <v>222.58412744522818</v>
      </c>
      <c r="V312">
        <v>9.9114412478643619</v>
      </c>
      <c r="W312">
        <v>9.9324412478643627</v>
      </c>
      <c r="X312">
        <v>9.8665557229596477</v>
      </c>
      <c r="Y312">
        <v>9.8875557229596485</v>
      </c>
      <c r="Z312">
        <v>9.8614745184646821</v>
      </c>
      <c r="AA312">
        <v>9.9217994459192962</v>
      </c>
      <c r="AB312">
        <v>9.942799445919297</v>
      </c>
      <c r="AC312">
        <f>VLOOKUP($A312,raw[],29,FALSE)*(1+interactive!$C$7)</f>
        <v>2.7156286499999946E-2</v>
      </c>
      <c r="AD312">
        <f>VLOOKUP($A312,raw[],30,FALSE)*(1+interactive!$C$7)</f>
        <v>8.1225328736405158E-4</v>
      </c>
      <c r="AE312">
        <f>VLOOKUP($A312,raw[],31,FALSE)*(1+interactive!$C$7)</f>
        <v>3.9047067795557028E-4</v>
      </c>
      <c r="AF312">
        <f>VLOOKUP($A312,raw[],32,FALSE)*(1+interactive!$C$7)</f>
        <v>3.9130638915606318E-4</v>
      </c>
      <c r="AG312">
        <f>VLOOKUP($A312,raw[],33,FALSE)*(1+interactive!$C$7)</f>
        <v>9.8608178729017227E-4</v>
      </c>
      <c r="AH312">
        <f>VLOOKUP($A312,raw[],34,FALSE)*(1+interactive!$C$7)</f>
        <v>1.7425678837705554E-3</v>
      </c>
      <c r="AI312">
        <f>VLOOKUP($A312,raw[],35,FALSE)*(1+interactive!$C$7)</f>
        <v>2.2040437623105005E-3</v>
      </c>
      <c r="AJ312">
        <f>VLOOKUP($A312,raw[],36,FALSE)*(1+interactive!$C$7)</f>
        <v>2.6871705481480174E-3</v>
      </c>
      <c r="AK312">
        <f>VLOOKUP($A312,raw[],37,FALSE)*(1+interactive!$C$7)</f>
        <v>2.9847787520991226E-3</v>
      </c>
      <c r="AL312">
        <f>VLOOKUP($A312,raw[],38,FALSE)*(1+interactive!$C$7)</f>
        <v>3.7500411862322162E-3</v>
      </c>
      <c r="AM312">
        <f>VLOOKUP($A312,raw[],39,FALSE)*(1+interactive!$C$7)</f>
        <v>5.0038463465409914E-3</v>
      </c>
      <c r="AN312">
        <f>VLOOKUP($A312,raw[],40,FALSE)*(1+interactive!$C$7)</f>
        <v>6.6241016614006967E-3</v>
      </c>
      <c r="AO312">
        <f>VLOOKUP($A312,raw[],41,FALSE)*(1+interactive!$C$7)</f>
        <v>9.6066629240124084E-3</v>
      </c>
      <c r="AP312">
        <f>VLOOKUP($A312,raw[],42,FALSE)*(1+interactive!$C$7)</f>
        <v>1.4171404144453878E-2</v>
      </c>
      <c r="AQ312">
        <f>VLOOKUP($A312,raw[],43,FALSE)*(1+interactive!$C$7)</f>
        <v>2.0859036833784282E-2</v>
      </c>
      <c r="AR312">
        <f>VLOOKUP($A312,raw[],44,FALSE)*(1+interactive!$C$7)</f>
        <v>3.0246212685517852E-2</v>
      </c>
      <c r="AS312">
        <f>VLOOKUP($A312,raw[],45,FALSE)*(1+interactive!$C$7)</f>
        <v>4.3860022794586513E-2</v>
      </c>
      <c r="AT312">
        <f>VLOOKUP($A312,raw[],46,FALSE)*(1+interactive!$C$7)</f>
        <v>6.0637465725273842E-2</v>
      </c>
      <c r="AU312">
        <f>VLOOKUP($A312,raw[],47,FALSE)*(1+interactive!$C$7)</f>
        <v>8.0014745456791062E-2</v>
      </c>
      <c r="AV312">
        <f>VLOOKUP($A312,raw[],48,FALSE)*(1+interactive!$C$7)</f>
        <v>0.10064475645029461</v>
      </c>
      <c r="AW312">
        <f>VLOOKUP($A312,raw[],49,FALSE)*(1+interactive!$C$7)</f>
        <v>0.12096311876246614</v>
      </c>
      <c r="AX312">
        <f>VLOOKUP($A312,raw[],50,FALSE)*(1+interactive!$C$7)</f>
        <v>77.501550000000009</v>
      </c>
    </row>
    <row r="313" spans="1:50" x14ac:dyDescent="0.25">
      <c r="A313" s="55" t="s">
        <v>293</v>
      </c>
      <c r="B313" s="56" t="s">
        <v>294</v>
      </c>
      <c r="C313" s="56">
        <v>218</v>
      </c>
      <c r="D313" s="56" t="s">
        <v>215</v>
      </c>
      <c r="E313" s="56" t="s">
        <v>240</v>
      </c>
      <c r="F313" s="56" t="s">
        <v>217</v>
      </c>
      <c r="G313" s="56" t="s">
        <v>204</v>
      </c>
      <c r="J313">
        <f>MIN(VLOOKUP($A313,raw[],10,FALSE)*(1+interactive!$C$7),0.999)</f>
        <v>0.97965000000000002</v>
      </c>
      <c r="K313">
        <f>MIN(VLOOKUP($A313,raw[],11,FALSE)*(1+interactive!$C$7),0.999)</f>
        <v>0.65100000000000002</v>
      </c>
      <c r="L313">
        <f>MIN(VLOOKUP($A313,raw[],12,FALSE)*(1+interactive!$C$7),0.999)</f>
        <v>0.73499999999999999</v>
      </c>
      <c r="M313">
        <v>4.9200000000000001E-2</v>
      </c>
      <c r="N313">
        <f>IFERROR(VLOOKUP($A313,[2]!hbe_prev[#Data],5,FALSE),0)</f>
        <v>0.43020000000000003</v>
      </c>
      <c r="O313">
        <f>VLOOKUP($F313,[2]!hbe_risk[#All],4,FALSE)</f>
        <v>0.9</v>
      </c>
      <c r="P313">
        <f>VLOOKUP($F313,[2]!hbe_risk[#All],7,FALSE)</f>
        <v>0.3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7.197394306171109</v>
      </c>
      <c r="W313">
        <v>7.2183943061711089</v>
      </c>
      <c r="X313">
        <v>7.1633485137495772</v>
      </c>
      <c r="Y313">
        <v>7.1843485137495771</v>
      </c>
      <c r="Z313">
        <v>7.1649166990723439</v>
      </c>
      <c r="AA313">
        <v>7.2052510274991555</v>
      </c>
      <c r="AB313">
        <v>7.2262510274991554</v>
      </c>
      <c r="AC313">
        <f>VLOOKUP($A313,raw[],29,FALSE)*(1+interactive!$C$7)</f>
        <v>1.428419999999994E-2</v>
      </c>
      <c r="AD313">
        <f>VLOOKUP($A313,raw[],30,FALSE)*(1+interactive!$C$7)</f>
        <v>7.2205356672168429E-4</v>
      </c>
      <c r="AE313">
        <f>VLOOKUP($A313,raw[],31,FALSE)*(1+interactive!$C$7)</f>
        <v>4.133893820277855E-4</v>
      </c>
      <c r="AF313">
        <f>VLOOKUP($A313,raw[],32,FALSE)*(1+interactive!$C$7)</f>
        <v>5.2002974617661971E-4</v>
      </c>
      <c r="AG313">
        <f>VLOOKUP($A313,raw[],33,FALSE)*(1+interactive!$C$7)</f>
        <v>1.0807316063231292E-3</v>
      </c>
      <c r="AH313">
        <f>VLOOKUP($A313,raw[],34,FALSE)*(1+interactive!$C$7)</f>
        <v>1.7032050036944414E-3</v>
      </c>
      <c r="AI313">
        <f>VLOOKUP($A313,raw[],35,FALSE)*(1+interactive!$C$7)</f>
        <v>2.0485036913162062E-3</v>
      </c>
      <c r="AJ313">
        <f>VLOOKUP($A313,raw[],36,FALSE)*(1+interactive!$C$7)</f>
        <v>2.1255970682588798E-3</v>
      </c>
      <c r="AK313">
        <f>VLOOKUP($A313,raw[],37,FALSE)*(1+interactive!$C$7)</f>
        <v>2.2768445375733145E-3</v>
      </c>
      <c r="AL313">
        <f>VLOOKUP($A313,raw[],38,FALSE)*(1+interactive!$C$7)</f>
        <v>2.84626015544155E-3</v>
      </c>
      <c r="AM313">
        <f>VLOOKUP($A313,raw[],39,FALSE)*(1+interactive!$C$7)</f>
        <v>3.6232942825225943E-3</v>
      </c>
      <c r="AN313">
        <f>VLOOKUP($A313,raw[],40,FALSE)*(1+interactive!$C$7)</f>
        <v>5.281412038155288E-3</v>
      </c>
      <c r="AO313">
        <f>VLOOKUP($A313,raw[],41,FALSE)*(1+interactive!$C$7)</f>
        <v>7.201212862297671E-3</v>
      </c>
      <c r="AP313">
        <f>VLOOKUP($A313,raw[],42,FALSE)*(1+interactive!$C$7)</f>
        <v>1.0470697422218135E-2</v>
      </c>
      <c r="AQ313">
        <f>VLOOKUP($A313,raw[],43,FALSE)*(1+interactive!$C$7)</f>
        <v>1.4680739461354821E-2</v>
      </c>
      <c r="AR313">
        <f>VLOOKUP($A313,raw[],44,FALSE)*(1+interactive!$C$7)</f>
        <v>2.3956681473236725E-2</v>
      </c>
      <c r="AS313">
        <f>VLOOKUP($A313,raw[],45,FALSE)*(1+interactive!$C$7)</f>
        <v>3.8348397163032455E-2</v>
      </c>
      <c r="AT313">
        <f>VLOOKUP($A313,raw[],46,FALSE)*(1+interactive!$C$7)</f>
        <v>5.8721609166823716E-2</v>
      </c>
      <c r="AU313">
        <f>VLOOKUP($A313,raw[],47,FALSE)*(1+interactive!$C$7)</f>
        <v>8.9383277352656554E-2</v>
      </c>
      <c r="AV313">
        <f>VLOOKUP($A313,raw[],48,FALSE)*(1+interactive!$C$7)</f>
        <v>0.11446772273272936</v>
      </c>
      <c r="AW313">
        <f>VLOOKUP($A313,raw[],49,FALSE)*(1+interactive!$C$7)</f>
        <v>0.14670558266820294</v>
      </c>
      <c r="AX313">
        <f>VLOOKUP($A313,raw[],50,FALSE)*(1+interactive!$C$7)</f>
        <v>80.537099999999995</v>
      </c>
    </row>
    <row r="314" spans="1:50" x14ac:dyDescent="0.25">
      <c r="A314" s="53" t="s">
        <v>295</v>
      </c>
      <c r="B314" s="54" t="s">
        <v>296</v>
      </c>
      <c r="C314" s="54">
        <v>818</v>
      </c>
      <c r="D314" s="54" t="s">
        <v>196</v>
      </c>
      <c r="E314" s="54" t="s">
        <v>197</v>
      </c>
      <c r="F314" s="54" t="s">
        <v>197</v>
      </c>
      <c r="G314" s="54" t="s">
        <v>212</v>
      </c>
      <c r="J314">
        <f>MIN(VLOOKUP($A314,raw[],10,FALSE)*(1+interactive!$C$7),0.999)</f>
        <v>0.91034999999999999</v>
      </c>
      <c r="K314">
        <f>MIN(VLOOKUP($A314,raw[],11,FALSE)*(1+interactive!$C$7),0.999)</f>
        <v>0.96600000000000008</v>
      </c>
      <c r="L314">
        <f>MIN(VLOOKUP($A314,raw[],12,FALSE)*(1+interactive!$C$7),0.999)</f>
        <v>0.98699999999999999</v>
      </c>
      <c r="M314">
        <v>1.7299999999999999E-2</v>
      </c>
      <c r="N314">
        <f>IFERROR(VLOOKUP($A314,[2]!hbe_prev[#Data],5,FALSE),0)</f>
        <v>0.37619999999999998</v>
      </c>
      <c r="O314">
        <f>VLOOKUP($F314,[2]!hbe_risk[#All],4,FALSE)</f>
        <v>0.9</v>
      </c>
      <c r="P314">
        <f>VLOOKUP($F314,[2]!hbe_risk[#All],7,FALSE)</f>
        <v>0.3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5.3330294902285749</v>
      </c>
      <c r="W314">
        <v>5.8370294902285753</v>
      </c>
      <c r="X314">
        <v>5.2939059946088687</v>
      </c>
      <c r="Y314">
        <v>5.7979059946088682</v>
      </c>
      <c r="Z314">
        <v>5.7761925691941567</v>
      </c>
      <c r="AA314">
        <v>5.3420579892177376</v>
      </c>
      <c r="AB314">
        <v>5.8460579892177371</v>
      </c>
      <c r="AC314">
        <f>VLOOKUP($A314,raw[],29,FALSE)*(1+interactive!$C$7)</f>
        <v>1.638315000000003E-2</v>
      </c>
      <c r="AD314">
        <f>VLOOKUP($A314,raw[],30,FALSE)*(1+interactive!$C$7)</f>
        <v>1.1528382349803813E-3</v>
      </c>
      <c r="AE314">
        <f>VLOOKUP($A314,raw[],31,FALSE)*(1+interactive!$C$7)</f>
        <v>4.2213251378143171E-4</v>
      </c>
      <c r="AF314">
        <f>VLOOKUP($A314,raw[],32,FALSE)*(1+interactive!$C$7)</f>
        <v>3.5409375730175482E-4</v>
      </c>
      <c r="AG314">
        <f>VLOOKUP($A314,raw[],33,FALSE)*(1+interactive!$C$7)</f>
        <v>5.1395302199563789E-4</v>
      </c>
      <c r="AH314">
        <f>VLOOKUP($A314,raw[],34,FALSE)*(1+interactive!$C$7)</f>
        <v>7.7133442836673719E-4</v>
      </c>
      <c r="AI314">
        <f>VLOOKUP($A314,raw[],35,FALSE)*(1+interactive!$C$7)</f>
        <v>9.52025843440297E-4</v>
      </c>
      <c r="AJ314">
        <f>VLOOKUP($A314,raw[],36,FALSE)*(1+interactive!$C$7)</f>
        <v>1.2549258103742853E-3</v>
      </c>
      <c r="AK314">
        <f>VLOOKUP($A314,raw[],37,FALSE)*(1+interactive!$C$7)</f>
        <v>1.5123277640267806E-3</v>
      </c>
      <c r="AL314">
        <f>VLOOKUP($A314,raw[],38,FALSE)*(1+interactive!$C$7)</f>
        <v>2.2650481154104056E-3</v>
      </c>
      <c r="AM314">
        <f>VLOOKUP($A314,raw[],39,FALSE)*(1+interactive!$C$7)</f>
        <v>4.7218431975087159E-3</v>
      </c>
      <c r="AN314">
        <f>VLOOKUP($A314,raw[],40,FALSE)*(1+interactive!$C$7)</f>
        <v>8.6722904388792776E-3</v>
      </c>
      <c r="AO314">
        <f>VLOOKUP($A314,raw[],41,FALSE)*(1+interactive!$C$7)</f>
        <v>1.1967305862328633E-2</v>
      </c>
      <c r="AP314">
        <f>VLOOKUP($A314,raw[],42,FALSE)*(1+interactive!$C$7)</f>
        <v>1.9247043768680021E-2</v>
      </c>
      <c r="AQ314">
        <f>VLOOKUP($A314,raw[],43,FALSE)*(1+interactive!$C$7)</f>
        <v>2.9512164945043898E-2</v>
      </c>
      <c r="AR314">
        <f>VLOOKUP($A314,raw[],44,FALSE)*(1+interactive!$C$7)</f>
        <v>4.6176992920395669E-2</v>
      </c>
      <c r="AS314">
        <f>VLOOKUP($A314,raw[],45,FALSE)*(1+interactive!$C$7)</f>
        <v>7.0742415569198233E-2</v>
      </c>
      <c r="AT314">
        <f>VLOOKUP($A314,raw[],46,FALSE)*(1+interactive!$C$7)</f>
        <v>9.9560630893391691E-2</v>
      </c>
      <c r="AU314">
        <f>VLOOKUP($A314,raw[],47,FALSE)*(1+interactive!$C$7)</f>
        <v>0.13085176926174732</v>
      </c>
      <c r="AV314">
        <f>VLOOKUP($A314,raw[],48,FALSE)*(1+interactive!$C$7)</f>
        <v>0.15714082040458924</v>
      </c>
      <c r="AW314">
        <f>VLOOKUP($A314,raw[],49,FALSE)*(1+interactive!$C$7)</f>
        <v>0.18023538214993942</v>
      </c>
      <c r="AX314">
        <f>VLOOKUP($A314,raw[],50,FALSE)*(1+interactive!$C$7)</f>
        <v>75.33120000000001</v>
      </c>
    </row>
    <row r="315" spans="1:50" x14ac:dyDescent="0.25">
      <c r="A315" s="55" t="s">
        <v>297</v>
      </c>
      <c r="B315" s="56" t="s">
        <v>298</v>
      </c>
      <c r="C315" s="56">
        <v>222</v>
      </c>
      <c r="D315" s="56" t="s">
        <v>215</v>
      </c>
      <c r="E315" s="56" t="s">
        <v>274</v>
      </c>
      <c r="F315" s="56" t="s">
        <v>217</v>
      </c>
      <c r="G315" s="56" t="s">
        <v>212</v>
      </c>
      <c r="J315">
        <f>MIN(VLOOKUP($A315,raw[],10,FALSE)*(1+interactive!$C$7),0.999)</f>
        <v>0.999</v>
      </c>
      <c r="K315">
        <f>MIN(VLOOKUP($A315,raw[],11,FALSE)*(1+interactive!$C$7),0.999)</f>
        <v>0.78750000000000009</v>
      </c>
      <c r="L315">
        <f>MIN(VLOOKUP($A315,raw[],12,FALSE)*(1+interactive!$C$7),0.999)</f>
        <v>0.75600000000000001</v>
      </c>
      <c r="M315">
        <v>0.01</v>
      </c>
      <c r="N315">
        <f>IFERROR(VLOOKUP($A315,[2]!hbe_prev[#Data],5,FALSE),0)</f>
        <v>0.42950000000000005</v>
      </c>
      <c r="O315">
        <f>VLOOKUP($F315,[2]!hbe_risk[#All],4,FALSE)</f>
        <v>0.9</v>
      </c>
      <c r="P315">
        <f>VLOOKUP($F315,[2]!hbe_risk[#All],7,FALSE)</f>
        <v>0.3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6.662981158670588</v>
      </c>
      <c r="W315">
        <v>6.683981158670588</v>
      </c>
      <c r="X315">
        <v>6.6190236047837727</v>
      </c>
      <c r="Y315">
        <v>6.6400236047837726</v>
      </c>
      <c r="Z315">
        <v>6.6140600483023944</v>
      </c>
      <c r="AA315">
        <v>6.6731252095675453</v>
      </c>
      <c r="AB315">
        <v>6.6941252095675452</v>
      </c>
      <c r="AC315">
        <f>VLOOKUP($A315,raw[],29,FALSE)*(1+interactive!$C$7)</f>
        <v>1.5302805000000037E-2</v>
      </c>
      <c r="AD315">
        <f>VLOOKUP($A315,raw[],30,FALSE)*(1+interactive!$C$7)</f>
        <v>6.1726635153387492E-4</v>
      </c>
      <c r="AE315">
        <f>VLOOKUP($A315,raw[],31,FALSE)*(1+interactive!$C$7)</f>
        <v>2.8727302051692729E-4</v>
      </c>
      <c r="AF315">
        <f>VLOOKUP($A315,raw[],32,FALSE)*(1+interactive!$C$7)</f>
        <v>5.9446435905531202E-4</v>
      </c>
      <c r="AG315">
        <f>VLOOKUP($A315,raw[],33,FALSE)*(1+interactive!$C$7)</f>
        <v>1.6240397474665356E-3</v>
      </c>
      <c r="AH315">
        <f>VLOOKUP($A315,raw[],34,FALSE)*(1+interactive!$C$7)</f>
        <v>2.6962743142812996E-3</v>
      </c>
      <c r="AI315">
        <f>VLOOKUP($A315,raw[],35,FALSE)*(1+interactive!$C$7)</f>
        <v>3.3524862611766359E-3</v>
      </c>
      <c r="AJ315">
        <f>VLOOKUP($A315,raw[],36,FALSE)*(1+interactive!$C$7)</f>
        <v>3.5114590262010151E-3</v>
      </c>
      <c r="AK315">
        <f>VLOOKUP($A315,raw[],37,FALSE)*(1+interactive!$C$7)</f>
        <v>3.6787158201554643E-3</v>
      </c>
      <c r="AL315">
        <f>VLOOKUP($A315,raw[],38,FALSE)*(1+interactive!$C$7)</f>
        <v>4.3855814915660912E-3</v>
      </c>
      <c r="AM315">
        <f>VLOOKUP($A315,raw[],39,FALSE)*(1+interactive!$C$7)</f>
        <v>5.5951148198739821E-3</v>
      </c>
      <c r="AN315">
        <f>VLOOKUP($A315,raw[],40,FALSE)*(1+interactive!$C$7)</f>
        <v>7.352392571720121E-3</v>
      </c>
      <c r="AO315">
        <f>VLOOKUP($A315,raw[],41,FALSE)*(1+interactive!$C$7)</f>
        <v>9.6971712402376762E-3</v>
      </c>
      <c r="AP315">
        <f>VLOOKUP($A315,raw[],42,FALSE)*(1+interactive!$C$7)</f>
        <v>1.322639481709945E-2</v>
      </c>
      <c r="AQ315">
        <f>VLOOKUP($A315,raw[],43,FALSE)*(1+interactive!$C$7)</f>
        <v>1.8819588424880677E-2</v>
      </c>
      <c r="AR315">
        <f>VLOOKUP($A315,raw[],44,FALSE)*(1+interactive!$C$7)</f>
        <v>2.7280637203718459E-2</v>
      </c>
      <c r="AS315">
        <f>VLOOKUP($A315,raw[],45,FALSE)*(1+interactive!$C$7)</f>
        <v>4.2064076015538826E-2</v>
      </c>
      <c r="AT315">
        <f>VLOOKUP($A315,raw[],46,FALSE)*(1+interactive!$C$7)</f>
        <v>6.8114848311823184E-2</v>
      </c>
      <c r="AU315">
        <f>VLOOKUP($A315,raw[],47,FALSE)*(1+interactive!$C$7)</f>
        <v>0.10264041908714509</v>
      </c>
      <c r="AV315">
        <f>VLOOKUP($A315,raw[],48,FALSE)*(1+interactive!$C$7)</f>
        <v>0.13998121802759006</v>
      </c>
      <c r="AW315">
        <f>VLOOKUP($A315,raw[],49,FALSE)*(1+interactive!$C$7)</f>
        <v>0.17267349238044222</v>
      </c>
      <c r="AX315">
        <f>VLOOKUP($A315,raw[],50,FALSE)*(1+interactive!$C$7)</f>
        <v>76.635300000000001</v>
      </c>
    </row>
    <row r="316" spans="1:50" x14ac:dyDescent="0.25">
      <c r="A316" s="53" t="s">
        <v>299</v>
      </c>
      <c r="B316" s="54" t="s">
        <v>300</v>
      </c>
      <c r="C316" s="54">
        <v>226</v>
      </c>
      <c r="D316" s="54" t="s">
        <v>207</v>
      </c>
      <c r="E316" s="54" t="s">
        <v>210</v>
      </c>
      <c r="F316" s="54" t="s">
        <v>211</v>
      </c>
      <c r="G316" s="54" t="s">
        <v>204</v>
      </c>
      <c r="J316">
        <f>MIN(VLOOKUP($A316,raw[],10,FALSE)*(1+interactive!$C$7),0.999)</f>
        <v>0.70665</v>
      </c>
      <c r="K316">
        <f>MIN(VLOOKUP($A316,raw[],11,FALSE)*(1+interactive!$C$7),0.999)</f>
        <v>0</v>
      </c>
      <c r="L316">
        <f>MIN(VLOOKUP($A316,raw[],12,FALSE)*(1+interactive!$C$7),0.999)</f>
        <v>0.55650000000000011</v>
      </c>
      <c r="M316">
        <v>0.10189999999999999</v>
      </c>
      <c r="N316">
        <f>IFERROR(VLOOKUP($A316,[2]!hbe_prev[#Data],5,FALSE),0)</f>
        <v>0.40200000000000002</v>
      </c>
      <c r="O316">
        <f>VLOOKUP($F316,[2]!hbe_risk[#All],4,FALSE)</f>
        <v>0.74399999999999999</v>
      </c>
      <c r="P316">
        <f>VLOOKUP($F316,[2]!hbe_risk[#All],7,FALSE)</f>
        <v>0.13300000000000001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7.0636535107564304</v>
      </c>
      <c r="W316">
        <v>12.135153510756432</v>
      </c>
      <c r="X316">
        <v>7.0202615231759617</v>
      </c>
      <c r="Y316">
        <v>12.091761523175961</v>
      </c>
      <c r="Z316">
        <v>12.067017142952047</v>
      </c>
      <c r="AA316">
        <v>7.0736670463519236</v>
      </c>
      <c r="AB316">
        <v>12.145167046351924</v>
      </c>
      <c r="AC316">
        <f>VLOOKUP($A316,raw[],29,FALSE)*(1+interactive!$C$7)</f>
        <v>6.9459127499999995E-2</v>
      </c>
      <c r="AD316">
        <f>VLOOKUP($A316,raw[],30,FALSE)*(1+interactive!$C$7)</f>
        <v>7.7727648153188104E-3</v>
      </c>
      <c r="AE316">
        <f>VLOOKUP($A316,raw[],31,FALSE)*(1+interactive!$C$7)</f>
        <v>2.2901229942682453E-3</v>
      </c>
      <c r="AF316">
        <f>VLOOKUP($A316,raw[],32,FALSE)*(1+interactive!$C$7)</f>
        <v>1.6340611587468763E-3</v>
      </c>
      <c r="AG316">
        <f>VLOOKUP($A316,raw[],33,FALSE)*(1+interactive!$C$7)</f>
        <v>2.4289178669117686E-3</v>
      </c>
      <c r="AH316">
        <f>VLOOKUP($A316,raw[],34,FALSE)*(1+interactive!$C$7)</f>
        <v>3.654245761964534E-3</v>
      </c>
      <c r="AI316">
        <f>VLOOKUP($A316,raw[],35,FALSE)*(1+interactive!$C$7)</f>
        <v>4.7797341048343052E-3</v>
      </c>
      <c r="AJ316">
        <f>VLOOKUP($A316,raw[],36,FALSE)*(1+interactive!$C$7)</f>
        <v>6.0354805068088564E-3</v>
      </c>
      <c r="AK316">
        <f>VLOOKUP($A316,raw[],37,FALSE)*(1+interactive!$C$7)</f>
        <v>7.7953479373147044E-3</v>
      </c>
      <c r="AL316">
        <f>VLOOKUP($A316,raw[],38,FALSE)*(1+interactive!$C$7)</f>
        <v>9.4988338490574163E-3</v>
      </c>
      <c r="AM316">
        <f>VLOOKUP($A316,raw[],39,FALSE)*(1+interactive!$C$7)</f>
        <v>1.1404862497359539E-2</v>
      </c>
      <c r="AN316">
        <f>VLOOKUP($A316,raw[],40,FALSE)*(1+interactive!$C$7)</f>
        <v>1.4690660704199984E-2</v>
      </c>
      <c r="AO316">
        <f>VLOOKUP($A316,raw[],41,FALSE)*(1+interactive!$C$7)</f>
        <v>1.8644016875275959E-2</v>
      </c>
      <c r="AP316">
        <f>VLOOKUP($A316,raw[],42,FALSE)*(1+interactive!$C$7)</f>
        <v>2.6242524152832521E-2</v>
      </c>
      <c r="AQ316">
        <f>VLOOKUP($A316,raw[],43,FALSE)*(1+interactive!$C$7)</f>
        <v>3.8400236269681545E-2</v>
      </c>
      <c r="AR316">
        <f>VLOOKUP($A316,raw[],44,FALSE)*(1+interactive!$C$7)</f>
        <v>5.7298368615599643E-2</v>
      </c>
      <c r="AS316">
        <f>VLOOKUP($A316,raw[],45,FALSE)*(1+interactive!$C$7)</f>
        <v>8.426329423058708E-2</v>
      </c>
      <c r="AT316">
        <f>VLOOKUP($A316,raw[],46,FALSE)*(1+interactive!$C$7)</f>
        <v>0.12172810430954861</v>
      </c>
      <c r="AU316">
        <f>VLOOKUP($A316,raw[],47,FALSE)*(1+interactive!$C$7)</f>
        <v>0.16180336919267241</v>
      </c>
      <c r="AV316">
        <f>VLOOKUP($A316,raw[],48,FALSE)*(1+interactive!$C$7)</f>
        <v>0.19072366440381383</v>
      </c>
      <c r="AW316">
        <f>VLOOKUP($A316,raw[],49,FALSE)*(1+interactive!$C$7)</f>
        <v>0.19864548158872186</v>
      </c>
      <c r="AX316">
        <f>VLOOKUP($A316,raw[],50,FALSE)*(1+interactive!$C$7)</f>
        <v>61.158300000000004</v>
      </c>
    </row>
    <row r="317" spans="1:50" x14ac:dyDescent="0.25">
      <c r="A317" s="55" t="s">
        <v>301</v>
      </c>
      <c r="B317" s="56" t="s">
        <v>302</v>
      </c>
      <c r="C317" s="56">
        <v>232</v>
      </c>
      <c r="D317" s="56" t="s">
        <v>207</v>
      </c>
      <c r="E317" s="56" t="s">
        <v>255</v>
      </c>
      <c r="F317" s="56" t="s">
        <v>211</v>
      </c>
      <c r="G317" s="56" t="s">
        <v>198</v>
      </c>
      <c r="J317">
        <f>MIN(VLOOKUP($A317,raw[],10,FALSE)*(1+interactive!$C$7),0.999)</f>
        <v>0.35385000000000005</v>
      </c>
      <c r="K317">
        <f>MIN(VLOOKUP($A317,raw[],11,FALSE)*(1+interactive!$C$7),0.999)</f>
        <v>0</v>
      </c>
      <c r="L317">
        <f>MIN(VLOOKUP($A317,raw[],12,FALSE)*(1+interactive!$C$7),0.999)</f>
        <v>0.99749999999999994</v>
      </c>
      <c r="M317">
        <v>6.9199999999999998E-2</v>
      </c>
      <c r="N317">
        <f>IFERROR(VLOOKUP($A317,[2]!hbe_prev[#Data],5,FALSE),0)</f>
        <v>0.39960000000000001</v>
      </c>
      <c r="O317">
        <f>VLOOKUP($F317,[2]!hbe_risk[#All],4,FALSE)</f>
        <v>0.74399999999999999</v>
      </c>
      <c r="P317">
        <f>VLOOKUP($F317,[2]!hbe_risk[#All],7,FALSE)</f>
        <v>0.13300000000000001</v>
      </c>
      <c r="Q317">
        <v>5.2939647058823507</v>
      </c>
      <c r="R317">
        <v>114.27976470588236</v>
      </c>
      <c r="S317">
        <v>144.15631185043065</v>
      </c>
      <c r="T317">
        <v>144.49802169209198</v>
      </c>
      <c r="U317">
        <v>144.34111575562702</v>
      </c>
      <c r="V317">
        <v>8.8039263038346931</v>
      </c>
      <c r="W317">
        <v>13.875426303834693</v>
      </c>
      <c r="X317">
        <v>8.793519891770865</v>
      </c>
      <c r="Y317">
        <v>13.865019891770865</v>
      </c>
      <c r="Z317">
        <v>13.859549285671443</v>
      </c>
      <c r="AA317">
        <v>8.8063277835417306</v>
      </c>
      <c r="AB317">
        <v>13.877827783541731</v>
      </c>
      <c r="AC317">
        <f>VLOOKUP($A317,raw[],29,FALSE)*(1+interactive!$C$7)</f>
        <v>3.6459948000000048E-2</v>
      </c>
      <c r="AD317">
        <f>VLOOKUP($A317,raw[],30,FALSE)*(1+interactive!$C$7)</f>
        <v>2.6020065768944962E-3</v>
      </c>
      <c r="AE317">
        <f>VLOOKUP($A317,raw[],31,FALSE)*(1+interactive!$C$7)</f>
        <v>8.8375704031701003E-4</v>
      </c>
      <c r="AF317">
        <f>VLOOKUP($A317,raw[],32,FALSE)*(1+interactive!$C$7)</f>
        <v>6.6808869723276648E-4</v>
      </c>
      <c r="AG317">
        <f>VLOOKUP($A317,raw[],33,FALSE)*(1+interactive!$C$7)</f>
        <v>1.2893950160499862E-3</v>
      </c>
      <c r="AH317">
        <f>VLOOKUP($A317,raw[],34,FALSE)*(1+interactive!$C$7)</f>
        <v>1.833124538989459E-3</v>
      </c>
      <c r="AI317">
        <f>VLOOKUP($A317,raw[],35,FALSE)*(1+interactive!$C$7)</f>
        <v>2.4245764112803174E-3</v>
      </c>
      <c r="AJ317">
        <f>VLOOKUP($A317,raw[],36,FALSE)*(1+interactive!$C$7)</f>
        <v>3.2478075052726567E-3</v>
      </c>
      <c r="AK317">
        <f>VLOOKUP($A317,raw[],37,FALSE)*(1+interactive!$C$7)</f>
        <v>4.2153265458819223E-3</v>
      </c>
      <c r="AL317">
        <f>VLOOKUP($A317,raw[],38,FALSE)*(1+interactive!$C$7)</f>
        <v>6.0940457915160976E-3</v>
      </c>
      <c r="AM317">
        <f>VLOOKUP($A317,raw[],39,FALSE)*(1+interactive!$C$7)</f>
        <v>8.2437444320121334E-3</v>
      </c>
      <c r="AN317">
        <f>VLOOKUP($A317,raw[],40,FALSE)*(1+interactive!$C$7)</f>
        <v>1.2181586819863623E-2</v>
      </c>
      <c r="AO317">
        <f>VLOOKUP($A317,raw[],41,FALSE)*(1+interactive!$C$7)</f>
        <v>1.7660339558705246E-2</v>
      </c>
      <c r="AP317">
        <f>VLOOKUP($A317,raw[],42,FALSE)*(1+interactive!$C$7)</f>
        <v>2.5298541650025284E-2</v>
      </c>
      <c r="AQ317">
        <f>VLOOKUP($A317,raw[],43,FALSE)*(1+interactive!$C$7)</f>
        <v>3.5611633705219345E-2</v>
      </c>
      <c r="AR317">
        <f>VLOOKUP($A317,raw[],44,FALSE)*(1+interactive!$C$7)</f>
        <v>5.2638882094616299E-2</v>
      </c>
      <c r="AS317">
        <f>VLOOKUP($A317,raw[],45,FALSE)*(1+interactive!$C$7)</f>
        <v>7.2204057153309048E-2</v>
      </c>
      <c r="AT317">
        <f>VLOOKUP($A317,raw[],46,FALSE)*(1+interactive!$C$7)</f>
        <v>0.10044624467875078</v>
      </c>
      <c r="AU317">
        <f>VLOOKUP($A317,raw[],47,FALSE)*(1+interactive!$C$7)</f>
        <v>0.12796630358206371</v>
      </c>
      <c r="AV317">
        <f>VLOOKUP($A317,raw[],48,FALSE)*(1+interactive!$C$7)</f>
        <v>0.1506764640334636</v>
      </c>
      <c r="AW317">
        <f>VLOOKUP($A317,raw[],49,FALSE)*(1+interactive!$C$7)</f>
        <v>0.16940372407082813</v>
      </c>
      <c r="AX317">
        <f>VLOOKUP($A317,raw[],50,FALSE)*(1+interactive!$C$7)</f>
        <v>69.030149999999992</v>
      </c>
    </row>
    <row r="318" spans="1:50" x14ac:dyDescent="0.25">
      <c r="A318" s="53" t="s">
        <v>303</v>
      </c>
      <c r="B318" s="54" t="s">
        <v>304</v>
      </c>
      <c r="C318" s="54">
        <v>748</v>
      </c>
      <c r="D318" s="54" t="s">
        <v>207</v>
      </c>
      <c r="E318" s="54" t="s">
        <v>245</v>
      </c>
      <c r="F318" s="54" t="s">
        <v>211</v>
      </c>
      <c r="G318" s="54" t="s">
        <v>212</v>
      </c>
      <c r="J318">
        <f>MIN(VLOOKUP($A318,raw[],10,FALSE)*(1+interactive!$C$7),0.999)</f>
        <v>0.92085000000000006</v>
      </c>
      <c r="K318">
        <f>MIN(VLOOKUP($A318,raw[],11,FALSE)*(1+interactive!$C$7),0.999)</f>
        <v>0</v>
      </c>
      <c r="L318">
        <f>MIN(VLOOKUP($A318,raw[],12,FALSE)*(1+interactive!$C$7),0.999)</f>
        <v>0.87149999999999994</v>
      </c>
      <c r="M318">
        <v>0.21489999999999998</v>
      </c>
      <c r="N318">
        <f>IFERROR(VLOOKUP($A318,[2]!hbe_prev[#Data],5,FALSE),0)</f>
        <v>0.3679</v>
      </c>
      <c r="O318">
        <f>VLOOKUP($F318,[2]!hbe_risk[#All],4,FALSE)</f>
        <v>0.74399999999999999</v>
      </c>
      <c r="P318">
        <f>VLOOKUP($F318,[2]!hbe_risk[#All],7,FALSE)</f>
        <v>0.13300000000000001</v>
      </c>
      <c r="Q318">
        <v>16.9193757188498</v>
      </c>
      <c r="R318">
        <v>125.9051757188498</v>
      </c>
      <c r="S318">
        <v>177.50057231732487</v>
      </c>
      <c r="T318">
        <v>189.14618420104492</v>
      </c>
      <c r="U318">
        <v>183.79876538091671</v>
      </c>
      <c r="V318">
        <v>12.01607141267101</v>
      </c>
      <c r="W318">
        <v>17.087571412671011</v>
      </c>
      <c r="X318">
        <v>11.979436779404695</v>
      </c>
      <c r="Y318">
        <v>17.050936779404694</v>
      </c>
      <c r="Z318">
        <v>17.031213053423933</v>
      </c>
      <c r="AA318">
        <v>12.02452555880939</v>
      </c>
      <c r="AB318">
        <v>17.096025558809391</v>
      </c>
      <c r="AC318">
        <f>VLOOKUP($A318,raw[],29,FALSE)*(1+interactive!$C$7)</f>
        <v>4.3433019000000031E-2</v>
      </c>
      <c r="AD318">
        <f>VLOOKUP($A318,raw[],30,FALSE)*(1+interactive!$C$7)</f>
        <v>3.5762380501730292E-3</v>
      </c>
      <c r="AE318">
        <f>VLOOKUP($A318,raw[],31,FALSE)*(1+interactive!$C$7)</f>
        <v>1.0293225814980279E-3</v>
      </c>
      <c r="AF318">
        <f>VLOOKUP($A318,raw[],32,FALSE)*(1+interactive!$C$7)</f>
        <v>9.1148021166019175E-4</v>
      </c>
      <c r="AG318">
        <f>VLOOKUP($A318,raw[],33,FALSE)*(1+interactive!$C$7)</f>
        <v>1.518447884728179E-3</v>
      </c>
      <c r="AH318">
        <f>VLOOKUP($A318,raw[],34,FALSE)*(1+interactive!$C$7)</f>
        <v>2.8503178525989509E-3</v>
      </c>
      <c r="AI318">
        <f>VLOOKUP($A318,raw[],35,FALSE)*(1+interactive!$C$7)</f>
        <v>5.3693649293698959E-3</v>
      </c>
      <c r="AJ318">
        <f>VLOOKUP($A318,raw[],36,FALSE)*(1+interactive!$C$7)</f>
        <v>8.2856259412120974E-3</v>
      </c>
      <c r="AK318">
        <f>VLOOKUP($A318,raw[],37,FALSE)*(1+interactive!$C$7)</f>
        <v>1.2436137130275863E-2</v>
      </c>
      <c r="AL318">
        <f>VLOOKUP($A318,raw[],38,FALSE)*(1+interactive!$C$7)</f>
        <v>1.4463324215198001E-2</v>
      </c>
      <c r="AM318">
        <f>VLOOKUP($A318,raw[],39,FALSE)*(1+interactive!$C$7)</f>
        <v>1.7297621643383106E-2</v>
      </c>
      <c r="AN318">
        <f>VLOOKUP($A318,raw[],40,FALSE)*(1+interactive!$C$7)</f>
        <v>2.0151659552270246E-2</v>
      </c>
      <c r="AO318">
        <f>VLOOKUP($A318,raw[],41,FALSE)*(1+interactive!$C$7)</f>
        <v>2.3506111254844586E-2</v>
      </c>
      <c r="AP318">
        <f>VLOOKUP($A318,raw[],42,FALSE)*(1+interactive!$C$7)</f>
        <v>2.8476642952101266E-2</v>
      </c>
      <c r="AQ318">
        <f>VLOOKUP($A318,raw[],43,FALSE)*(1+interactive!$C$7)</f>
        <v>3.6672144151176318E-2</v>
      </c>
      <c r="AR318">
        <f>VLOOKUP($A318,raw[],44,FALSE)*(1+interactive!$C$7)</f>
        <v>5.01182610318745E-2</v>
      </c>
      <c r="AS318">
        <f>VLOOKUP($A318,raw[],45,FALSE)*(1+interactive!$C$7)</f>
        <v>6.9901736627838731E-2</v>
      </c>
      <c r="AT318">
        <f>VLOOKUP($A318,raw[],46,FALSE)*(1+interactive!$C$7)</f>
        <v>0.10236749938676604</v>
      </c>
      <c r="AU318">
        <f>VLOOKUP($A318,raw[],47,FALSE)*(1+interactive!$C$7)</f>
        <v>0.14420090098177638</v>
      </c>
      <c r="AV318">
        <f>VLOOKUP($A318,raw[],48,FALSE)*(1+interactive!$C$7)</f>
        <v>0.17796457763234289</v>
      </c>
      <c r="AW318">
        <f>VLOOKUP($A318,raw[],49,FALSE)*(1+interactive!$C$7)</f>
        <v>0.19213435031867798</v>
      </c>
      <c r="AX318">
        <f>VLOOKUP($A318,raw[],50,FALSE)*(1+interactive!$C$7)</f>
        <v>62.279700000000005</v>
      </c>
    </row>
    <row r="319" spans="1:50" x14ac:dyDescent="0.25">
      <c r="A319" s="55" t="s">
        <v>305</v>
      </c>
      <c r="B319" s="56" t="s">
        <v>306</v>
      </c>
      <c r="C319" s="56">
        <v>231</v>
      </c>
      <c r="D319" s="56" t="s">
        <v>207</v>
      </c>
      <c r="E319" s="56" t="s">
        <v>255</v>
      </c>
      <c r="F319" s="56" t="s">
        <v>211</v>
      </c>
      <c r="G319" s="56" t="s">
        <v>198</v>
      </c>
      <c r="J319">
        <f>MIN(VLOOKUP($A319,raw[],10,FALSE)*(1+interactive!$C$7),0.999)</f>
        <v>0.49874999999999997</v>
      </c>
      <c r="K319">
        <f>MIN(VLOOKUP($A319,raw[],11,FALSE)*(1+interactive!$C$7),0.999)</f>
        <v>0</v>
      </c>
      <c r="L319">
        <f>MIN(VLOOKUP($A319,raw[],12,FALSE)*(1+interactive!$C$7),0.999)</f>
        <v>0.74549999999999994</v>
      </c>
      <c r="M319">
        <v>5.4800000000000001E-2</v>
      </c>
      <c r="N319">
        <f>IFERROR(VLOOKUP($A319,[2]!hbe_prev[#Data],5,FALSE),0)</f>
        <v>0.39960000000000001</v>
      </c>
      <c r="O319">
        <f>VLOOKUP($F319,[2]!hbe_risk[#All],4,FALSE)</f>
        <v>0.74399999999999999</v>
      </c>
      <c r="P319">
        <f>VLOOKUP($F319,[2]!hbe_risk[#All],7,FALSE)</f>
        <v>0.13300000000000001</v>
      </c>
      <c r="Q319">
        <v>5.90642366710013</v>
      </c>
      <c r="R319">
        <v>114.89222366710014</v>
      </c>
      <c r="S319">
        <v>145.51694442253566</v>
      </c>
      <c r="T319">
        <v>146.24805247913756</v>
      </c>
      <c r="U319">
        <v>145.91234311320156</v>
      </c>
      <c r="V319">
        <v>2.1263551539244818</v>
      </c>
      <c r="W319">
        <v>7.1978551539244826</v>
      </c>
      <c r="X319">
        <v>2.1110074642341967</v>
      </c>
      <c r="Y319">
        <v>7.1825074642341971</v>
      </c>
      <c r="Z319">
        <v>7.1743107768701844</v>
      </c>
      <c r="AA319">
        <v>2.1298969284683937</v>
      </c>
      <c r="AB319">
        <v>7.2013969284683945</v>
      </c>
      <c r="AC319">
        <f>VLOOKUP($A319,raw[],29,FALSE)*(1+interactive!$C$7)</f>
        <v>3.8863377000000053E-2</v>
      </c>
      <c r="AD319">
        <f>VLOOKUP($A319,raw[],30,FALSE)*(1+interactive!$C$7)</f>
        <v>4.8735473405951083E-3</v>
      </c>
      <c r="AE319">
        <f>VLOOKUP($A319,raw[],31,FALSE)*(1+interactive!$C$7)</f>
        <v>2.0932284666478661E-3</v>
      </c>
      <c r="AF319">
        <f>VLOOKUP($A319,raw[],32,FALSE)*(1+interactive!$C$7)</f>
        <v>1.6227416762766205E-3</v>
      </c>
      <c r="AG319">
        <f>VLOOKUP($A319,raw[],33,FALSE)*(1+interactive!$C$7)</f>
        <v>2.0003318406964488E-3</v>
      </c>
      <c r="AH319">
        <f>VLOOKUP($A319,raw[],34,FALSE)*(1+interactive!$C$7)</f>
        <v>2.4651045026377071E-3</v>
      </c>
      <c r="AI319">
        <f>VLOOKUP($A319,raw[],35,FALSE)*(1+interactive!$C$7)</f>
        <v>2.8452405455671424E-3</v>
      </c>
      <c r="AJ319">
        <f>VLOOKUP($A319,raw[],36,FALSE)*(1+interactive!$C$7)</f>
        <v>3.6007982730363918E-3</v>
      </c>
      <c r="AK319">
        <f>VLOOKUP($A319,raw[],37,FALSE)*(1+interactive!$C$7)</f>
        <v>4.9835809164021907E-3</v>
      </c>
      <c r="AL319">
        <f>VLOOKUP($A319,raw[],38,FALSE)*(1+interactive!$C$7)</f>
        <v>6.0668035110673377E-3</v>
      </c>
      <c r="AM319">
        <f>VLOOKUP($A319,raw[],39,FALSE)*(1+interactive!$C$7)</f>
        <v>7.069754286869125E-3</v>
      </c>
      <c r="AN319">
        <f>VLOOKUP($A319,raw[],40,FALSE)*(1+interactive!$C$7)</f>
        <v>9.0632100821740023E-3</v>
      </c>
      <c r="AO319">
        <f>VLOOKUP($A319,raw[],41,FALSE)*(1+interactive!$C$7)</f>
        <v>1.1652523788601626E-2</v>
      </c>
      <c r="AP319">
        <f>VLOOKUP($A319,raw[],42,FALSE)*(1+interactive!$C$7)</f>
        <v>1.7599924616462807E-2</v>
      </c>
      <c r="AQ319">
        <f>VLOOKUP($A319,raw[],43,FALSE)*(1+interactive!$C$7)</f>
        <v>2.7242122044630664E-2</v>
      </c>
      <c r="AR319">
        <f>VLOOKUP($A319,raw[],44,FALSE)*(1+interactive!$C$7)</f>
        <v>4.2521951522242571E-2</v>
      </c>
      <c r="AS319">
        <f>VLOOKUP($A319,raw[],45,FALSE)*(1+interactive!$C$7)</f>
        <v>6.5186753808413281E-2</v>
      </c>
      <c r="AT319">
        <f>VLOOKUP($A319,raw[],46,FALSE)*(1+interactive!$C$7)</f>
        <v>9.5948251415376204E-2</v>
      </c>
      <c r="AU319">
        <f>VLOOKUP($A319,raw[],47,FALSE)*(1+interactive!$C$7)</f>
        <v>0.13042135034879945</v>
      </c>
      <c r="AV319">
        <f>VLOOKUP($A319,raw[],48,FALSE)*(1+interactive!$C$7)</f>
        <v>0.16077842641823614</v>
      </c>
      <c r="AW319">
        <f>VLOOKUP($A319,raw[],49,FALSE)*(1+interactive!$C$7)</f>
        <v>0.18186721102615686</v>
      </c>
      <c r="AX319">
        <f>VLOOKUP($A319,raw[],50,FALSE)*(1+interactive!$C$7)</f>
        <v>69.265349999999998</v>
      </c>
    </row>
    <row r="320" spans="1:50" x14ac:dyDescent="0.25">
      <c r="A320" s="53" t="s">
        <v>307</v>
      </c>
      <c r="B320" s="54" t="s">
        <v>308</v>
      </c>
      <c r="C320" s="54">
        <v>242</v>
      </c>
      <c r="D320" s="54" t="s">
        <v>260</v>
      </c>
      <c r="E320" s="54" t="s">
        <v>309</v>
      </c>
      <c r="F320" s="54" t="s">
        <v>262</v>
      </c>
      <c r="G320" s="54" t="s">
        <v>204</v>
      </c>
      <c r="J320">
        <f>MIN(VLOOKUP($A320,raw[],10,FALSE)*(1+interactive!$C$7),0.999)</f>
        <v>0.999</v>
      </c>
      <c r="K320">
        <f>MIN(VLOOKUP($A320,raw[],11,FALSE)*(1+interactive!$C$7),0.999)</f>
        <v>0.999</v>
      </c>
      <c r="L320">
        <f>MIN(VLOOKUP($A320,raw[],12,FALSE)*(1+interactive!$C$7),0.999)</f>
        <v>0.999</v>
      </c>
      <c r="M320">
        <v>3.3000000000000002E-2</v>
      </c>
      <c r="N320">
        <f>IFERROR(VLOOKUP($A320,[2]!hbe_prev[#Data],5,FALSE),0)</f>
        <v>0.47889999999999999</v>
      </c>
      <c r="O320">
        <f>VLOOKUP($F320,[2]!hbe_risk[#All],4,FALSE)</f>
        <v>0.9</v>
      </c>
      <c r="P320">
        <f>VLOOKUP($F320,[2]!hbe_risk[#All],7,FALSE)</f>
        <v>0.3</v>
      </c>
      <c r="Q320">
        <v>15.2496526663911</v>
      </c>
      <c r="R320">
        <v>124.23545266639111</v>
      </c>
      <c r="S320">
        <v>172.8532387939683</v>
      </c>
      <c r="T320">
        <v>182.9491084984887</v>
      </c>
      <c r="U320">
        <v>178.31329852967241</v>
      </c>
      <c r="V320">
        <v>18.966321508477463</v>
      </c>
      <c r="W320">
        <v>19.627821508477464</v>
      </c>
      <c r="X320">
        <v>18.937130901228944</v>
      </c>
      <c r="Y320">
        <v>19.598630901228944</v>
      </c>
      <c r="Z320">
        <v>19.582996967550628</v>
      </c>
      <c r="AA320">
        <v>18.973057802457888</v>
      </c>
      <c r="AB320">
        <v>19.634557802457888</v>
      </c>
      <c r="AC320">
        <f>VLOOKUP($A320,raw[],29,FALSE)*(1+interactive!$C$7)</f>
        <v>2.1343864499999962E-2</v>
      </c>
      <c r="AD320">
        <f>VLOOKUP($A320,raw[],30,FALSE)*(1+interactive!$C$7)</f>
        <v>1.1514097705977286E-3</v>
      </c>
      <c r="AE320">
        <f>VLOOKUP($A320,raw[],31,FALSE)*(1+interactive!$C$7)</f>
        <v>7.6466347032452613E-4</v>
      </c>
      <c r="AF320">
        <f>VLOOKUP($A320,raw[],32,FALSE)*(1+interactive!$C$7)</f>
        <v>7.1269681655038056E-4</v>
      </c>
      <c r="AG320">
        <f>VLOOKUP($A320,raw[],33,FALSE)*(1+interactive!$C$7)</f>
        <v>1.5944725838374597E-3</v>
      </c>
      <c r="AH320">
        <f>VLOOKUP($A320,raw[],34,FALSE)*(1+interactive!$C$7)</f>
        <v>2.264153410903076E-3</v>
      </c>
      <c r="AI320">
        <f>VLOOKUP($A320,raw[],35,FALSE)*(1+interactive!$C$7)</f>
        <v>2.5111045723504497E-3</v>
      </c>
      <c r="AJ320">
        <f>VLOOKUP($A320,raw[],36,FALSE)*(1+interactive!$C$7)</f>
        <v>2.9441933324999294E-3</v>
      </c>
      <c r="AK320">
        <f>VLOOKUP($A320,raw[],37,FALSE)*(1+interactive!$C$7)</f>
        <v>3.7710238322378534E-3</v>
      </c>
      <c r="AL320">
        <f>VLOOKUP($A320,raw[],38,FALSE)*(1+interactive!$C$7)</f>
        <v>5.0807828777867849E-3</v>
      </c>
      <c r="AM320">
        <f>VLOOKUP($A320,raw[],39,FALSE)*(1+interactive!$C$7)</f>
        <v>7.2099280045811237E-3</v>
      </c>
      <c r="AN320">
        <f>VLOOKUP($A320,raw[],40,FALSE)*(1+interactive!$C$7)</f>
        <v>1.0410122629183274E-2</v>
      </c>
      <c r="AO320">
        <f>VLOOKUP($A320,raw[],41,FALSE)*(1+interactive!$C$7)</f>
        <v>1.5120178360183995E-2</v>
      </c>
      <c r="AP320">
        <f>VLOOKUP($A320,raw[],42,FALSE)*(1+interactive!$C$7)</f>
        <v>2.3500065495571713E-2</v>
      </c>
      <c r="AQ320">
        <f>VLOOKUP($A320,raw[],43,FALSE)*(1+interactive!$C$7)</f>
        <v>3.6477982690851278E-2</v>
      </c>
      <c r="AR320">
        <f>VLOOKUP($A320,raw[],44,FALSE)*(1+interactive!$C$7)</f>
        <v>5.4861155548274983E-2</v>
      </c>
      <c r="AS320">
        <f>VLOOKUP($A320,raw[],45,FALSE)*(1+interactive!$C$7)</f>
        <v>8.0044787789601404E-2</v>
      </c>
      <c r="AT320">
        <f>VLOOKUP($A320,raw[],46,FALSE)*(1+interactive!$C$7)</f>
        <v>0.11284727802654002</v>
      </c>
      <c r="AU320">
        <f>VLOOKUP($A320,raw[],47,FALSE)*(1+interactive!$C$7)</f>
        <v>0.14811491462671822</v>
      </c>
      <c r="AV320">
        <f>VLOOKUP($A320,raw[],48,FALSE)*(1+interactive!$C$7)</f>
        <v>0.17576249145514306</v>
      </c>
      <c r="AW320">
        <f>VLOOKUP($A320,raw[],49,FALSE)*(1+interactive!$C$7)</f>
        <v>0.19274997976468136</v>
      </c>
      <c r="AX320">
        <f>VLOOKUP($A320,raw[],50,FALSE)*(1+interactive!$C$7)</f>
        <v>70.636650000000003</v>
      </c>
    </row>
    <row r="321" spans="1:50" x14ac:dyDescent="0.25">
      <c r="A321" s="55" t="s">
        <v>310</v>
      </c>
      <c r="B321" s="56" t="s">
        <v>311</v>
      </c>
      <c r="C321" s="56">
        <v>266</v>
      </c>
      <c r="D321" s="56" t="s">
        <v>207</v>
      </c>
      <c r="E321" s="56" t="s">
        <v>210</v>
      </c>
      <c r="F321" s="56" t="s">
        <v>211</v>
      </c>
      <c r="G321" s="56" t="s">
        <v>204</v>
      </c>
      <c r="J321">
        <f>MIN(VLOOKUP($A321,raw[],10,FALSE)*(1+interactive!$C$7),0.999)</f>
        <v>0.94710000000000005</v>
      </c>
      <c r="K321">
        <f>MIN(VLOOKUP($A321,raw[],11,FALSE)*(1+interactive!$C$7),0.999)</f>
        <v>0</v>
      </c>
      <c r="L321">
        <f>MIN(VLOOKUP($A321,raw[],12,FALSE)*(1+interactive!$C$7),0.999)</f>
        <v>0.66150000000000009</v>
      </c>
      <c r="M321">
        <v>7.9299999999999995E-2</v>
      </c>
      <c r="N321">
        <f>IFERROR(VLOOKUP($A321,[2]!hbe_prev[#Data],5,FALSE),0)</f>
        <v>0.40200000000000002</v>
      </c>
      <c r="O321">
        <f>VLOOKUP($F321,[2]!hbe_risk[#All],4,FALSE)</f>
        <v>0.74399999999999999</v>
      </c>
      <c r="P321">
        <f>VLOOKUP($F321,[2]!hbe_risk[#All],7,FALSE)</f>
        <v>0.13300000000000001</v>
      </c>
      <c r="Q321">
        <v>36.485351747609499</v>
      </c>
      <c r="R321">
        <v>145.4711517476095</v>
      </c>
      <c r="S321">
        <v>261.73905357060028</v>
      </c>
      <c r="T321">
        <v>307.04444404541346</v>
      </c>
      <c r="U321">
        <v>286.24116637333589</v>
      </c>
      <c r="V321">
        <v>9.2091223504285953</v>
      </c>
      <c r="W321">
        <v>14.280622350428596</v>
      </c>
      <c r="X321">
        <v>9.1695340554088798</v>
      </c>
      <c r="Y321">
        <v>14.24103405540888</v>
      </c>
      <c r="Z321">
        <v>14.219921820216092</v>
      </c>
      <c r="AA321">
        <v>9.2182581108177608</v>
      </c>
      <c r="AB321">
        <v>14.289758110817761</v>
      </c>
      <c r="AC321">
        <f>VLOOKUP($A321,raw[],29,FALSE)*(1+interactive!$C$7)</f>
        <v>3.7053502499999988E-2</v>
      </c>
      <c r="AD321">
        <f>VLOOKUP($A321,raw[],30,FALSE)*(1+interactive!$C$7)</f>
        <v>3.4463379937793742E-3</v>
      </c>
      <c r="AE321">
        <f>VLOOKUP($A321,raw[],31,FALSE)*(1+interactive!$C$7)</f>
        <v>1.495894181931569E-3</v>
      </c>
      <c r="AF321">
        <f>VLOOKUP($A321,raw[],32,FALSE)*(1+interactive!$C$7)</f>
        <v>1.0677132360660689E-3</v>
      </c>
      <c r="AG321">
        <f>VLOOKUP($A321,raw[],33,FALSE)*(1+interactive!$C$7)</f>
        <v>1.7672972366569145E-3</v>
      </c>
      <c r="AH321">
        <f>VLOOKUP($A321,raw[],34,FALSE)*(1+interactive!$C$7)</f>
        <v>2.5747785909020363E-3</v>
      </c>
      <c r="AI321">
        <f>VLOOKUP($A321,raw[],35,FALSE)*(1+interactive!$C$7)</f>
        <v>2.9432444823779256E-3</v>
      </c>
      <c r="AJ321">
        <f>VLOOKUP($A321,raw[],36,FALSE)*(1+interactive!$C$7)</f>
        <v>3.4246067865379413E-3</v>
      </c>
      <c r="AK321">
        <f>VLOOKUP($A321,raw[],37,FALSE)*(1+interactive!$C$7)</f>
        <v>4.1658041736249473E-3</v>
      </c>
      <c r="AL321">
        <f>VLOOKUP($A321,raw[],38,FALSE)*(1+interactive!$C$7)</f>
        <v>5.2944684252241971E-3</v>
      </c>
      <c r="AM321">
        <f>VLOOKUP($A321,raw[],39,FALSE)*(1+interactive!$C$7)</f>
        <v>6.7402147866258656E-3</v>
      </c>
      <c r="AN321">
        <f>VLOOKUP($A321,raw[],40,FALSE)*(1+interactive!$C$7)</f>
        <v>9.6528266423356133E-3</v>
      </c>
      <c r="AO321">
        <f>VLOOKUP($A321,raw[],41,FALSE)*(1+interactive!$C$7)</f>
        <v>1.2995081423133124E-2</v>
      </c>
      <c r="AP321">
        <f>VLOOKUP($A321,raw[],42,FALSE)*(1+interactive!$C$7)</f>
        <v>1.9728221067850035E-2</v>
      </c>
      <c r="AQ321">
        <f>VLOOKUP($A321,raw[],43,FALSE)*(1+interactive!$C$7)</f>
        <v>3.0693129810232825E-2</v>
      </c>
      <c r="AR321">
        <f>VLOOKUP($A321,raw[],44,FALSE)*(1+interactive!$C$7)</f>
        <v>4.7746477698816833E-2</v>
      </c>
      <c r="AS321">
        <f>VLOOKUP($A321,raw[],45,FALSE)*(1+interactive!$C$7)</f>
        <v>7.3214564947794186E-2</v>
      </c>
      <c r="AT321">
        <f>VLOOKUP($A321,raw[],46,FALSE)*(1+interactive!$C$7)</f>
        <v>0.10935768694579009</v>
      </c>
      <c r="AU321">
        <f>VLOOKUP($A321,raw[],47,FALSE)*(1+interactive!$C$7)</f>
        <v>0.15135489710843703</v>
      </c>
      <c r="AV321">
        <f>VLOOKUP($A321,raw[],48,FALSE)*(1+interactive!$C$7)</f>
        <v>0.18728235699113696</v>
      </c>
      <c r="AW321">
        <f>VLOOKUP($A321,raw[],49,FALSE)*(1+interactive!$C$7)</f>
        <v>0.19901805121162308</v>
      </c>
      <c r="AX321">
        <f>VLOOKUP($A321,raw[],50,FALSE)*(1+interactive!$C$7)</f>
        <v>69.363</v>
      </c>
    </row>
    <row r="322" spans="1:50" x14ac:dyDescent="0.25">
      <c r="A322" s="53" t="s">
        <v>312</v>
      </c>
      <c r="B322" s="54" t="s">
        <v>313</v>
      </c>
      <c r="C322" s="54">
        <v>270</v>
      </c>
      <c r="D322" s="54" t="s">
        <v>207</v>
      </c>
      <c r="E322" s="54" t="s">
        <v>235</v>
      </c>
      <c r="F322" s="54" t="s">
        <v>211</v>
      </c>
      <c r="G322" s="54" t="s">
        <v>198</v>
      </c>
      <c r="J322">
        <f>MIN(VLOOKUP($A322,raw[],10,FALSE)*(1+interactive!$C$7),0.999)</f>
        <v>0.87885000000000013</v>
      </c>
      <c r="K322">
        <f>MIN(VLOOKUP($A322,raw[],11,FALSE)*(1+interactive!$C$7),0.999)</f>
        <v>0</v>
      </c>
      <c r="L322">
        <f>MIN(VLOOKUP($A322,raw[],12,FALSE)*(1+interactive!$C$7),0.999)</f>
        <v>0.92400000000000004</v>
      </c>
      <c r="M322">
        <v>5.9900000000000002E-2</v>
      </c>
      <c r="N322">
        <f>IFERROR(VLOOKUP($A322,[2]!hbe_prev[#Data],5,FALSE),0)</f>
        <v>0.41070000000000001</v>
      </c>
      <c r="O322">
        <f>VLOOKUP($F322,[2]!hbe_risk[#All],4,FALSE)</f>
        <v>0.74399999999999999</v>
      </c>
      <c r="P322">
        <f>VLOOKUP($F322,[2]!hbe_risk[#All],7,FALSE)</f>
        <v>0.13300000000000001</v>
      </c>
      <c r="Q322">
        <v>7.7796446356855995</v>
      </c>
      <c r="R322">
        <v>116.76544463568561</v>
      </c>
      <c r="S322">
        <v>149.99459280564309</v>
      </c>
      <c r="T322">
        <v>152.08121430377707</v>
      </c>
      <c r="U322">
        <v>151.1230818173936</v>
      </c>
      <c r="V322">
        <v>8.9736583110990349</v>
      </c>
      <c r="W322">
        <v>14.045158311099035</v>
      </c>
      <c r="X322">
        <v>8.9610840337098132</v>
      </c>
      <c r="Y322">
        <v>14.032584033709814</v>
      </c>
      <c r="Z322">
        <v>14.02593549277624</v>
      </c>
      <c r="AA322">
        <v>8.9765600674196246</v>
      </c>
      <c r="AB322">
        <v>14.048060067419625</v>
      </c>
      <c r="AC322">
        <f>VLOOKUP($A322,raw[],29,FALSE)*(1+interactive!$C$7)</f>
        <v>4.708903499999998E-2</v>
      </c>
      <c r="AD322">
        <f>VLOOKUP($A322,raw[],30,FALSE)*(1+interactive!$C$7)</f>
        <v>6.304427650514339E-3</v>
      </c>
      <c r="AE322">
        <f>VLOOKUP($A322,raw[],31,FALSE)*(1+interactive!$C$7)</f>
        <v>2.9591481676767423E-3</v>
      </c>
      <c r="AF322">
        <f>VLOOKUP($A322,raw[],32,FALSE)*(1+interactive!$C$7)</f>
        <v>1.7775354792705473E-3</v>
      </c>
      <c r="AG322">
        <f>VLOOKUP($A322,raw[],33,FALSE)*(1+interactive!$C$7)</f>
        <v>2.7134372275555126E-3</v>
      </c>
      <c r="AH322">
        <f>VLOOKUP($A322,raw[],34,FALSE)*(1+interactive!$C$7)</f>
        <v>3.8224951283348406E-3</v>
      </c>
      <c r="AI322">
        <f>VLOOKUP($A322,raw[],35,FALSE)*(1+interactive!$C$7)</f>
        <v>4.0601913204760627E-3</v>
      </c>
      <c r="AJ322">
        <f>VLOOKUP($A322,raw[],36,FALSE)*(1+interactive!$C$7)</f>
        <v>4.4567013953163738E-3</v>
      </c>
      <c r="AK322">
        <f>VLOOKUP($A322,raw[],37,FALSE)*(1+interactive!$C$7)</f>
        <v>5.0968330697575941E-3</v>
      </c>
      <c r="AL322">
        <f>VLOOKUP($A322,raw[],38,FALSE)*(1+interactive!$C$7)</f>
        <v>6.2528624161096906E-3</v>
      </c>
      <c r="AM322">
        <f>VLOOKUP($A322,raw[],39,FALSE)*(1+interactive!$C$7)</f>
        <v>7.803035782172443E-3</v>
      </c>
      <c r="AN322">
        <f>VLOOKUP($A322,raw[],40,FALSE)*(1+interactive!$C$7)</f>
        <v>1.090671446259542E-2</v>
      </c>
      <c r="AO322">
        <f>VLOOKUP($A322,raw[],41,FALSE)*(1+interactive!$C$7)</f>
        <v>1.5554271475994037E-2</v>
      </c>
      <c r="AP322">
        <f>VLOOKUP($A322,raw[],42,FALSE)*(1+interactive!$C$7)</f>
        <v>2.4098563065723982E-2</v>
      </c>
      <c r="AQ322">
        <f>VLOOKUP($A322,raw[],43,FALSE)*(1+interactive!$C$7)</f>
        <v>3.6842378120373262E-2</v>
      </c>
      <c r="AR322">
        <f>VLOOKUP($A322,raw[],44,FALSE)*(1+interactive!$C$7)</f>
        <v>5.8659838678276552E-2</v>
      </c>
      <c r="AS322">
        <f>VLOOKUP($A322,raw[],45,FALSE)*(1+interactive!$C$7)</f>
        <v>8.9787021823395943E-2</v>
      </c>
      <c r="AT322">
        <f>VLOOKUP($A322,raw[],46,FALSE)*(1+interactive!$C$7)</f>
        <v>0.12770311621105288</v>
      </c>
      <c r="AU322">
        <f>VLOOKUP($A322,raw[],47,FALSE)*(1+interactive!$C$7)</f>
        <v>0.16232448519774068</v>
      </c>
      <c r="AV322">
        <f>VLOOKUP($A322,raw[],48,FALSE)*(1+interactive!$C$7)</f>
        <v>0.18604888851713505</v>
      </c>
      <c r="AW322">
        <f>VLOOKUP($A322,raw[],49,FALSE)*(1+interactive!$C$7)</f>
        <v>0.1972016587319631</v>
      </c>
      <c r="AX322">
        <f>VLOOKUP($A322,raw[],50,FALSE)*(1+interactive!$C$7)</f>
        <v>64.612800000000007</v>
      </c>
    </row>
    <row r="323" spans="1:50" x14ac:dyDescent="0.25">
      <c r="A323" s="55" t="s">
        <v>314</v>
      </c>
      <c r="B323" s="56" t="s">
        <v>315</v>
      </c>
      <c r="C323" s="56">
        <v>268</v>
      </c>
      <c r="D323" s="56" t="s">
        <v>201</v>
      </c>
      <c r="E323" s="56" t="s">
        <v>220</v>
      </c>
      <c r="F323" s="56" t="s">
        <v>203</v>
      </c>
      <c r="G323" s="56" t="s">
        <v>204</v>
      </c>
      <c r="J323">
        <f>MIN(VLOOKUP($A323,raw[],10,FALSE)*(1+interactive!$C$7),0.999)</f>
        <v>0.999</v>
      </c>
      <c r="K323">
        <f>MIN(VLOOKUP($A323,raw[],11,FALSE)*(1+interactive!$C$7),0.999)</f>
        <v>0.999</v>
      </c>
      <c r="L323">
        <f>MIN(VLOOKUP($A323,raw[],12,FALSE)*(1+interactive!$C$7),0.999)</f>
        <v>0.92400000000000004</v>
      </c>
      <c r="M323">
        <v>2.0799999999999999E-2</v>
      </c>
      <c r="N323">
        <f>IFERROR(VLOOKUP($A323,[2]!hbe_prev[#Data],5,FALSE),0)</f>
        <v>0.43079999999999996</v>
      </c>
      <c r="O323">
        <f>VLOOKUP($F323,[2]!hbe_risk[#All],4,FALSE)</f>
        <v>0.9</v>
      </c>
      <c r="P323">
        <f>VLOOKUP($F323,[2]!hbe_risk[#All],7,FALSE)</f>
        <v>0.3</v>
      </c>
      <c r="Q323">
        <v>14.9539718561781</v>
      </c>
      <c r="R323">
        <v>123.93977185617811</v>
      </c>
      <c r="S323">
        <v>172.79781568233716</v>
      </c>
      <c r="T323">
        <v>183.01873112168715</v>
      </c>
      <c r="U323">
        <v>178.32550279456723</v>
      </c>
      <c r="V323">
        <v>9.8916057955695127</v>
      </c>
      <c r="W323">
        <v>14.165105795569513</v>
      </c>
      <c r="X323">
        <v>9.8648518872107651</v>
      </c>
      <c r="Y323">
        <v>14.138351887210765</v>
      </c>
      <c r="Z323">
        <v>14.122543438373031</v>
      </c>
      <c r="AA323">
        <v>9.897779774421533</v>
      </c>
      <c r="AB323">
        <v>14.171279774421533</v>
      </c>
      <c r="AC323">
        <f>VLOOKUP($A323,raw[],29,FALSE)*(1+interactive!$C$7)</f>
        <v>9.8411670000000083E-3</v>
      </c>
      <c r="AD323">
        <f>VLOOKUP($A323,raw[],30,FALSE)*(1+interactive!$C$7)</f>
        <v>2.0787431028815857E-4</v>
      </c>
      <c r="AE323">
        <f>VLOOKUP($A323,raw[],31,FALSE)*(1+interactive!$C$7)</f>
        <v>2.1772180472502006E-4</v>
      </c>
      <c r="AF323">
        <f>VLOOKUP($A323,raw[],32,FALSE)*(1+interactive!$C$7)</f>
        <v>2.5203820881914237E-4</v>
      </c>
      <c r="AG323">
        <f>VLOOKUP($A323,raw[],33,FALSE)*(1+interactive!$C$7)</f>
        <v>4.8040825978166757E-4</v>
      </c>
      <c r="AH323">
        <f>VLOOKUP($A323,raw[],34,FALSE)*(1+interactive!$C$7)</f>
        <v>7.98467078306036E-4</v>
      </c>
      <c r="AI323">
        <f>VLOOKUP($A323,raw[],35,FALSE)*(1+interactive!$C$7)</f>
        <v>9.8520021953007434E-4</v>
      </c>
      <c r="AJ323">
        <f>VLOOKUP($A323,raw[],36,FALSE)*(1+interactive!$C$7)</f>
        <v>1.4703392606160934E-3</v>
      </c>
      <c r="AK323">
        <f>VLOOKUP($A323,raw[],37,FALSE)*(1+interactive!$C$7)</f>
        <v>2.0883934824790598E-3</v>
      </c>
      <c r="AL323">
        <f>VLOOKUP($A323,raw[],38,FALSE)*(1+interactive!$C$7)</f>
        <v>3.231299726391659E-3</v>
      </c>
      <c r="AM323">
        <f>VLOOKUP($A323,raw[],39,FALSE)*(1+interactive!$C$7)</f>
        <v>5.2859396940917163E-3</v>
      </c>
      <c r="AN323">
        <f>VLOOKUP($A323,raw[],40,FALSE)*(1+interactive!$C$7)</f>
        <v>7.783478422144937E-3</v>
      </c>
      <c r="AO323">
        <f>VLOOKUP($A323,raw[],41,FALSE)*(1+interactive!$C$7)</f>
        <v>1.1458882992652013E-2</v>
      </c>
      <c r="AP323">
        <f>VLOOKUP($A323,raw[],42,FALSE)*(1+interactive!$C$7)</f>
        <v>1.6522785735139895E-2</v>
      </c>
      <c r="AQ323">
        <f>VLOOKUP($A323,raw[],43,FALSE)*(1+interactive!$C$7)</f>
        <v>2.3511544932271054E-2</v>
      </c>
      <c r="AR323">
        <f>VLOOKUP($A323,raw[],44,FALSE)*(1+interactive!$C$7)</f>
        <v>3.7763048569893432E-2</v>
      </c>
      <c r="AS323">
        <f>VLOOKUP($A323,raw[],45,FALSE)*(1+interactive!$C$7)</f>
        <v>6.0366774991244217E-2</v>
      </c>
      <c r="AT323">
        <f>VLOOKUP($A323,raw[],46,FALSE)*(1+interactive!$C$7)</f>
        <v>9.0125234556428027E-2</v>
      </c>
      <c r="AU323">
        <f>VLOOKUP($A323,raw[],47,FALSE)*(1+interactive!$C$7)</f>
        <v>0.12432472659422408</v>
      </c>
      <c r="AV323">
        <f>VLOOKUP($A323,raw[],48,FALSE)*(1+interactive!$C$7)</f>
        <v>0.15880486785268871</v>
      </c>
      <c r="AW323">
        <f>VLOOKUP($A323,raw[],49,FALSE)*(1+interactive!$C$7)</f>
        <v>0.18328161388065764</v>
      </c>
      <c r="AX323">
        <f>VLOOKUP($A323,raw[],50,FALSE)*(1+interactive!$C$7)</f>
        <v>77.195999999999998</v>
      </c>
    </row>
    <row r="324" spans="1:50" x14ac:dyDescent="0.25">
      <c r="A324" s="53" t="s">
        <v>316</v>
      </c>
      <c r="B324" s="54" t="s">
        <v>317</v>
      </c>
      <c r="C324" s="54">
        <v>288</v>
      </c>
      <c r="D324" s="54" t="s">
        <v>207</v>
      </c>
      <c r="E324" s="54" t="s">
        <v>235</v>
      </c>
      <c r="F324" s="54" t="s">
        <v>211</v>
      </c>
      <c r="G324" s="54" t="s">
        <v>212</v>
      </c>
      <c r="J324">
        <f>MIN(VLOOKUP($A324,raw[],10,FALSE)*(1+interactive!$C$7),0.999)</f>
        <v>0.81795000000000007</v>
      </c>
      <c r="K324">
        <f>MIN(VLOOKUP($A324,raw[],11,FALSE)*(1+interactive!$C$7),0.999)</f>
        <v>0</v>
      </c>
      <c r="L324">
        <f>MIN(VLOOKUP($A324,raw[],12,FALSE)*(1+interactive!$C$7),0.999)</f>
        <v>0.98699999999999999</v>
      </c>
      <c r="M324">
        <v>0.10009999999999999</v>
      </c>
      <c r="N324">
        <f>IFERROR(VLOOKUP($A324,[2]!hbe_prev[#Data],5,FALSE),0)</f>
        <v>0.41070000000000001</v>
      </c>
      <c r="O324">
        <f>VLOOKUP($F324,[2]!hbe_risk[#All],4,FALSE)</f>
        <v>0.74399999999999999</v>
      </c>
      <c r="P324">
        <f>VLOOKUP($F324,[2]!hbe_risk[#All],7,FALSE)</f>
        <v>0.13300000000000001</v>
      </c>
      <c r="Q324">
        <v>8.1042000000000005</v>
      </c>
      <c r="R324">
        <v>117.09000000000002</v>
      </c>
      <c r="S324">
        <v>150.82864758950075</v>
      </c>
      <c r="T324">
        <v>153.18044572791763</v>
      </c>
      <c r="U324">
        <v>152.10054973343634</v>
      </c>
      <c r="V324">
        <v>8.2351320086199227</v>
      </c>
      <c r="W324">
        <v>13.306632008619923</v>
      </c>
      <c r="X324">
        <v>8.2117463495834055</v>
      </c>
      <c r="Y324">
        <v>13.283246349583406</v>
      </c>
      <c r="Z324">
        <v>13.270801251969322</v>
      </c>
      <c r="AA324">
        <v>8.240528699166811</v>
      </c>
      <c r="AB324">
        <v>13.312028699166811</v>
      </c>
      <c r="AC324">
        <f>VLOOKUP($A324,raw[],29,FALSE)*(1+interactive!$C$7)</f>
        <v>3.7424729999999948E-2</v>
      </c>
      <c r="AD324">
        <f>VLOOKUP($A324,raw[],30,FALSE)*(1+interactive!$C$7)</f>
        <v>4.357349515853785E-3</v>
      </c>
      <c r="AE324">
        <f>VLOOKUP($A324,raw[],31,FALSE)*(1+interactive!$C$7)</f>
        <v>2.5503667096950858E-3</v>
      </c>
      <c r="AF324">
        <f>VLOOKUP($A324,raw[],32,FALSE)*(1+interactive!$C$7)</f>
        <v>1.5519133099052599E-3</v>
      </c>
      <c r="AG324">
        <f>VLOOKUP($A324,raw[],33,FALSE)*(1+interactive!$C$7)</f>
        <v>2.3836134553547046E-3</v>
      </c>
      <c r="AH324">
        <f>VLOOKUP($A324,raw[],34,FALSE)*(1+interactive!$C$7)</f>
        <v>3.35640348010861E-3</v>
      </c>
      <c r="AI324">
        <f>VLOOKUP($A324,raw[],35,FALSE)*(1+interactive!$C$7)</f>
        <v>3.5888415113675661E-3</v>
      </c>
      <c r="AJ324">
        <f>VLOOKUP($A324,raw[],36,FALSE)*(1+interactive!$C$7)</f>
        <v>3.9890540456286178E-3</v>
      </c>
      <c r="AK324">
        <f>VLOOKUP($A324,raw[],37,FALSE)*(1+interactive!$C$7)</f>
        <v>4.6032836278182459E-3</v>
      </c>
      <c r="AL324">
        <f>VLOOKUP($A324,raw[],38,FALSE)*(1+interactive!$C$7)</f>
        <v>5.7351335657581885E-3</v>
      </c>
      <c r="AM324">
        <f>VLOOKUP($A324,raw[],39,FALSE)*(1+interactive!$C$7)</f>
        <v>7.2593404653250888E-3</v>
      </c>
      <c r="AN324">
        <f>VLOOKUP($A324,raw[],40,FALSE)*(1+interactive!$C$7)</f>
        <v>1.0271765640290545E-2</v>
      </c>
      <c r="AO324">
        <f>VLOOKUP($A324,raw[],41,FALSE)*(1+interactive!$C$7)</f>
        <v>1.4674194809737149E-2</v>
      </c>
      <c r="AP324">
        <f>VLOOKUP($A324,raw[],42,FALSE)*(1+interactive!$C$7)</f>
        <v>2.2741168308894257E-2</v>
      </c>
      <c r="AQ324">
        <f>VLOOKUP($A324,raw[],43,FALSE)*(1+interactive!$C$7)</f>
        <v>3.5066318406387388E-2</v>
      </c>
      <c r="AR324">
        <f>VLOOKUP($A324,raw[],44,FALSE)*(1+interactive!$C$7)</f>
        <v>5.6325470896592233E-2</v>
      </c>
      <c r="AS324">
        <f>VLOOKUP($A324,raw[],45,FALSE)*(1+interactive!$C$7)</f>
        <v>8.7089312881041894E-2</v>
      </c>
      <c r="AT324">
        <f>VLOOKUP($A324,raw[],46,FALSE)*(1+interactive!$C$7)</f>
        <v>0.12232427496198646</v>
      </c>
      <c r="AU324">
        <f>VLOOKUP($A324,raw[],47,FALSE)*(1+interactive!$C$7)</f>
        <v>0.15446318932776751</v>
      </c>
      <c r="AV324">
        <f>VLOOKUP($A324,raw[],48,FALSE)*(1+interactive!$C$7)</f>
        <v>0.17817517741158681</v>
      </c>
      <c r="AW324">
        <f>VLOOKUP($A324,raw[],49,FALSE)*(1+interactive!$C$7)</f>
        <v>0.19433075135202785</v>
      </c>
      <c r="AX324">
        <f>VLOOKUP($A324,raw[],50,FALSE)*(1+interactive!$C$7)</f>
        <v>66.834600000000009</v>
      </c>
    </row>
    <row r="325" spans="1:50" x14ac:dyDescent="0.25">
      <c r="A325" s="55" t="s">
        <v>318</v>
      </c>
      <c r="B325" s="56" t="s">
        <v>319</v>
      </c>
      <c r="C325" s="56">
        <v>308</v>
      </c>
      <c r="D325" s="56" t="s">
        <v>215</v>
      </c>
      <c r="E325" s="56" t="s">
        <v>232</v>
      </c>
      <c r="F325" s="56" t="s">
        <v>217</v>
      </c>
      <c r="G325" s="56" t="s">
        <v>204</v>
      </c>
      <c r="J325">
        <f>MIN(VLOOKUP($A325,raw[],10,FALSE)*(1+interactive!$C$7),0.999)</f>
        <v>0</v>
      </c>
      <c r="K325">
        <f>MIN(VLOOKUP($A325,raw[],11,FALSE)*(1+interactive!$C$7),0.999)</f>
        <v>0.96600000000000008</v>
      </c>
      <c r="L325">
        <f>MIN(VLOOKUP($A325,raw[],12,FALSE)*(1+interactive!$C$7),0.999)</f>
        <v>0.75600000000000001</v>
      </c>
      <c r="M325">
        <v>4.2000000000000003E-2</v>
      </c>
      <c r="N325">
        <f>IFERROR(VLOOKUP($A325,[2]!hbe_prev[#Data],5,FALSE),0)</f>
        <v>0.43</v>
      </c>
      <c r="O325">
        <f>VLOOKUP($F325,[2]!hbe_risk[#All],4,FALSE)</f>
        <v>0.9</v>
      </c>
      <c r="P325">
        <f>VLOOKUP($F325,[2]!hbe_risk[#All],7,FALSE)</f>
        <v>0.3</v>
      </c>
      <c r="Q325">
        <v>31.748915637956699</v>
      </c>
      <c r="R325">
        <v>140.7347156379567</v>
      </c>
      <c r="S325">
        <v>242.30703765133526</v>
      </c>
      <c r="T325">
        <v>279.96389246262243</v>
      </c>
      <c r="U325">
        <v>262.67266069778793</v>
      </c>
      <c r="V325">
        <v>39.714373957518021</v>
      </c>
      <c r="W325">
        <v>39.735373957518021</v>
      </c>
      <c r="X325">
        <v>39.661153769665113</v>
      </c>
      <c r="Y325">
        <v>39.682153769665113</v>
      </c>
      <c r="Z325">
        <v>39.653812547651327</v>
      </c>
      <c r="AA325">
        <v>39.726655539330224</v>
      </c>
      <c r="AB325">
        <v>39.747655539330225</v>
      </c>
      <c r="AC325">
        <f>VLOOKUP($A325,raw[],29,FALSE)*(1+interactive!$C$7)</f>
        <v>1.5747637499999939E-2</v>
      </c>
      <c r="AD325">
        <f>VLOOKUP($A325,raw[],30,FALSE)*(1+interactive!$C$7)</f>
        <v>3.8572221535537792E-4</v>
      </c>
      <c r="AE325">
        <f>VLOOKUP($A325,raw[],31,FALSE)*(1+interactive!$C$7)</f>
        <v>4.076612421226703E-4</v>
      </c>
      <c r="AF325">
        <f>VLOOKUP($A325,raw[],32,FALSE)*(1+interactive!$C$7)</f>
        <v>3.8673205415129877E-4</v>
      </c>
      <c r="AG325">
        <f>VLOOKUP($A325,raw[],33,FALSE)*(1+interactive!$C$7)</f>
        <v>9.0805317700703536E-4</v>
      </c>
      <c r="AH325">
        <f>VLOOKUP($A325,raw[],34,FALSE)*(1+interactive!$C$7)</f>
        <v>1.2342783943134936E-3</v>
      </c>
      <c r="AI325">
        <f>VLOOKUP($A325,raw[],35,FALSE)*(1+interactive!$C$7)</f>
        <v>1.3242816709321511E-3</v>
      </c>
      <c r="AJ325">
        <f>VLOOKUP($A325,raw[],36,FALSE)*(1+interactive!$C$7)</f>
        <v>1.5845613393588216E-3</v>
      </c>
      <c r="AK325">
        <f>VLOOKUP($A325,raw[],37,FALSE)*(1+interactive!$C$7)</f>
        <v>2.1356674449276064E-3</v>
      </c>
      <c r="AL325">
        <f>VLOOKUP($A325,raw[],38,FALSE)*(1+interactive!$C$7)</f>
        <v>3.096784905901118E-3</v>
      </c>
      <c r="AM325">
        <f>VLOOKUP($A325,raw[],39,FALSE)*(1+interactive!$C$7)</f>
        <v>4.7592093307938406E-3</v>
      </c>
      <c r="AN325">
        <f>VLOOKUP($A325,raw[],40,FALSE)*(1+interactive!$C$7)</f>
        <v>7.3155595528970061E-3</v>
      </c>
      <c r="AO325">
        <f>VLOOKUP($A325,raw[],41,FALSE)*(1+interactive!$C$7)</f>
        <v>1.1204530064487118E-2</v>
      </c>
      <c r="AP325">
        <f>VLOOKUP($A325,raw[],42,FALSE)*(1+interactive!$C$7)</f>
        <v>1.7373515471689582E-2</v>
      </c>
      <c r="AQ325">
        <f>VLOOKUP($A325,raw[],43,FALSE)*(1+interactive!$C$7)</f>
        <v>2.6656383893143346E-2</v>
      </c>
      <c r="AR325">
        <f>VLOOKUP($A325,raw[],44,FALSE)*(1+interactive!$C$7)</f>
        <v>4.0478838095112171E-2</v>
      </c>
      <c r="AS325">
        <f>VLOOKUP($A325,raw[],45,FALSE)*(1+interactive!$C$7)</f>
        <v>6.1951871626471283E-2</v>
      </c>
      <c r="AT325">
        <f>VLOOKUP($A325,raw[],46,FALSE)*(1+interactive!$C$7)</f>
        <v>9.1646826999831496E-2</v>
      </c>
      <c r="AU325">
        <f>VLOOKUP($A325,raw[],47,FALSE)*(1+interactive!$C$7)</f>
        <v>0.12670779569935195</v>
      </c>
      <c r="AV325">
        <f>VLOOKUP($A325,raw[],48,FALSE)*(1+interactive!$C$7)</f>
        <v>0.15898620186137613</v>
      </c>
      <c r="AW325">
        <f>VLOOKUP($A325,raw[],49,FALSE)*(1+interactive!$C$7)</f>
        <v>0.18328439760721746</v>
      </c>
      <c r="AX325">
        <f>VLOOKUP($A325,raw[],50,FALSE)*(1+interactive!$C$7)</f>
        <v>76.012650000000008</v>
      </c>
    </row>
    <row r="326" spans="1:50" x14ac:dyDescent="0.25">
      <c r="A326" s="53" t="s">
        <v>320</v>
      </c>
      <c r="B326" s="54" t="s">
        <v>321</v>
      </c>
      <c r="C326" s="54">
        <v>320</v>
      </c>
      <c r="D326" s="54" t="s">
        <v>215</v>
      </c>
      <c r="E326" s="54" t="s">
        <v>274</v>
      </c>
      <c r="F326" s="54" t="s">
        <v>217</v>
      </c>
      <c r="G326" s="54" t="s">
        <v>204</v>
      </c>
      <c r="J326">
        <f>MIN(VLOOKUP($A326,raw[],10,FALSE)*(1+interactive!$C$7),0.999)</f>
        <v>0.68250000000000011</v>
      </c>
      <c r="K326">
        <f>MIN(VLOOKUP($A326,raw[],11,FALSE)*(1+interactive!$C$7),0.999)</f>
        <v>0.504</v>
      </c>
      <c r="L326">
        <f>MIN(VLOOKUP($A326,raw[],12,FALSE)*(1+interactive!$C$7),0.999)</f>
        <v>0.93450000000000011</v>
      </c>
      <c r="M326">
        <v>3.3E-3</v>
      </c>
      <c r="N326">
        <f>IFERROR(VLOOKUP($A326,[2]!hbe_prev[#Data],5,FALSE),0)</f>
        <v>0.42950000000000005</v>
      </c>
      <c r="O326">
        <f>VLOOKUP($F326,[2]!hbe_risk[#All],4,FALSE)</f>
        <v>0.9</v>
      </c>
      <c r="P326">
        <f>VLOOKUP($F326,[2]!hbe_risk[#All],7,FALSE)</f>
        <v>0.3</v>
      </c>
      <c r="Q326">
        <v>13.21429301405106</v>
      </c>
      <c r="R326">
        <v>122.20009301405108</v>
      </c>
      <c r="S326">
        <v>168.80479370717583</v>
      </c>
      <c r="T326">
        <v>177.85292280270966</v>
      </c>
      <c r="U326">
        <v>173.69821317512489</v>
      </c>
      <c r="V326">
        <v>6.3333565991027987</v>
      </c>
      <c r="W326">
        <v>6.3543565991027986</v>
      </c>
      <c r="X326">
        <v>6.3031837788153373</v>
      </c>
      <c r="Y326">
        <v>6.3241837788153372</v>
      </c>
      <c r="Z326">
        <v>6.3055181898201313</v>
      </c>
      <c r="AA326">
        <v>6.3403195576306741</v>
      </c>
      <c r="AB326">
        <v>6.361319557630674</v>
      </c>
      <c r="AC326">
        <f>VLOOKUP($A326,raw[],29,FALSE)*(1+interactive!$C$7)</f>
        <v>2.1779299499999974E-2</v>
      </c>
      <c r="AD326">
        <f>VLOOKUP($A326,raw[],30,FALSE)*(1+interactive!$C$7)</f>
        <v>1.4368533604036313E-3</v>
      </c>
      <c r="AE326">
        <f>VLOOKUP($A326,raw[],31,FALSE)*(1+interactive!$C$7)</f>
        <v>3.8057552702510798E-4</v>
      </c>
      <c r="AF326">
        <f>VLOOKUP($A326,raw[],32,FALSE)*(1+interactive!$C$7)</f>
        <v>5.4743979077917667E-4</v>
      </c>
      <c r="AG326">
        <f>VLOOKUP($A326,raw[],33,FALSE)*(1+interactive!$C$7)</f>
        <v>1.1651380012004079E-3</v>
      </c>
      <c r="AH326">
        <f>VLOOKUP($A326,raw[],34,FALSE)*(1+interactive!$C$7)</f>
        <v>1.9953791610690889E-3</v>
      </c>
      <c r="AI326">
        <f>VLOOKUP($A326,raw[],35,FALSE)*(1+interactive!$C$7)</f>
        <v>2.6491094463751397E-3</v>
      </c>
      <c r="AJ326">
        <f>VLOOKUP($A326,raw[],36,FALSE)*(1+interactive!$C$7)</f>
        <v>3.0562652959143679E-3</v>
      </c>
      <c r="AK326">
        <f>VLOOKUP($A326,raw[],37,FALSE)*(1+interactive!$C$7)</f>
        <v>3.3691071828936834E-3</v>
      </c>
      <c r="AL326">
        <f>VLOOKUP($A326,raw[],38,FALSE)*(1+interactive!$C$7)</f>
        <v>3.8254346742596992E-3</v>
      </c>
      <c r="AM326">
        <f>VLOOKUP($A326,raw[],39,FALSE)*(1+interactive!$C$7)</f>
        <v>4.6646731486246033E-3</v>
      </c>
      <c r="AN326">
        <f>VLOOKUP($A326,raw[],40,FALSE)*(1+interactive!$C$7)</f>
        <v>6.1341943719321846E-3</v>
      </c>
      <c r="AO326">
        <f>VLOOKUP($A326,raw[],41,FALSE)*(1+interactive!$C$7)</f>
        <v>8.5306310226280421E-3</v>
      </c>
      <c r="AP326">
        <f>VLOOKUP($A326,raw[],42,FALSE)*(1+interactive!$C$7)</f>
        <v>1.2375416405832939E-2</v>
      </c>
      <c r="AQ326">
        <f>VLOOKUP($A326,raw[],43,FALSE)*(1+interactive!$C$7)</f>
        <v>1.6691641741807393E-2</v>
      </c>
      <c r="AR326">
        <f>VLOOKUP($A326,raw[],44,FALSE)*(1+interactive!$C$7)</f>
        <v>2.4050841673526578E-2</v>
      </c>
      <c r="AS326">
        <f>VLOOKUP($A326,raw[],45,FALSE)*(1+interactive!$C$7)</f>
        <v>4.0141232717967892E-2</v>
      </c>
      <c r="AT326">
        <f>VLOOKUP($A326,raw[],46,FALSE)*(1+interactive!$C$7)</f>
        <v>6.5766262303756068E-2</v>
      </c>
      <c r="AU326">
        <f>VLOOKUP($A326,raw[],47,FALSE)*(1+interactive!$C$7)</f>
        <v>9.795758438313594E-2</v>
      </c>
      <c r="AV326">
        <f>VLOOKUP($A326,raw[],48,FALSE)*(1+interactive!$C$7)</f>
        <v>0.1324538429464607</v>
      </c>
      <c r="AW326">
        <f>VLOOKUP($A326,raw[],49,FALSE)*(1+interactive!$C$7)</f>
        <v>0.16183257890731084</v>
      </c>
      <c r="AX326">
        <f>VLOOKUP($A326,raw[],50,FALSE)*(1+interactive!$C$7)</f>
        <v>77.632800000000017</v>
      </c>
    </row>
    <row r="327" spans="1:50" x14ac:dyDescent="0.25">
      <c r="A327" s="55" t="s">
        <v>322</v>
      </c>
      <c r="B327" s="56" t="s">
        <v>323</v>
      </c>
      <c r="C327" s="56">
        <v>324</v>
      </c>
      <c r="D327" s="56" t="s">
        <v>207</v>
      </c>
      <c r="E327" s="56" t="s">
        <v>235</v>
      </c>
      <c r="F327" s="56" t="s">
        <v>211</v>
      </c>
      <c r="G327" s="56" t="s">
        <v>198</v>
      </c>
      <c r="J327">
        <f>MIN(VLOOKUP($A327,raw[],10,FALSE)*(1+interactive!$C$7),0.999)</f>
        <v>0.55230000000000001</v>
      </c>
      <c r="K327">
        <f>MIN(VLOOKUP($A327,raw[],11,FALSE)*(1+interactive!$C$7),0.999)</f>
        <v>0</v>
      </c>
      <c r="L327">
        <f>MIN(VLOOKUP($A327,raw[],12,FALSE)*(1+interactive!$C$7),0.999)</f>
        <v>0.49349999999999999</v>
      </c>
      <c r="M327">
        <v>0.1353</v>
      </c>
      <c r="N327">
        <f>IFERROR(VLOOKUP($A327,[2]!hbe_prev[#Data],5,FALSE),0)</f>
        <v>0.41070000000000001</v>
      </c>
      <c r="O327">
        <f>VLOOKUP($F327,[2]!hbe_risk[#All],4,FALSE)</f>
        <v>0.74399999999999999</v>
      </c>
      <c r="P327">
        <f>VLOOKUP($F327,[2]!hbe_risk[#All],7,FALSE)</f>
        <v>0.13300000000000001</v>
      </c>
      <c r="Q327">
        <v>6.2552269576379995</v>
      </c>
      <c r="R327">
        <v>115.24102695763801</v>
      </c>
      <c r="S327">
        <v>146.16189957765388</v>
      </c>
      <c r="T327">
        <v>147.04714432892237</v>
      </c>
      <c r="U327">
        <v>146.64065865083015</v>
      </c>
      <c r="V327">
        <v>2.4890211206012145</v>
      </c>
      <c r="W327">
        <v>7.5605211206012148</v>
      </c>
      <c r="X327">
        <v>2.4681766872282562</v>
      </c>
      <c r="Y327">
        <v>7.5396766872282566</v>
      </c>
      <c r="Z327">
        <v>7.5276576175906467</v>
      </c>
      <c r="AA327">
        <v>2.4938313744565126</v>
      </c>
      <c r="AB327">
        <v>7.5653313744565125</v>
      </c>
      <c r="AC327">
        <f>VLOOKUP($A327,raw[],29,FALSE)*(1+interactive!$C$7)</f>
        <v>5.424397649999993E-2</v>
      </c>
      <c r="AD327">
        <f>VLOOKUP($A327,raw[],30,FALSE)*(1+interactive!$C$7)</f>
        <v>8.0517139033405311E-3</v>
      </c>
      <c r="AE327">
        <f>VLOOKUP($A327,raw[],31,FALSE)*(1+interactive!$C$7)</f>
        <v>2.8907727086528189E-3</v>
      </c>
      <c r="AF327">
        <f>VLOOKUP($A327,raw[],32,FALSE)*(1+interactive!$C$7)</f>
        <v>1.703119158440099E-3</v>
      </c>
      <c r="AG327">
        <f>VLOOKUP($A327,raw[],33,FALSE)*(1+interactive!$C$7)</f>
        <v>2.5964443594545341E-3</v>
      </c>
      <c r="AH327">
        <f>VLOOKUP($A327,raw[],34,FALSE)*(1+interactive!$C$7)</f>
        <v>3.6383525749246336E-3</v>
      </c>
      <c r="AI327">
        <f>VLOOKUP($A327,raw[],35,FALSE)*(1+interactive!$C$7)</f>
        <v>3.9016798160823271E-3</v>
      </c>
      <c r="AJ327">
        <f>VLOOKUP($A327,raw[],36,FALSE)*(1+interactive!$C$7)</f>
        <v>4.3056398854803193E-3</v>
      </c>
      <c r="AK327">
        <f>VLOOKUP($A327,raw[],37,FALSE)*(1+interactive!$C$7)</f>
        <v>4.9452078930670986E-3</v>
      </c>
      <c r="AL327">
        <f>VLOOKUP($A327,raw[],38,FALSE)*(1+interactive!$C$7)</f>
        <v>6.0183218453963632E-3</v>
      </c>
      <c r="AM327">
        <f>VLOOKUP($A327,raw[],39,FALSE)*(1+interactive!$C$7)</f>
        <v>7.4643935642659262E-3</v>
      </c>
      <c r="AN327">
        <f>VLOOKUP($A327,raw[],40,FALSE)*(1+interactive!$C$7)</f>
        <v>1.0485746465616855E-2</v>
      </c>
      <c r="AO327">
        <f>VLOOKUP($A327,raw[],41,FALSE)*(1+interactive!$C$7)</f>
        <v>1.4954558362932574E-2</v>
      </c>
      <c r="AP327">
        <f>VLOOKUP($A327,raw[],42,FALSE)*(1+interactive!$C$7)</f>
        <v>2.3498902756790042E-2</v>
      </c>
      <c r="AQ327">
        <f>VLOOKUP($A327,raw[],43,FALSE)*(1+interactive!$C$7)</f>
        <v>3.6413878600653191E-2</v>
      </c>
      <c r="AR327">
        <f>VLOOKUP($A327,raw[],44,FALSE)*(1+interactive!$C$7)</f>
        <v>5.8433438655127345E-2</v>
      </c>
      <c r="AS327">
        <f>VLOOKUP($A327,raw[],45,FALSE)*(1+interactive!$C$7)</f>
        <v>8.9687753740723922E-2</v>
      </c>
      <c r="AT327">
        <f>VLOOKUP($A327,raw[],46,FALSE)*(1+interactive!$C$7)</f>
        <v>0.12784537400537241</v>
      </c>
      <c r="AU327">
        <f>VLOOKUP($A327,raw[],47,FALSE)*(1+interactive!$C$7)</f>
        <v>0.16246672435143339</v>
      </c>
      <c r="AV327">
        <f>VLOOKUP($A327,raw[],48,FALSE)*(1+interactive!$C$7)</f>
        <v>0.18605618074129321</v>
      </c>
      <c r="AW327">
        <f>VLOOKUP($A327,raw[],49,FALSE)*(1+interactive!$C$7)</f>
        <v>0.19741801182182186</v>
      </c>
      <c r="AX327">
        <f>VLOOKUP($A327,raw[],50,FALSE)*(1+interactive!$C$7)</f>
        <v>64.096199999999996</v>
      </c>
    </row>
    <row r="328" spans="1:50" x14ac:dyDescent="0.25">
      <c r="A328" s="53" t="s">
        <v>324</v>
      </c>
      <c r="B328" s="54" t="s">
        <v>325</v>
      </c>
      <c r="C328" s="54">
        <v>624</v>
      </c>
      <c r="D328" s="54" t="s">
        <v>207</v>
      </c>
      <c r="E328" s="54" t="s">
        <v>235</v>
      </c>
      <c r="F328" s="54" t="s">
        <v>211</v>
      </c>
      <c r="G328" s="54" t="s">
        <v>198</v>
      </c>
      <c r="J328">
        <f>MIN(VLOOKUP($A328,raw[],10,FALSE)*(1+interactive!$C$7),0.999)</f>
        <v>0.46200000000000002</v>
      </c>
      <c r="K328">
        <f>MIN(VLOOKUP($A328,raw[],11,FALSE)*(1+interactive!$C$7),0.999)</f>
        <v>0</v>
      </c>
      <c r="L328">
        <f>MIN(VLOOKUP($A328,raw[],12,FALSE)*(1+interactive!$C$7),0.999)</f>
        <v>0.77700000000000002</v>
      </c>
      <c r="M328">
        <v>0.3075</v>
      </c>
      <c r="N328">
        <f>IFERROR(VLOOKUP($A328,[2]!hbe_prev[#Data],5,FALSE),0)</f>
        <v>0.41070000000000001</v>
      </c>
      <c r="O328">
        <f>VLOOKUP($F328,[2]!hbe_risk[#All],4,FALSE)</f>
        <v>0.74399999999999999</v>
      </c>
      <c r="P328">
        <f>VLOOKUP($F328,[2]!hbe_risk[#All],7,FALSE)</f>
        <v>0.13300000000000001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6.7876741745682034</v>
      </c>
      <c r="W328">
        <v>11.859174174568203</v>
      </c>
      <c r="X328">
        <v>6.7755984411410779</v>
      </c>
      <c r="Y328">
        <v>11.847098441141078</v>
      </c>
      <c r="Z328">
        <v>11.840544100726426</v>
      </c>
      <c r="AA328">
        <v>6.7904608822821562</v>
      </c>
      <c r="AB328">
        <v>11.861960882282157</v>
      </c>
      <c r="AC328">
        <f>VLOOKUP($A328,raw[],29,FALSE)*(1+interactive!$C$7)</f>
        <v>5.9993891999999979E-2</v>
      </c>
      <c r="AD328">
        <f>VLOOKUP($A328,raw[],30,FALSE)*(1+interactive!$C$7)</f>
        <v>7.0498760498556448E-3</v>
      </c>
      <c r="AE328">
        <f>VLOOKUP($A328,raw[],31,FALSE)*(1+interactive!$C$7)</f>
        <v>2.7742593026925961E-3</v>
      </c>
      <c r="AF328">
        <f>VLOOKUP($A328,raw[],32,FALSE)*(1+interactive!$C$7)</f>
        <v>1.9511884984040506E-3</v>
      </c>
      <c r="AG328">
        <f>VLOOKUP($A328,raw[],33,FALSE)*(1+interactive!$C$7)</f>
        <v>2.896362658566241E-3</v>
      </c>
      <c r="AH328">
        <f>VLOOKUP($A328,raw[],34,FALSE)*(1+interactive!$C$7)</f>
        <v>4.2707239403003442E-3</v>
      </c>
      <c r="AI328">
        <f>VLOOKUP($A328,raw[],35,FALSE)*(1+interactive!$C$7)</f>
        <v>5.396555867944311E-3</v>
      </c>
      <c r="AJ328">
        <f>VLOOKUP($A328,raw[],36,FALSE)*(1+interactive!$C$7)</f>
        <v>6.5936793803368426E-3</v>
      </c>
      <c r="AK328">
        <f>VLOOKUP($A328,raw[],37,FALSE)*(1+interactive!$C$7)</f>
        <v>8.2372583866583467E-3</v>
      </c>
      <c r="AL328">
        <f>VLOOKUP($A328,raw[],38,FALSE)*(1+interactive!$C$7)</f>
        <v>9.984233390263976E-3</v>
      </c>
      <c r="AM328">
        <f>VLOOKUP($A328,raw[],39,FALSE)*(1+interactive!$C$7)</f>
        <v>1.1972046214426378E-2</v>
      </c>
      <c r="AN328">
        <f>VLOOKUP($A328,raw[],40,FALSE)*(1+interactive!$C$7)</f>
        <v>1.5585866714706033E-2</v>
      </c>
      <c r="AO328">
        <f>VLOOKUP($A328,raw[],41,FALSE)*(1+interactive!$C$7)</f>
        <v>1.9820299206392247E-2</v>
      </c>
      <c r="AP328">
        <f>VLOOKUP($A328,raw[],42,FALSE)*(1+interactive!$C$7)</f>
        <v>2.7901741904926045E-2</v>
      </c>
      <c r="AQ328">
        <f>VLOOKUP($A328,raw[],43,FALSE)*(1+interactive!$C$7)</f>
        <v>4.0774328990910581E-2</v>
      </c>
      <c r="AR328">
        <f>VLOOKUP($A328,raw[],44,FALSE)*(1+interactive!$C$7)</f>
        <v>6.0690493984278303E-2</v>
      </c>
      <c r="AS328">
        <f>VLOOKUP($A328,raw[],45,FALSE)*(1+interactive!$C$7)</f>
        <v>8.8706089706367675E-2</v>
      </c>
      <c r="AT328">
        <f>VLOOKUP($A328,raw[],46,FALSE)*(1+interactive!$C$7)</f>
        <v>0.12680589056312347</v>
      </c>
      <c r="AU328">
        <f>VLOOKUP($A328,raw[],47,FALSE)*(1+interactive!$C$7)</f>
        <v>0.16634345042019608</v>
      </c>
      <c r="AV328">
        <f>VLOOKUP($A328,raw[],48,FALSE)*(1+interactive!$C$7)</f>
        <v>0.1935066490589358</v>
      </c>
      <c r="AW328">
        <f>VLOOKUP($A328,raw[],49,FALSE)*(1+interactive!$C$7)</f>
        <v>0.19933349476755366</v>
      </c>
      <c r="AX328">
        <f>VLOOKUP($A328,raw[],50,FALSE)*(1+interactive!$C$7)</f>
        <v>60.709950000000006</v>
      </c>
    </row>
    <row r="329" spans="1:50" x14ac:dyDescent="0.25">
      <c r="A329" s="55" t="s">
        <v>326</v>
      </c>
      <c r="B329" s="56" t="s">
        <v>327</v>
      </c>
      <c r="C329" s="56">
        <v>328</v>
      </c>
      <c r="D329" s="56" t="s">
        <v>215</v>
      </c>
      <c r="E329" s="56" t="s">
        <v>232</v>
      </c>
      <c r="F329" s="56" t="s">
        <v>217</v>
      </c>
      <c r="G329" s="56" t="s">
        <v>204</v>
      </c>
      <c r="J329">
        <f>MIN(VLOOKUP($A329,raw[],10,FALSE)*(1+interactive!$C$7),0.999)</f>
        <v>0.97335000000000005</v>
      </c>
      <c r="K329">
        <f>MIN(VLOOKUP($A329,raw[],11,FALSE)*(1+interactive!$C$7),0.999)</f>
        <v>0.73499999999999999</v>
      </c>
      <c r="L329">
        <f>MIN(VLOOKUP($A329,raw[],12,FALSE)*(1+interactive!$C$7),0.999)</f>
        <v>0.999</v>
      </c>
      <c r="M329">
        <v>9.9299999999999999E-2</v>
      </c>
      <c r="N329">
        <f>IFERROR(VLOOKUP($A329,[2]!hbe_prev[#Data],5,FALSE),0)</f>
        <v>0.43</v>
      </c>
      <c r="O329">
        <f>VLOOKUP($F329,[2]!hbe_risk[#All],4,FALSE)</f>
        <v>0.9</v>
      </c>
      <c r="P329">
        <f>VLOOKUP($F329,[2]!hbe_risk[#All],7,FALSE)</f>
        <v>0.3</v>
      </c>
      <c r="Q329">
        <v>19.565579310344802</v>
      </c>
      <c r="R329">
        <v>128.55137931034483</v>
      </c>
      <c r="S329">
        <v>178.65298317739118</v>
      </c>
      <c r="T329">
        <v>189.52112815417266</v>
      </c>
      <c r="U329">
        <v>184.53070570415375</v>
      </c>
      <c r="V329">
        <v>15.45001860354415</v>
      </c>
      <c r="W329">
        <v>15.471018603544151</v>
      </c>
      <c r="X329">
        <v>15.407845436438151</v>
      </c>
      <c r="Y329">
        <v>15.428845436438152</v>
      </c>
      <c r="Z329">
        <v>15.404849632661517</v>
      </c>
      <c r="AA329">
        <v>15.459750872876302</v>
      </c>
      <c r="AB329">
        <v>15.480750872876303</v>
      </c>
      <c r="AC329">
        <f>VLOOKUP($A329,raw[],29,FALSE)*(1+interactive!$C$7)</f>
        <v>2.8109665500000051E-2</v>
      </c>
      <c r="AD329">
        <f>VLOOKUP($A329,raw[],30,FALSE)*(1+interactive!$C$7)</f>
        <v>1.49086511396099E-3</v>
      </c>
      <c r="AE329">
        <f>VLOOKUP($A329,raw[],31,FALSE)*(1+interactive!$C$7)</f>
        <v>9.9295108010844803E-4</v>
      </c>
      <c r="AF329">
        <f>VLOOKUP($A329,raw[],32,FALSE)*(1+interactive!$C$7)</f>
        <v>8.1067507035916973E-4</v>
      </c>
      <c r="AG329">
        <f>VLOOKUP($A329,raw[],33,FALSE)*(1+interactive!$C$7)</f>
        <v>1.8118492092341015E-3</v>
      </c>
      <c r="AH329">
        <f>VLOOKUP($A329,raw[],34,FALSE)*(1+interactive!$C$7)</f>
        <v>2.9545207686026654E-3</v>
      </c>
      <c r="AI329">
        <f>VLOOKUP($A329,raw[],35,FALSE)*(1+interactive!$C$7)</f>
        <v>3.6917596037999829E-3</v>
      </c>
      <c r="AJ329">
        <f>VLOOKUP($A329,raw[],36,FALSE)*(1+interactive!$C$7)</f>
        <v>3.9654386049692899E-3</v>
      </c>
      <c r="AK329">
        <f>VLOOKUP($A329,raw[],37,FALSE)*(1+interactive!$C$7)</f>
        <v>4.6099533613859255E-3</v>
      </c>
      <c r="AL329">
        <f>VLOOKUP($A329,raw[],38,FALSE)*(1+interactive!$C$7)</f>
        <v>5.2610919138176577E-3</v>
      </c>
      <c r="AM329">
        <f>VLOOKUP($A329,raw[],39,FALSE)*(1+interactive!$C$7)</f>
        <v>6.2840229222297156E-3</v>
      </c>
      <c r="AN329">
        <f>VLOOKUP($A329,raw[],40,FALSE)*(1+interactive!$C$7)</f>
        <v>1.1503630244220978E-2</v>
      </c>
      <c r="AO329">
        <f>VLOOKUP($A329,raw[],41,FALSE)*(1+interactive!$C$7)</f>
        <v>1.3166796921062221E-2</v>
      </c>
      <c r="AP329">
        <f>VLOOKUP($A329,raw[],42,FALSE)*(1+interactive!$C$7)</f>
        <v>1.8257430937563601E-2</v>
      </c>
      <c r="AQ329">
        <f>VLOOKUP($A329,raw[],43,FALSE)*(1+interactive!$C$7)</f>
        <v>2.4107825647710537E-2</v>
      </c>
      <c r="AR329">
        <f>VLOOKUP($A329,raw[],44,FALSE)*(1+interactive!$C$7)</f>
        <v>3.2427761630128379E-2</v>
      </c>
      <c r="AS329">
        <f>VLOOKUP($A329,raw[],45,FALSE)*(1+interactive!$C$7)</f>
        <v>4.9049365398026325E-2</v>
      </c>
      <c r="AT329">
        <f>VLOOKUP($A329,raw[],46,FALSE)*(1+interactive!$C$7)</f>
        <v>6.2734951646005399E-2</v>
      </c>
      <c r="AU329">
        <f>VLOOKUP($A329,raw[],47,FALSE)*(1+interactive!$C$7)</f>
        <v>8.2640185370226674E-2</v>
      </c>
      <c r="AV329">
        <f>VLOOKUP($A329,raw[],48,FALSE)*(1+interactive!$C$7)</f>
        <v>0.10409162231405004</v>
      </c>
      <c r="AW329">
        <f>VLOOKUP($A329,raw[],49,FALSE)*(1+interactive!$C$7)</f>
        <v>0.12573821260563994</v>
      </c>
      <c r="AX329">
        <f>VLOOKUP($A329,raw[],50,FALSE)*(1+interactive!$C$7)</f>
        <v>73.198650000000001</v>
      </c>
    </row>
    <row r="330" spans="1:50" x14ac:dyDescent="0.25">
      <c r="A330" s="53" t="s">
        <v>328</v>
      </c>
      <c r="B330" s="54" t="s">
        <v>329</v>
      </c>
      <c r="C330" s="54">
        <v>332</v>
      </c>
      <c r="D330" s="54" t="s">
        <v>215</v>
      </c>
      <c r="E330" s="54" t="s">
        <v>232</v>
      </c>
      <c r="F330" s="54" t="s">
        <v>217</v>
      </c>
      <c r="G330" s="54" t="s">
        <v>198</v>
      </c>
      <c r="J330">
        <f>MIN(VLOOKUP($A330,raw[],10,FALSE)*(1+interactive!$C$7),0.999)</f>
        <v>0.41369999999999996</v>
      </c>
      <c r="K330">
        <f>MIN(VLOOKUP($A330,raw[],11,FALSE)*(1+interactive!$C$7),0.999)</f>
        <v>0</v>
      </c>
      <c r="L330">
        <f>MIN(VLOOKUP($A330,raw[],12,FALSE)*(1+interactive!$C$7),0.999)</f>
        <v>0.53550000000000009</v>
      </c>
      <c r="M330">
        <v>4.2800000000000005E-2</v>
      </c>
      <c r="N330">
        <f>IFERROR(VLOOKUP($A330,[2]!hbe_prev[#Data],5,FALSE),0)</f>
        <v>0.43</v>
      </c>
      <c r="O330">
        <f>VLOOKUP($F330,[2]!hbe_risk[#All],4,FALSE)</f>
        <v>0.9</v>
      </c>
      <c r="P330">
        <f>VLOOKUP($F330,[2]!hbe_risk[#All],7,FALSE)</f>
        <v>0.3</v>
      </c>
      <c r="Q330">
        <v>8.0660806306306299</v>
      </c>
      <c r="R330">
        <v>117.05188063063065</v>
      </c>
      <c r="S330">
        <v>149.71716460040886</v>
      </c>
      <c r="T330">
        <v>151.51031449005035</v>
      </c>
      <c r="U330">
        <v>150.68693796308708</v>
      </c>
      <c r="V330">
        <v>2.8553788103283368</v>
      </c>
      <c r="W330">
        <v>2.8763788103283368</v>
      </c>
      <c r="X330">
        <v>2.8412425160432204</v>
      </c>
      <c r="Y330">
        <v>2.8622425160432203</v>
      </c>
      <c r="Z330">
        <v>2.8542689480892007</v>
      </c>
      <c r="AA330">
        <v>2.8586410320864406</v>
      </c>
      <c r="AB330">
        <v>2.8796410320864405</v>
      </c>
      <c r="AC330">
        <f>VLOOKUP($A330,raw[],29,FALSE)*(1+interactive!$C$7)</f>
        <v>5.7040147500000041E-2</v>
      </c>
      <c r="AD330">
        <f>VLOOKUP($A330,raw[],30,FALSE)*(1+interactive!$C$7)</f>
        <v>7.4205663503902914E-3</v>
      </c>
      <c r="AE330">
        <f>VLOOKUP($A330,raw[],31,FALSE)*(1+interactive!$C$7)</f>
        <v>2.6404444715770487E-3</v>
      </c>
      <c r="AF330">
        <f>VLOOKUP($A330,raw[],32,FALSE)*(1+interactive!$C$7)</f>
        <v>2.1486576428291428E-3</v>
      </c>
      <c r="AG330">
        <f>VLOOKUP($A330,raw[],33,FALSE)*(1+interactive!$C$7)</f>
        <v>2.6588077065428199E-3</v>
      </c>
      <c r="AH330">
        <f>VLOOKUP($A330,raw[],34,FALSE)*(1+interactive!$C$7)</f>
        <v>3.3593780616230431E-3</v>
      </c>
      <c r="AI330">
        <f>VLOOKUP($A330,raw[],35,FALSE)*(1+interactive!$C$7)</f>
        <v>3.9900289771890984E-3</v>
      </c>
      <c r="AJ330">
        <f>VLOOKUP($A330,raw[],36,FALSE)*(1+interactive!$C$7)</f>
        <v>4.5347711191606674E-3</v>
      </c>
      <c r="AK330">
        <f>VLOOKUP($A330,raw[],37,FALSE)*(1+interactive!$C$7)</f>
        <v>5.0887955226757891E-3</v>
      </c>
      <c r="AL330">
        <f>VLOOKUP($A330,raw[],38,FALSE)*(1+interactive!$C$7)</f>
        <v>5.8250385227866771E-3</v>
      </c>
      <c r="AM330">
        <f>VLOOKUP($A330,raw[],39,FALSE)*(1+interactive!$C$7)</f>
        <v>7.0018002095518402E-3</v>
      </c>
      <c r="AN330">
        <f>VLOOKUP($A330,raw[],40,FALSE)*(1+interactive!$C$7)</f>
        <v>9.0041316181609828E-3</v>
      </c>
      <c r="AO330">
        <f>VLOOKUP($A330,raw[],41,FALSE)*(1+interactive!$C$7)</f>
        <v>1.2400312391851822E-2</v>
      </c>
      <c r="AP330">
        <f>VLOOKUP($A330,raw[],42,FALSE)*(1+interactive!$C$7)</f>
        <v>1.8049033182618589E-2</v>
      </c>
      <c r="AQ330">
        <f>VLOOKUP($A330,raw[],43,FALSE)*(1+interactive!$C$7)</f>
        <v>2.7147381763469477E-2</v>
      </c>
      <c r="AR330">
        <f>VLOOKUP($A330,raw[],44,FALSE)*(1+interactive!$C$7)</f>
        <v>4.13878636686517E-2</v>
      </c>
      <c r="AS330">
        <f>VLOOKUP($A330,raw[],45,FALSE)*(1+interactive!$C$7)</f>
        <v>6.2376032156177062E-2</v>
      </c>
      <c r="AT330">
        <f>VLOOKUP($A330,raw[],46,FALSE)*(1+interactive!$C$7)</f>
        <v>8.5893149357849766E-2</v>
      </c>
      <c r="AU330">
        <f>VLOOKUP($A330,raw[],47,FALSE)*(1+interactive!$C$7)</f>
        <v>0.11113244906708877</v>
      </c>
      <c r="AV330">
        <f>VLOOKUP($A330,raw[],48,FALSE)*(1+interactive!$C$7)</f>
        <v>0.1349973880947645</v>
      </c>
      <c r="AW330">
        <f>VLOOKUP($A330,raw[],49,FALSE)*(1+interactive!$C$7)</f>
        <v>0.15564628846374504</v>
      </c>
      <c r="AX330">
        <f>VLOOKUP($A330,raw[],50,FALSE)*(1+interactive!$C$7)</f>
        <v>66.694950000000006</v>
      </c>
    </row>
    <row r="331" spans="1:50" x14ac:dyDescent="0.25">
      <c r="A331" s="55" t="s">
        <v>330</v>
      </c>
      <c r="B331" s="56" t="s">
        <v>331</v>
      </c>
      <c r="C331" s="56">
        <v>340</v>
      </c>
      <c r="D331" s="56" t="s">
        <v>215</v>
      </c>
      <c r="E331" s="56" t="s">
        <v>274</v>
      </c>
      <c r="F331" s="56" t="s">
        <v>217</v>
      </c>
      <c r="G331" s="56" t="s">
        <v>212</v>
      </c>
      <c r="J331">
        <f>MIN(VLOOKUP($A331,raw[],10,FALSE)*(1+interactive!$C$7),0.999)</f>
        <v>0.86835000000000007</v>
      </c>
      <c r="K331">
        <f>MIN(VLOOKUP($A331,raw[],11,FALSE)*(1+interactive!$C$7),0.999)</f>
        <v>0.74549999999999994</v>
      </c>
      <c r="L331">
        <f>MIN(VLOOKUP($A331,raw[],12,FALSE)*(1+interactive!$C$7),0.999)</f>
        <v>0.84000000000000008</v>
      </c>
      <c r="M331">
        <v>2.1499999999999998E-2</v>
      </c>
      <c r="N331">
        <f>IFERROR(VLOOKUP($A331,[2]!hbe_prev[#Data],5,FALSE),0)</f>
        <v>0.42950000000000005</v>
      </c>
      <c r="O331">
        <f>VLOOKUP($F331,[2]!hbe_risk[#All],4,FALSE)</f>
        <v>0.9</v>
      </c>
      <c r="P331">
        <f>VLOOKUP($F331,[2]!hbe_risk[#All],7,FALSE)</f>
        <v>0.3</v>
      </c>
      <c r="Q331">
        <v>13.798982044628961</v>
      </c>
      <c r="R331">
        <v>122.78478204462897</v>
      </c>
      <c r="S331">
        <v>166.6097940814756</v>
      </c>
      <c r="T331">
        <v>174.21119238472477</v>
      </c>
      <c r="U331">
        <v>170.7207909569639</v>
      </c>
      <c r="V331">
        <v>6.5421613407972057</v>
      </c>
      <c r="W331">
        <v>6.5631613407972056</v>
      </c>
      <c r="X331">
        <v>6.5154049466467345</v>
      </c>
      <c r="Y331">
        <v>6.5364049466467344</v>
      </c>
      <c r="Z331">
        <v>6.5211703883760812</v>
      </c>
      <c r="AA331">
        <v>6.5483358932934683</v>
      </c>
      <c r="AB331">
        <v>6.5693358932934682</v>
      </c>
      <c r="AC331">
        <f>VLOOKUP($A331,raw[],29,FALSE)*(1+interactive!$C$7)</f>
        <v>1.5792073499999979E-2</v>
      </c>
      <c r="AD331">
        <f>VLOOKUP($A331,raw[],30,FALSE)*(1+interactive!$C$7)</f>
        <v>1.6717639467830933E-3</v>
      </c>
      <c r="AE331">
        <f>VLOOKUP($A331,raw[],31,FALSE)*(1+interactive!$C$7)</f>
        <v>9.0188754814369773E-4</v>
      </c>
      <c r="AF331">
        <f>VLOOKUP($A331,raw[],32,FALSE)*(1+interactive!$C$7)</f>
        <v>7.293703727815435E-4</v>
      </c>
      <c r="AG331">
        <f>VLOOKUP($A331,raw[],33,FALSE)*(1+interactive!$C$7)</f>
        <v>1.0476176304721121E-3</v>
      </c>
      <c r="AH331">
        <f>VLOOKUP($A331,raw[],34,FALSE)*(1+interactive!$C$7)</f>
        <v>1.5322109579639107E-3</v>
      </c>
      <c r="AI331">
        <f>VLOOKUP($A331,raw[],35,FALSE)*(1+interactive!$C$7)</f>
        <v>2.0238888702855222E-3</v>
      </c>
      <c r="AJ331">
        <f>VLOOKUP($A331,raw[],36,FALSE)*(1+interactive!$C$7)</f>
        <v>2.4914288009719454E-3</v>
      </c>
      <c r="AK331">
        <f>VLOOKUP($A331,raw[],37,FALSE)*(1+interactive!$C$7)</f>
        <v>2.973814171014646E-3</v>
      </c>
      <c r="AL331">
        <f>VLOOKUP($A331,raw[],38,FALSE)*(1+interactive!$C$7)</f>
        <v>3.5712719514487583E-3</v>
      </c>
      <c r="AM331">
        <f>VLOOKUP($A331,raw[],39,FALSE)*(1+interactive!$C$7)</f>
        <v>4.4353964606050145E-3</v>
      </c>
      <c r="AN331">
        <f>VLOOKUP($A331,raw[],40,FALSE)*(1+interactive!$C$7)</f>
        <v>5.797216795984458E-3</v>
      </c>
      <c r="AO331">
        <f>VLOOKUP($A331,raw[],41,FALSE)*(1+interactive!$C$7)</f>
        <v>8.0036799474726798E-3</v>
      </c>
      <c r="AP331">
        <f>VLOOKUP($A331,raw[],42,FALSE)*(1+interactive!$C$7)</f>
        <v>1.1584147559840711E-2</v>
      </c>
      <c r="AQ331">
        <f>VLOOKUP($A331,raw[],43,FALSE)*(1+interactive!$C$7)</f>
        <v>1.7335642049845654E-2</v>
      </c>
      <c r="AR331">
        <f>VLOOKUP($A331,raw[],44,FALSE)*(1+interactive!$C$7)</f>
        <v>2.6394264605353469E-2</v>
      </c>
      <c r="AS331">
        <f>VLOOKUP($A331,raw[],45,FALSE)*(1+interactive!$C$7)</f>
        <v>4.0219273780321488E-2</v>
      </c>
      <c r="AT331">
        <f>VLOOKUP($A331,raw[],46,FALSE)*(1+interactive!$C$7)</f>
        <v>6.0312289412620346E-2</v>
      </c>
      <c r="AU331">
        <f>VLOOKUP($A331,raw[],47,FALSE)*(1+interactive!$C$7)</f>
        <v>8.7474377440953904E-2</v>
      </c>
      <c r="AV331">
        <f>VLOOKUP($A331,raw[],48,FALSE)*(1+interactive!$C$7)</f>
        <v>0.12046970838195394</v>
      </c>
      <c r="AW331">
        <f>VLOOKUP($A331,raw[],49,FALSE)*(1+interactive!$C$7)</f>
        <v>0.15680807090473531</v>
      </c>
      <c r="AX331">
        <f>VLOOKUP($A331,raw[],50,FALSE)*(1+interactive!$C$7)</f>
        <v>78.741600000000005</v>
      </c>
    </row>
    <row r="332" spans="1:50" x14ac:dyDescent="0.25">
      <c r="A332" s="53" t="s">
        <v>332</v>
      </c>
      <c r="B332" s="54" t="s">
        <v>333</v>
      </c>
      <c r="C332" s="54">
        <v>356</v>
      </c>
      <c r="D332" s="54" t="s">
        <v>225</v>
      </c>
      <c r="E332" s="54" t="s">
        <v>226</v>
      </c>
      <c r="F332" s="54" t="s">
        <v>226</v>
      </c>
      <c r="G332" s="54" t="s">
        <v>212</v>
      </c>
      <c r="J332">
        <f>MIN(VLOOKUP($A332,raw[],10,FALSE)*(1+interactive!$C$7),0.999)</f>
        <v>0.82845000000000002</v>
      </c>
      <c r="K332">
        <f>MIN(VLOOKUP($A332,raw[],11,FALSE)*(1+interactive!$C$7),0.999)</f>
        <v>0.56700000000000006</v>
      </c>
      <c r="L332">
        <f>MIN(VLOOKUP($A332,raw[],12,FALSE)*(1+interactive!$C$7),0.999)</f>
        <v>0.89249999999999996</v>
      </c>
      <c r="M332">
        <v>1.9799999999999998E-2</v>
      </c>
      <c r="N332">
        <f>IFERROR(VLOOKUP($A332,[2]!hbe_prev[#Data],5,FALSE),0)</f>
        <v>0.35830000000000001</v>
      </c>
      <c r="O332">
        <f>VLOOKUP($F332,[2]!hbe_risk[#All],4,FALSE)</f>
        <v>0.9</v>
      </c>
      <c r="P332">
        <f>VLOOKUP($F332,[2]!hbe_risk[#All],7,FALSE)</f>
        <v>0.3</v>
      </c>
      <c r="Q332">
        <v>9.3750456843940704</v>
      </c>
      <c r="R332">
        <v>118.36084568439408</v>
      </c>
      <c r="S332">
        <v>155.65181324240226</v>
      </c>
      <c r="T332">
        <v>159.85246976676817</v>
      </c>
      <c r="U332">
        <v>157.92361708134678</v>
      </c>
      <c r="V332">
        <v>3.0990870911256891</v>
      </c>
      <c r="W332">
        <v>4.9994269251843662</v>
      </c>
      <c r="X332">
        <v>3.0773407399314148</v>
      </c>
      <c r="Y332">
        <v>4.9776805739900922</v>
      </c>
      <c r="Z332">
        <v>4.9651951512667765</v>
      </c>
      <c r="AA332">
        <v>3.1041054798628296</v>
      </c>
      <c r="AB332">
        <v>5.004445313921507</v>
      </c>
      <c r="AC332">
        <f>VLOOKUP($A332,raw[],29,FALSE)*(1+interactive!$C$7)</f>
        <v>3.3600000000000005E-2</v>
      </c>
      <c r="AD332">
        <f>VLOOKUP($A332,raw[],30,FALSE)*(1+interactive!$C$7)</f>
        <v>2.0081846590909126E-3</v>
      </c>
      <c r="AE332">
        <f>VLOOKUP($A332,raw[],31,FALSE)*(1+interactive!$C$7)</f>
        <v>7.5111822929503907E-4</v>
      </c>
      <c r="AF332">
        <f>VLOOKUP($A332,raw[],32,FALSE)*(1+interactive!$C$7)</f>
        <v>6.3168579649538678E-4</v>
      </c>
      <c r="AG332">
        <f>VLOOKUP($A332,raw[],33,FALSE)*(1+interactive!$C$7)</f>
        <v>9.9374396147896529E-4</v>
      </c>
      <c r="AH332">
        <f>VLOOKUP($A332,raw[],34,FALSE)*(1+interactive!$C$7)</f>
        <v>1.4418757883867452E-3</v>
      </c>
      <c r="AI332">
        <f>VLOOKUP($A332,raw[],35,FALSE)*(1+interactive!$C$7)</f>
        <v>1.6302938787652668E-3</v>
      </c>
      <c r="AJ332">
        <f>VLOOKUP($A332,raw[],36,FALSE)*(1+interactive!$C$7)</f>
        <v>2.0806540712741571E-3</v>
      </c>
      <c r="AK332">
        <f>VLOOKUP($A332,raw[],37,FALSE)*(1+interactive!$C$7)</f>
        <v>2.8809037149678733E-3</v>
      </c>
      <c r="AL332">
        <f>VLOOKUP($A332,raw[],38,FALSE)*(1+interactive!$C$7)</f>
        <v>3.8737288411454128E-3</v>
      </c>
      <c r="AM332">
        <f>VLOOKUP($A332,raw[],39,FALSE)*(1+interactive!$C$7)</f>
        <v>5.5633275713169424E-3</v>
      </c>
      <c r="AN332">
        <f>VLOOKUP($A332,raw[],40,FALSE)*(1+interactive!$C$7)</f>
        <v>8.9025352994668728E-3</v>
      </c>
      <c r="AO332">
        <f>VLOOKUP($A332,raw[],41,FALSE)*(1+interactive!$C$7)</f>
        <v>1.3227090473912609E-2</v>
      </c>
      <c r="AP332">
        <f>VLOOKUP($A332,raw[],42,FALSE)*(1+interactive!$C$7)</f>
        <v>1.9527255378280872E-2</v>
      </c>
      <c r="AQ332">
        <f>VLOOKUP($A332,raw[],43,FALSE)*(1+interactive!$C$7)</f>
        <v>2.9292368121390539E-2</v>
      </c>
      <c r="AR332">
        <f>VLOOKUP($A332,raw[],44,FALSE)*(1+interactive!$C$7)</f>
        <v>4.4992146679166824E-2</v>
      </c>
      <c r="AS332">
        <f>VLOOKUP($A332,raw[],45,FALSE)*(1+interactive!$C$7)</f>
        <v>6.3713977040217709E-2</v>
      </c>
      <c r="AT332">
        <f>VLOOKUP($A332,raw[],46,FALSE)*(1+interactive!$C$7)</f>
        <v>9.0951123657178709E-2</v>
      </c>
      <c r="AU332">
        <f>VLOOKUP($A332,raw[],47,FALSE)*(1+interactive!$C$7)</f>
        <v>0.12180646425240672</v>
      </c>
      <c r="AV332">
        <f>VLOOKUP($A332,raw[],48,FALSE)*(1+interactive!$C$7)</f>
        <v>0.15026254255736265</v>
      </c>
      <c r="AW332">
        <f>VLOOKUP($A332,raw[],49,FALSE)*(1+interactive!$C$7)</f>
        <v>0.14490689248034472</v>
      </c>
      <c r="AX332">
        <f>VLOOKUP($A332,raw[],50,FALSE)*(1+interactive!$C$7)</f>
        <v>72.735600000000005</v>
      </c>
    </row>
    <row r="333" spans="1:50" x14ac:dyDescent="0.25">
      <c r="A333" s="55" t="s">
        <v>334</v>
      </c>
      <c r="B333" s="56" t="s">
        <v>335</v>
      </c>
      <c r="C333" s="56">
        <v>360</v>
      </c>
      <c r="D333" s="56" t="s">
        <v>225</v>
      </c>
      <c r="E333" s="56" t="s">
        <v>261</v>
      </c>
      <c r="F333" s="56" t="s">
        <v>262</v>
      </c>
      <c r="G333" s="56" t="s">
        <v>212</v>
      </c>
      <c r="J333">
        <f>MIN(VLOOKUP($A333,raw[],10,FALSE)*(1+interactive!$C$7),0.999)</f>
        <v>0.82950000000000013</v>
      </c>
      <c r="K333">
        <f>MIN(VLOOKUP($A333,raw[],11,FALSE)*(1+interactive!$C$7),0.999)</f>
        <v>0.76649999999999996</v>
      </c>
      <c r="L333">
        <f>MIN(VLOOKUP($A333,raw[],12,FALSE)*(1+interactive!$C$7),0.999)</f>
        <v>0.80850000000000011</v>
      </c>
      <c r="M333">
        <v>6.6900000000000001E-2</v>
      </c>
      <c r="N333">
        <f>IFERROR(VLOOKUP($A333,[2]!hbe_prev[#Data],5,FALSE),0)</f>
        <v>0.47729999999999995</v>
      </c>
      <c r="O333">
        <f>VLOOKUP($F333,[2]!hbe_risk[#All],4,FALSE)</f>
        <v>0.9</v>
      </c>
      <c r="P333">
        <f>VLOOKUP($F333,[2]!hbe_risk[#All],7,FALSE)</f>
        <v>0.3</v>
      </c>
      <c r="Q333">
        <v>12.10995539568345</v>
      </c>
      <c r="R333">
        <v>121.09575539568347</v>
      </c>
      <c r="S333">
        <v>163.52065691634758</v>
      </c>
      <c r="T333">
        <v>170.39334663139286</v>
      </c>
      <c r="U333">
        <v>167.23755278439791</v>
      </c>
      <c r="V333">
        <v>3.9173705572977644</v>
      </c>
      <c r="W333">
        <v>4.5788705572977646</v>
      </c>
      <c r="X333">
        <v>3.8753023074746284</v>
      </c>
      <c r="Y333">
        <v>4.5368023074746286</v>
      </c>
      <c r="Z333">
        <v>4.5136896179781134</v>
      </c>
      <c r="AA333">
        <v>3.9270786149492571</v>
      </c>
      <c r="AB333">
        <v>4.5885786149492569</v>
      </c>
      <c r="AC333">
        <f>VLOOKUP($A333,raw[],29,FALSE)*(1+interactive!$C$7)</f>
        <v>1.9869024000000002E-2</v>
      </c>
      <c r="AD333">
        <f>VLOOKUP($A333,raw[],30,FALSE)*(1+interactive!$C$7)</f>
        <v>1.5983280957566452E-3</v>
      </c>
      <c r="AE333">
        <f>VLOOKUP($A333,raw[],31,FALSE)*(1+interactive!$C$7)</f>
        <v>5.317669518702259E-4</v>
      </c>
      <c r="AF333">
        <f>VLOOKUP($A333,raw[],32,FALSE)*(1+interactive!$C$7)</f>
        <v>4.6992266743958847E-4</v>
      </c>
      <c r="AG333">
        <f>VLOOKUP($A333,raw[],33,FALSE)*(1+interactive!$C$7)</f>
        <v>9.8525335156254032E-4</v>
      </c>
      <c r="AH333">
        <f>VLOOKUP($A333,raw[],34,FALSE)*(1+interactive!$C$7)</f>
        <v>1.294545076868453E-3</v>
      </c>
      <c r="AI333">
        <f>VLOOKUP($A333,raw[],35,FALSE)*(1+interactive!$C$7)</f>
        <v>1.3718696299308646E-3</v>
      </c>
      <c r="AJ333">
        <f>VLOOKUP($A333,raw[],36,FALSE)*(1+interactive!$C$7)</f>
        <v>1.6319205705330731E-3</v>
      </c>
      <c r="AK333">
        <f>VLOOKUP($A333,raw[],37,FALSE)*(1+interactive!$C$7)</f>
        <v>2.1955601320357318E-3</v>
      </c>
      <c r="AL333">
        <f>VLOOKUP($A333,raw[],38,FALSE)*(1+interactive!$C$7)</f>
        <v>3.1497590788818132E-3</v>
      </c>
      <c r="AM333">
        <f>VLOOKUP($A333,raw[],39,FALSE)*(1+interactive!$C$7)</f>
        <v>4.8260066024062532E-3</v>
      </c>
      <c r="AN333">
        <f>VLOOKUP($A333,raw[],40,FALSE)*(1+interactive!$C$7)</f>
        <v>7.4628070438420829E-3</v>
      </c>
      <c r="AO333">
        <f>VLOOKUP($A333,raw[],41,FALSE)*(1+interactive!$C$7)</f>
        <v>1.1589469335299878E-2</v>
      </c>
      <c r="AP333">
        <f>VLOOKUP($A333,raw[],42,FALSE)*(1+interactive!$C$7)</f>
        <v>1.78593161261161E-2</v>
      </c>
      <c r="AQ333">
        <f>VLOOKUP($A333,raw[],43,FALSE)*(1+interactive!$C$7)</f>
        <v>2.7082054787097947E-2</v>
      </c>
      <c r="AR333">
        <f>VLOOKUP($A333,raw[],44,FALSE)*(1+interactive!$C$7)</f>
        <v>4.1457301910177359E-2</v>
      </c>
      <c r="AS333">
        <f>VLOOKUP($A333,raw[],45,FALSE)*(1+interactive!$C$7)</f>
        <v>6.4054375396910709E-2</v>
      </c>
      <c r="AT333">
        <f>VLOOKUP($A333,raw[],46,FALSE)*(1+interactive!$C$7)</f>
        <v>9.3890542058254117E-2</v>
      </c>
      <c r="AU333">
        <f>VLOOKUP($A333,raw[],47,FALSE)*(1+interactive!$C$7)</f>
        <v>0.12900237788885924</v>
      </c>
      <c r="AV333">
        <f>VLOOKUP($A333,raw[],48,FALSE)*(1+interactive!$C$7)</f>
        <v>0.15996857237431761</v>
      </c>
      <c r="AW333">
        <f>VLOOKUP($A333,raw[],49,FALSE)*(1+interactive!$C$7)</f>
        <v>0.18287860799293942</v>
      </c>
      <c r="AX333">
        <f>VLOOKUP($A333,raw[],50,FALSE)*(1+interactive!$C$7)</f>
        <v>74.979450000000014</v>
      </c>
    </row>
    <row r="334" spans="1:50" x14ac:dyDescent="0.25">
      <c r="A334" s="53" t="s">
        <v>336</v>
      </c>
      <c r="B334" s="54" t="s">
        <v>337</v>
      </c>
      <c r="C334" s="54">
        <v>364</v>
      </c>
      <c r="D334" s="54" t="s">
        <v>196</v>
      </c>
      <c r="E334" s="54" t="s">
        <v>197</v>
      </c>
      <c r="F334" s="54" t="s">
        <v>197</v>
      </c>
      <c r="G334" s="54" t="s">
        <v>204</v>
      </c>
      <c r="J334">
        <f>MIN(VLOOKUP($A334,raw[],10,FALSE)*(1+interactive!$C$7),0.999)</f>
        <v>0.999</v>
      </c>
      <c r="K334">
        <f>MIN(VLOOKUP($A334,raw[],11,FALSE)*(1+interactive!$C$7),0.999)</f>
        <v>0.99749999999999994</v>
      </c>
      <c r="L334">
        <f>MIN(VLOOKUP($A334,raw[],12,FALSE)*(1+interactive!$C$7),0.999)</f>
        <v>0.999</v>
      </c>
      <c r="M334">
        <v>1.37E-2</v>
      </c>
      <c r="N334">
        <f>IFERROR(VLOOKUP($A334,[2]!hbe_prev[#Data],5,FALSE),0)</f>
        <v>0.37619999999999998</v>
      </c>
      <c r="O334">
        <f>VLOOKUP($F334,[2]!hbe_risk[#All],4,FALSE)</f>
        <v>0.9</v>
      </c>
      <c r="P334">
        <f>VLOOKUP($F334,[2]!hbe_risk[#All],7,FALSE)</f>
        <v>0.3</v>
      </c>
      <c r="Q334">
        <v>26.116250390526599</v>
      </c>
      <c r="R334">
        <v>135.10205039052659</v>
      </c>
      <c r="S334">
        <v>227.37323977585478</v>
      </c>
      <c r="T334">
        <v>260.18918013949974</v>
      </c>
      <c r="U334">
        <v>245.12079396512678</v>
      </c>
      <c r="V334">
        <v>6.9508560537243849</v>
      </c>
      <c r="W334">
        <v>7.4548560537243844</v>
      </c>
      <c r="X334">
        <v>6.9210689951582811</v>
      </c>
      <c r="Y334">
        <v>7.4250689951582807</v>
      </c>
      <c r="Z334">
        <v>7.4063523011616876</v>
      </c>
      <c r="AA334">
        <v>6.9577299903165635</v>
      </c>
      <c r="AB334">
        <v>7.461729990316563</v>
      </c>
      <c r="AC334">
        <f>VLOOKUP($A334,raw[],29,FALSE)*(1+interactive!$C$7)</f>
        <v>1.3458322499999953E-2</v>
      </c>
      <c r="AD334">
        <f>VLOOKUP($A334,raw[],30,FALSE)*(1+interactive!$C$7)</f>
        <v>5.5841267656120972E-4</v>
      </c>
      <c r="AE334">
        <f>VLOOKUP($A334,raw[],31,FALSE)*(1+interactive!$C$7)</f>
        <v>1.8471629986170014E-4</v>
      </c>
      <c r="AF334">
        <f>VLOOKUP($A334,raw[],32,FALSE)*(1+interactive!$C$7)</f>
        <v>2.0574202178473276E-4</v>
      </c>
      <c r="AG334">
        <f>VLOOKUP($A334,raw[],33,FALSE)*(1+interactive!$C$7)</f>
        <v>4.4805471444909898E-4</v>
      </c>
      <c r="AH334">
        <f>VLOOKUP($A334,raw[],34,FALSE)*(1+interactive!$C$7)</f>
        <v>7.9738038658215245E-4</v>
      </c>
      <c r="AI334">
        <f>VLOOKUP($A334,raw[],35,FALSE)*(1+interactive!$C$7)</f>
        <v>6.2137479854789638E-4</v>
      </c>
      <c r="AJ334">
        <f>VLOOKUP($A334,raw[],36,FALSE)*(1+interactive!$C$7)</f>
        <v>6.773125844568551E-4</v>
      </c>
      <c r="AK334">
        <f>VLOOKUP($A334,raw[],37,FALSE)*(1+interactive!$C$7)</f>
        <v>7.4112321547917909E-4</v>
      </c>
      <c r="AL334">
        <f>VLOOKUP($A334,raw[],38,FALSE)*(1+interactive!$C$7)</f>
        <v>1.0916555623559725E-3</v>
      </c>
      <c r="AM334">
        <f>VLOOKUP($A334,raw[],39,FALSE)*(1+interactive!$C$7)</f>
        <v>1.8266907638754982E-3</v>
      </c>
      <c r="AN334">
        <f>VLOOKUP($A334,raw[],40,FALSE)*(1+interactive!$C$7)</f>
        <v>3.4010818631050768E-3</v>
      </c>
      <c r="AO334">
        <f>VLOOKUP($A334,raw[],41,FALSE)*(1+interactive!$C$7)</f>
        <v>5.0381783102678348E-3</v>
      </c>
      <c r="AP334">
        <f>VLOOKUP($A334,raw[],42,FALSE)*(1+interactive!$C$7)</f>
        <v>9.3134854406086241E-3</v>
      </c>
      <c r="AQ334">
        <f>VLOOKUP($A334,raw[],43,FALSE)*(1+interactive!$C$7)</f>
        <v>1.6971039634590228E-2</v>
      </c>
      <c r="AR334">
        <f>VLOOKUP($A334,raw[],44,FALSE)*(1+interactive!$C$7)</f>
        <v>3.3831010608886755E-2</v>
      </c>
      <c r="AS334">
        <f>VLOOKUP($A334,raw[],45,FALSE)*(1+interactive!$C$7)</f>
        <v>6.7229980862245561E-2</v>
      </c>
      <c r="AT334">
        <f>VLOOKUP($A334,raw[],46,FALSE)*(1+interactive!$C$7)</f>
        <v>9.675867699245766E-2</v>
      </c>
      <c r="AU334">
        <f>VLOOKUP($A334,raw[],47,FALSE)*(1+interactive!$C$7)</f>
        <v>0.13191119083738626</v>
      </c>
      <c r="AV334">
        <f>VLOOKUP($A334,raw[],48,FALSE)*(1+interactive!$C$7)</f>
        <v>0.16558841105245961</v>
      </c>
      <c r="AW334">
        <f>VLOOKUP($A334,raw[],49,FALSE)*(1+interactive!$C$7)</f>
        <v>0.18775466739068844</v>
      </c>
      <c r="AX334">
        <f>VLOOKUP($A334,raw[],50,FALSE)*(1+interactive!$C$7)</f>
        <v>80.163300000000007</v>
      </c>
    </row>
    <row r="335" spans="1:50" x14ac:dyDescent="0.25">
      <c r="A335" s="55" t="s">
        <v>338</v>
      </c>
      <c r="B335" s="56" t="s">
        <v>339</v>
      </c>
      <c r="C335" s="56">
        <v>368</v>
      </c>
      <c r="D335" s="56" t="s">
        <v>196</v>
      </c>
      <c r="E335" s="56" t="s">
        <v>197</v>
      </c>
      <c r="F335" s="56" t="s">
        <v>197</v>
      </c>
      <c r="G335" s="56" t="s">
        <v>204</v>
      </c>
      <c r="J335">
        <f>MIN(VLOOKUP($A335,raw[],10,FALSE)*(1+interactive!$C$7),0.999)</f>
        <v>0.9093</v>
      </c>
      <c r="K335">
        <f>MIN(VLOOKUP($A335,raw[],11,FALSE)*(1+interactive!$C$7),0.999)</f>
        <v>0.49349999999999999</v>
      </c>
      <c r="L335">
        <f>MIN(VLOOKUP($A335,raw[],12,FALSE)*(1+interactive!$C$7),0.999)</f>
        <v>0.77700000000000002</v>
      </c>
      <c r="M335">
        <v>2.6699999999999998E-2</v>
      </c>
      <c r="N335">
        <f>IFERROR(VLOOKUP($A335,[2]!hbe_prev[#Data],5,FALSE),0)</f>
        <v>0.37619999999999998</v>
      </c>
      <c r="O335">
        <f>VLOOKUP($F335,[2]!hbe_risk[#All],4,FALSE)</f>
        <v>0.9</v>
      </c>
      <c r="P335">
        <f>VLOOKUP($F335,[2]!hbe_risk[#All],7,FALSE)</f>
        <v>0.3</v>
      </c>
      <c r="Q335">
        <v>10.494096716101701</v>
      </c>
      <c r="R335">
        <v>119.47989671610171</v>
      </c>
      <c r="S335">
        <v>159.12979814879617</v>
      </c>
      <c r="T335">
        <v>164.55819730749059</v>
      </c>
      <c r="U335">
        <v>162.06559115555876</v>
      </c>
      <c r="V335">
        <v>5.8872018011390796</v>
      </c>
      <c r="W335">
        <v>6.3912018011390792</v>
      </c>
      <c r="X335">
        <v>5.8629923040767338</v>
      </c>
      <c r="Y335">
        <v>6.3669923040767333</v>
      </c>
      <c r="Z335">
        <v>6.3538306352385465</v>
      </c>
      <c r="AA335">
        <v>5.8927886081534666</v>
      </c>
      <c r="AB335">
        <v>6.3967886081534662</v>
      </c>
      <c r="AC335">
        <f>VLOOKUP($A335,raw[],29,FALSE)*(1+interactive!$C$7)</f>
        <v>2.531634000000002E-2</v>
      </c>
      <c r="AD335">
        <f>VLOOKUP($A335,raw[],30,FALSE)*(1+interactive!$C$7)</f>
        <v>1.1339808095017472E-3</v>
      </c>
      <c r="AE335">
        <f>VLOOKUP($A335,raw[],31,FALSE)*(1+interactive!$C$7)</f>
        <v>7.1212629535417633E-4</v>
      </c>
      <c r="AF335">
        <f>VLOOKUP($A335,raw[],32,FALSE)*(1+interactive!$C$7)</f>
        <v>5.9385741571829132E-4</v>
      </c>
      <c r="AG335">
        <f>VLOOKUP($A335,raw[],33,FALSE)*(1+interactive!$C$7)</f>
        <v>1.0504350099686313E-3</v>
      </c>
      <c r="AH335">
        <f>VLOOKUP($A335,raw[],34,FALSE)*(1+interactive!$C$7)</f>
        <v>1.4858813775139265E-3</v>
      </c>
      <c r="AI335">
        <f>VLOOKUP($A335,raw[],35,FALSE)*(1+interactive!$C$7)</f>
        <v>1.6004185945742446E-3</v>
      </c>
      <c r="AJ335">
        <f>VLOOKUP($A335,raw[],36,FALSE)*(1+interactive!$C$7)</f>
        <v>1.83530794092175E-3</v>
      </c>
      <c r="AK335">
        <f>VLOOKUP($A335,raw[],37,FALSE)*(1+interactive!$C$7)</f>
        <v>2.313926199303277E-3</v>
      </c>
      <c r="AL335">
        <f>VLOOKUP($A335,raw[],38,FALSE)*(1+interactive!$C$7)</f>
        <v>3.2453648241989354E-3</v>
      </c>
      <c r="AM335">
        <f>VLOOKUP($A335,raw[],39,FALSE)*(1+interactive!$C$7)</f>
        <v>4.9269924895710953E-3</v>
      </c>
      <c r="AN335">
        <f>VLOOKUP($A335,raw[],40,FALSE)*(1+interactive!$C$7)</f>
        <v>7.5229696541237335E-3</v>
      </c>
      <c r="AO335">
        <f>VLOOKUP($A335,raw[],41,FALSE)*(1+interactive!$C$7)</f>
        <v>1.1630352163331073E-2</v>
      </c>
      <c r="AP335">
        <f>VLOOKUP($A335,raw[],42,FALSE)*(1+interactive!$C$7)</f>
        <v>1.8076219864854696E-2</v>
      </c>
      <c r="AQ335">
        <f>VLOOKUP($A335,raw[],43,FALSE)*(1+interactive!$C$7)</f>
        <v>2.8603318144052894E-2</v>
      </c>
      <c r="AR335">
        <f>VLOOKUP($A335,raw[],44,FALSE)*(1+interactive!$C$7)</f>
        <v>4.5211923299575726E-2</v>
      </c>
      <c r="AS335">
        <f>VLOOKUP($A335,raw[],45,FALSE)*(1+interactive!$C$7)</f>
        <v>6.9239899546043274E-2</v>
      </c>
      <c r="AT335">
        <f>VLOOKUP($A335,raw[],46,FALSE)*(1+interactive!$C$7)</f>
        <v>0.10203123668849866</v>
      </c>
      <c r="AU335">
        <f>VLOOKUP($A335,raw[],47,FALSE)*(1+interactive!$C$7)</f>
        <v>0.1373325941575895</v>
      </c>
      <c r="AV335">
        <f>VLOOKUP($A335,raw[],48,FALSE)*(1+interactive!$C$7)</f>
        <v>0.16773222384353303</v>
      </c>
      <c r="AW335">
        <f>VLOOKUP($A335,raw[],49,FALSE)*(1+interactive!$C$7)</f>
        <v>0.18674116218268028</v>
      </c>
      <c r="AX335">
        <f>VLOOKUP($A335,raw[],50,FALSE)*(1+interactive!$C$7)</f>
        <v>73.886399999999995</v>
      </c>
    </row>
    <row r="336" spans="1:50" x14ac:dyDescent="0.25">
      <c r="A336" s="53" t="s">
        <v>340</v>
      </c>
      <c r="B336" s="54" t="s">
        <v>341</v>
      </c>
      <c r="C336" s="54">
        <v>388</v>
      </c>
      <c r="D336" s="54" t="s">
        <v>215</v>
      </c>
      <c r="E336" s="54" t="s">
        <v>232</v>
      </c>
      <c r="F336" s="54" t="s">
        <v>217</v>
      </c>
      <c r="G336" s="54" t="s">
        <v>204</v>
      </c>
      <c r="J336">
        <f>MIN(VLOOKUP($A336,raw[],10,FALSE)*(1+interactive!$C$7),0.999)</f>
        <v>0.999</v>
      </c>
      <c r="K336">
        <f>MIN(VLOOKUP($A336,raw[],11,FALSE)*(1+interactive!$C$7),0.999)</f>
        <v>0</v>
      </c>
      <c r="L336">
        <f>MIN(VLOOKUP($A336,raw[],12,FALSE)*(1+interactive!$C$7),0.999)</f>
        <v>0.99749999999999994</v>
      </c>
      <c r="M336">
        <v>4.1200000000000001E-2</v>
      </c>
      <c r="N336">
        <f>IFERROR(VLOOKUP($A336,[2]!hbe_prev[#Data],5,FALSE),0)</f>
        <v>0.43</v>
      </c>
      <c r="O336">
        <f>VLOOKUP($F336,[2]!hbe_risk[#All],4,FALSE)</f>
        <v>0.9</v>
      </c>
      <c r="P336">
        <f>VLOOKUP($F336,[2]!hbe_risk[#All],7,FALSE)</f>
        <v>0.3</v>
      </c>
      <c r="Q336">
        <v>23.354639534610399</v>
      </c>
      <c r="R336">
        <v>132.34043953461043</v>
      </c>
      <c r="S336">
        <v>201.33583872650186</v>
      </c>
      <c r="T336">
        <v>222.0375438100385</v>
      </c>
      <c r="U336">
        <v>212.53175841397857</v>
      </c>
      <c r="V336">
        <v>12.144102910204673</v>
      </c>
      <c r="W336">
        <v>12.165102910204673</v>
      </c>
      <c r="X336">
        <v>12.114753881492234</v>
      </c>
      <c r="Y336">
        <v>12.135753881492235</v>
      </c>
      <c r="Z336">
        <v>12.118347707762</v>
      </c>
      <c r="AA336">
        <v>12.150875762984466</v>
      </c>
      <c r="AB336">
        <v>12.171875762984467</v>
      </c>
      <c r="AC336">
        <f>VLOOKUP($A336,raw[],29,FALSE)*(1+interactive!$C$7)</f>
        <v>1.2361219500000058E-2</v>
      </c>
      <c r="AD336">
        <f>VLOOKUP($A336,raw[],30,FALSE)*(1+interactive!$C$7)</f>
        <v>8.4839973726287619E-4</v>
      </c>
      <c r="AE336">
        <f>VLOOKUP($A336,raw[],31,FALSE)*(1+interactive!$C$7)</f>
        <v>3.6026461476752004E-4</v>
      </c>
      <c r="AF336">
        <f>VLOOKUP($A336,raw[],32,FALSE)*(1+interactive!$C$7)</f>
        <v>3.4351085768505172E-4</v>
      </c>
      <c r="AG336">
        <f>VLOOKUP($A336,raw[],33,FALSE)*(1+interactive!$C$7)</f>
        <v>8.2836981671643398E-4</v>
      </c>
      <c r="AH336">
        <f>VLOOKUP($A336,raw[],34,FALSE)*(1+interactive!$C$7)</f>
        <v>1.1319560776694008E-3</v>
      </c>
      <c r="AI336">
        <f>VLOOKUP($A336,raw[],35,FALSE)*(1+interactive!$C$7)</f>
        <v>1.2054311884014434E-3</v>
      </c>
      <c r="AJ336">
        <f>VLOOKUP($A336,raw[],36,FALSE)*(1+interactive!$C$7)</f>
        <v>1.4423720720455817E-3</v>
      </c>
      <c r="AK336">
        <f>VLOOKUP($A336,raw[],37,FALSE)*(1+interactive!$C$7)</f>
        <v>1.9517706201661006E-3</v>
      </c>
      <c r="AL336">
        <f>VLOOKUP($A336,raw[],38,FALSE)*(1+interactive!$C$7)</f>
        <v>2.8533758647448148E-3</v>
      </c>
      <c r="AM336">
        <f>VLOOKUP($A336,raw[],39,FALSE)*(1+interactive!$C$7)</f>
        <v>4.4276788163067141E-3</v>
      </c>
      <c r="AN336">
        <f>VLOOKUP($A336,raw[],40,FALSE)*(1+interactive!$C$7)</f>
        <v>6.8970928109862994E-3</v>
      </c>
      <c r="AO336">
        <f>VLOOKUP($A336,raw[],41,FALSE)*(1+interactive!$C$7)</f>
        <v>1.0612424063641648E-2</v>
      </c>
      <c r="AP336">
        <f>VLOOKUP($A336,raw[],42,FALSE)*(1+interactive!$C$7)</f>
        <v>1.4869253583329434E-2</v>
      </c>
      <c r="AQ336">
        <f>VLOOKUP($A336,raw[],43,FALSE)*(1+interactive!$C$7)</f>
        <v>2.1023688699544747E-2</v>
      </c>
      <c r="AR336">
        <f>VLOOKUP($A336,raw[],44,FALSE)*(1+interactive!$C$7)</f>
        <v>3.1757470504404466E-2</v>
      </c>
      <c r="AS336">
        <f>VLOOKUP($A336,raw[],45,FALSE)*(1+interactive!$C$7)</f>
        <v>5.1018392212887634E-2</v>
      </c>
      <c r="AT336">
        <f>VLOOKUP($A336,raw[],46,FALSE)*(1+interactive!$C$7)</f>
        <v>7.8619034170265875E-2</v>
      </c>
      <c r="AU336">
        <f>VLOOKUP($A336,raw[],47,FALSE)*(1+interactive!$C$7)</f>
        <v>0.1130521063295285</v>
      </c>
      <c r="AV336">
        <f>VLOOKUP($A336,raw[],48,FALSE)*(1+interactive!$C$7)</f>
        <v>0.14621290912694762</v>
      </c>
      <c r="AW336">
        <f>VLOOKUP($A336,raw[],49,FALSE)*(1+interactive!$C$7)</f>
        <v>0.17218635636877758</v>
      </c>
      <c r="AX336">
        <f>VLOOKUP($A336,raw[],50,FALSE)*(1+interactive!$C$7)</f>
        <v>78.048599999999993</v>
      </c>
    </row>
    <row r="337" spans="1:50" x14ac:dyDescent="0.25">
      <c r="A337" s="55" t="s">
        <v>342</v>
      </c>
      <c r="B337" s="56" t="s">
        <v>343</v>
      </c>
      <c r="C337" s="56">
        <v>400</v>
      </c>
      <c r="D337" s="56" t="s">
        <v>196</v>
      </c>
      <c r="E337" s="56" t="s">
        <v>197</v>
      </c>
      <c r="F337" s="56" t="s">
        <v>197</v>
      </c>
      <c r="G337" s="56" t="s">
        <v>204</v>
      </c>
      <c r="J337">
        <f>MIN(VLOOKUP($A337,raw[],10,FALSE)*(1+interactive!$C$7),0.999)</f>
        <v>0.999</v>
      </c>
      <c r="K337">
        <f>MIN(VLOOKUP($A337,raw[],11,FALSE)*(1+interactive!$C$7),0.999)</f>
        <v>0</v>
      </c>
      <c r="L337">
        <f>MIN(VLOOKUP($A337,raw[],12,FALSE)*(1+interactive!$C$7),0.999)</f>
        <v>0.80850000000000011</v>
      </c>
      <c r="M337">
        <v>3.27E-2</v>
      </c>
      <c r="N337">
        <f>IFERROR(VLOOKUP($A337,[2]!hbe_prev[#Data],5,FALSE),0)</f>
        <v>0.37619999999999998</v>
      </c>
      <c r="O337">
        <f>VLOOKUP($F337,[2]!hbe_risk[#All],4,FALSE)</f>
        <v>0.9</v>
      </c>
      <c r="P337">
        <f>VLOOKUP($F337,[2]!hbe_risk[#All],7,FALSE)</f>
        <v>0.3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8.9212794288269048</v>
      </c>
      <c r="W337">
        <v>9.4252794288269044</v>
      </c>
      <c r="X337">
        <v>8.8952258917665681</v>
      </c>
      <c r="Y337">
        <v>9.3992258917665676</v>
      </c>
      <c r="Z337">
        <v>9.3843439369506196</v>
      </c>
      <c r="AA337">
        <v>8.9272917835331373</v>
      </c>
      <c r="AB337">
        <v>9.4312917835331369</v>
      </c>
      <c r="AC337">
        <f>VLOOKUP($A337,raw[],29,FALSE)*(1+interactive!$C$7)</f>
        <v>1.5364387499999939E-2</v>
      </c>
      <c r="AD337">
        <f>VLOOKUP($A337,raw[],30,FALSE)*(1+interactive!$C$7)</f>
        <v>6.4013074820584053E-4</v>
      </c>
      <c r="AE337">
        <f>VLOOKUP($A337,raw[],31,FALSE)*(1+interactive!$C$7)</f>
        <v>3.4470090746118831E-4</v>
      </c>
      <c r="AF337">
        <f>VLOOKUP($A337,raw[],32,FALSE)*(1+interactive!$C$7)</f>
        <v>2.8956157138782066E-4</v>
      </c>
      <c r="AG337">
        <f>VLOOKUP($A337,raw[],33,FALSE)*(1+interactive!$C$7)</f>
        <v>5.3762053650491227E-4</v>
      </c>
      <c r="AH337">
        <f>VLOOKUP($A337,raw[],34,FALSE)*(1+interactive!$C$7)</f>
        <v>7.5192675091745027E-4</v>
      </c>
      <c r="AI337">
        <f>VLOOKUP($A337,raw[],35,FALSE)*(1+interactive!$C$7)</f>
        <v>8.1037212716291004E-4</v>
      </c>
      <c r="AJ337">
        <f>VLOOKUP($A337,raw[],36,FALSE)*(1+interactive!$C$7)</f>
        <v>9.5615846007032106E-4</v>
      </c>
      <c r="AK337">
        <f>VLOOKUP($A337,raw[],37,FALSE)*(1+interactive!$C$7)</f>
        <v>1.2835836596474712E-3</v>
      </c>
      <c r="AL337">
        <f>VLOOKUP($A337,raw[],38,FALSE)*(1+interactive!$C$7)</f>
        <v>1.9438385307546247E-3</v>
      </c>
      <c r="AM337">
        <f>VLOOKUP($A337,raw[],39,FALSE)*(1+interactive!$C$7)</f>
        <v>3.2678595267535025E-3</v>
      </c>
      <c r="AN337">
        <f>VLOOKUP($A337,raw[],40,FALSE)*(1+interactive!$C$7)</f>
        <v>5.3265767948915211E-3</v>
      </c>
      <c r="AO337">
        <f>VLOOKUP($A337,raw[],41,FALSE)*(1+interactive!$C$7)</f>
        <v>8.7884626691527128E-3</v>
      </c>
      <c r="AP337">
        <f>VLOOKUP($A337,raw[],42,FALSE)*(1+interactive!$C$7)</f>
        <v>1.4061494474419272E-2</v>
      </c>
      <c r="AQ337">
        <f>VLOOKUP($A337,raw[],43,FALSE)*(1+interactive!$C$7)</f>
        <v>2.3230489463282485E-2</v>
      </c>
      <c r="AR337">
        <f>VLOOKUP($A337,raw[],44,FALSE)*(1+interactive!$C$7)</f>
        <v>3.799688720853122E-2</v>
      </c>
      <c r="AS337">
        <f>VLOOKUP($A337,raw[],45,FALSE)*(1+interactive!$C$7)</f>
        <v>6.0522364756295147E-2</v>
      </c>
      <c r="AT337">
        <f>VLOOKUP($A337,raw[],46,FALSE)*(1+interactive!$C$7)</f>
        <v>9.330819155977442E-2</v>
      </c>
      <c r="AU337">
        <f>VLOOKUP($A337,raw[],47,FALSE)*(1+interactive!$C$7)</f>
        <v>0.12955131956512234</v>
      </c>
      <c r="AV337">
        <f>VLOOKUP($A337,raw[],48,FALSE)*(1+interactive!$C$7)</f>
        <v>0.16245439537153941</v>
      </c>
      <c r="AW337">
        <f>VLOOKUP($A337,raw[],49,FALSE)*(1+interactive!$C$7)</f>
        <v>0.18537709770482003</v>
      </c>
      <c r="AX337">
        <f>VLOOKUP($A337,raw[],50,FALSE)*(1+interactive!$C$7)</f>
        <v>78.043350000000004</v>
      </c>
    </row>
    <row r="338" spans="1:50" x14ac:dyDescent="0.25">
      <c r="A338" s="53" t="s">
        <v>344</v>
      </c>
      <c r="B338" s="54" t="s">
        <v>345</v>
      </c>
      <c r="C338" s="54">
        <v>398</v>
      </c>
      <c r="D338" s="54" t="s">
        <v>201</v>
      </c>
      <c r="E338" s="54" t="s">
        <v>220</v>
      </c>
      <c r="F338" s="54" t="s">
        <v>203</v>
      </c>
      <c r="G338" s="54" t="s">
        <v>204</v>
      </c>
      <c r="J338">
        <f>MIN(VLOOKUP($A338,raw[],10,FALSE)*(1+interactive!$C$7),0.999)</f>
        <v>0.999</v>
      </c>
      <c r="K338">
        <f>MIN(VLOOKUP($A338,raw[],11,FALSE)*(1+interactive!$C$7),0.999)</f>
        <v>0.97650000000000015</v>
      </c>
      <c r="L338">
        <f>MIN(VLOOKUP($A338,raw[],12,FALSE)*(1+interactive!$C$7),0.999)</f>
        <v>0.92400000000000004</v>
      </c>
      <c r="M338">
        <v>4.6399999999999997E-2</v>
      </c>
      <c r="N338">
        <f>IFERROR(VLOOKUP($A338,[2]!hbe_prev[#Data],5,FALSE),0)</f>
        <v>0.43079999999999996</v>
      </c>
      <c r="O338">
        <f>VLOOKUP($F338,[2]!hbe_risk[#All],4,FALSE)</f>
        <v>0.9</v>
      </c>
      <c r="P338">
        <f>VLOOKUP($F338,[2]!hbe_risk[#All],7,FALSE)</f>
        <v>0.3</v>
      </c>
      <c r="Q338">
        <v>28.249071241913001</v>
      </c>
      <c r="R338">
        <v>137.23487124191303</v>
      </c>
      <c r="S338">
        <v>229.69042852595342</v>
      </c>
      <c r="T338">
        <v>262.60232593700846</v>
      </c>
      <c r="U338">
        <v>247.48987831473838</v>
      </c>
      <c r="V338">
        <v>11.550629830690548</v>
      </c>
      <c r="W338">
        <v>15.824129830690548</v>
      </c>
      <c r="X338">
        <v>11.496264803139614</v>
      </c>
      <c r="Y338">
        <v>15.769764803139614</v>
      </c>
      <c r="Z338">
        <v>15.739455553886671</v>
      </c>
      <c r="AA338">
        <v>11.563175606279225</v>
      </c>
      <c r="AB338">
        <v>15.836675606279226</v>
      </c>
      <c r="AC338">
        <f>VLOOKUP($A338,raw[],29,FALSE)*(1+interactive!$C$7)</f>
        <v>8.0573325000000556E-3</v>
      </c>
      <c r="AD338">
        <f>VLOOKUP($A338,raw[],30,FALSE)*(1+interactive!$C$7)</f>
        <v>5.8671146845993291E-4</v>
      </c>
      <c r="AE338">
        <f>VLOOKUP($A338,raw[],31,FALSE)*(1+interactive!$C$7)</f>
        <v>2.8721673013564516E-4</v>
      </c>
      <c r="AF338">
        <f>VLOOKUP($A338,raw[],32,FALSE)*(1+interactive!$C$7)</f>
        <v>3.0753425643968919E-4</v>
      </c>
      <c r="AG338">
        <f>VLOOKUP($A338,raw[],33,FALSE)*(1+interactive!$C$7)</f>
        <v>6.2010333044987384E-4</v>
      </c>
      <c r="AH338">
        <f>VLOOKUP($A338,raw[],34,FALSE)*(1+interactive!$C$7)</f>
        <v>9.1142423943853408E-4</v>
      </c>
      <c r="AI338">
        <f>VLOOKUP($A338,raw[],35,FALSE)*(1+interactive!$C$7)</f>
        <v>1.1888633874373566E-3</v>
      </c>
      <c r="AJ338">
        <f>VLOOKUP($A338,raw[],36,FALSE)*(1+interactive!$C$7)</f>
        <v>1.8230163709156636E-3</v>
      </c>
      <c r="AK338">
        <f>VLOOKUP($A338,raw[],37,FALSE)*(1+interactive!$C$7)</f>
        <v>2.9033968850301945E-3</v>
      </c>
      <c r="AL338">
        <f>VLOOKUP($A338,raw[],38,FALSE)*(1+interactive!$C$7)</f>
        <v>4.0022119493187611E-3</v>
      </c>
      <c r="AM338">
        <f>VLOOKUP($A338,raw[],39,FALSE)*(1+interactive!$C$7)</f>
        <v>5.3664000594738949E-3</v>
      </c>
      <c r="AN338">
        <f>VLOOKUP($A338,raw[],40,FALSE)*(1+interactive!$C$7)</f>
        <v>7.5076091855580448E-3</v>
      </c>
      <c r="AO338">
        <f>VLOOKUP($A338,raw[],41,FALSE)*(1+interactive!$C$7)</f>
        <v>1.1261839603257454E-2</v>
      </c>
      <c r="AP338">
        <f>VLOOKUP($A338,raw[],42,FALSE)*(1+interactive!$C$7)</f>
        <v>1.736562127354644E-2</v>
      </c>
      <c r="AQ338">
        <f>VLOOKUP($A338,raw[],43,FALSE)*(1+interactive!$C$7)</f>
        <v>2.5964845351213763E-2</v>
      </c>
      <c r="AR338">
        <f>VLOOKUP($A338,raw[],44,FALSE)*(1+interactive!$C$7)</f>
        <v>3.6313140585900051E-2</v>
      </c>
      <c r="AS338">
        <f>VLOOKUP($A338,raw[],45,FALSE)*(1+interactive!$C$7)</f>
        <v>5.6988718040932827E-2</v>
      </c>
      <c r="AT338">
        <f>VLOOKUP($A338,raw[],46,FALSE)*(1+interactive!$C$7)</f>
        <v>8.36678689755017E-2</v>
      </c>
      <c r="AU338">
        <f>VLOOKUP($A338,raw[],47,FALSE)*(1+interactive!$C$7)</f>
        <v>0.11675032166556683</v>
      </c>
      <c r="AV338">
        <f>VLOOKUP($A338,raw[],48,FALSE)*(1+interactive!$C$7)</f>
        <v>0.1514479801130843</v>
      </c>
      <c r="AW338">
        <f>VLOOKUP($A338,raw[],49,FALSE)*(1+interactive!$C$7)</f>
        <v>0.17819457649381792</v>
      </c>
      <c r="AX338">
        <f>VLOOKUP($A338,raw[],50,FALSE)*(1+interactive!$C$7)</f>
        <v>76.886250000000004</v>
      </c>
    </row>
    <row r="339" spans="1:50" x14ac:dyDescent="0.25">
      <c r="A339" s="55" t="s">
        <v>346</v>
      </c>
      <c r="B339" s="56" t="s">
        <v>347</v>
      </c>
      <c r="C339" s="56">
        <v>404</v>
      </c>
      <c r="D339" s="56" t="s">
        <v>207</v>
      </c>
      <c r="E339" s="56" t="s">
        <v>255</v>
      </c>
      <c r="F339" s="56" t="s">
        <v>211</v>
      </c>
      <c r="G339" s="56" t="s">
        <v>212</v>
      </c>
      <c r="J339">
        <f>MIN(VLOOKUP($A339,raw[],10,FALSE)*(1+interactive!$C$7),0.999)</f>
        <v>0.64260000000000006</v>
      </c>
      <c r="K339">
        <f>MIN(VLOOKUP($A339,raw[],11,FALSE)*(1+interactive!$C$7),0.999)</f>
        <v>0</v>
      </c>
      <c r="L339">
        <f>MIN(VLOOKUP($A339,raw[],12,FALSE)*(1+interactive!$C$7),0.999)</f>
        <v>0.95550000000000013</v>
      </c>
      <c r="M339">
        <v>1.9E-2</v>
      </c>
      <c r="N339">
        <f>IFERROR(VLOOKUP($A339,[2]!hbe_prev[#Data],5,FALSE),0)</f>
        <v>0.39960000000000001</v>
      </c>
      <c r="O339">
        <f>VLOOKUP($F339,[2]!hbe_risk[#All],4,FALSE)</f>
        <v>0.74399999999999999</v>
      </c>
      <c r="P339">
        <f>VLOOKUP($F339,[2]!hbe_risk[#All],7,FALSE)</f>
        <v>0.13300000000000001</v>
      </c>
      <c r="Q339">
        <v>7.6458963649322902</v>
      </c>
      <c r="R339">
        <v>116.6316963649323</v>
      </c>
      <c r="S339">
        <v>149.55287684811421</v>
      </c>
      <c r="T339">
        <v>151.47921192910553</v>
      </c>
      <c r="U339">
        <v>150.59467957745071</v>
      </c>
      <c r="V339">
        <v>4.8787743429706234</v>
      </c>
      <c r="W339">
        <v>9.9502743429706229</v>
      </c>
      <c r="X339">
        <v>4.8584852237079303</v>
      </c>
      <c r="Y339">
        <v>9.9299852237079307</v>
      </c>
      <c r="Z339">
        <v>9.9189294126112113</v>
      </c>
      <c r="AA339">
        <v>4.8834564474158597</v>
      </c>
      <c r="AB339">
        <v>9.9549564474158601</v>
      </c>
      <c r="AC339">
        <f>VLOOKUP($A339,raw[],29,FALSE)*(1+interactive!$C$7)</f>
        <v>3.8190264000000057E-2</v>
      </c>
      <c r="AD339">
        <f>VLOOKUP($A339,raw[],30,FALSE)*(1+interactive!$C$7)</f>
        <v>3.0217503881579308E-3</v>
      </c>
      <c r="AE339">
        <f>VLOOKUP($A339,raw[],31,FALSE)*(1+interactive!$C$7)</f>
        <v>9.3322057324097066E-4</v>
      </c>
      <c r="AF339">
        <f>VLOOKUP($A339,raw[],32,FALSE)*(1+interactive!$C$7)</f>
        <v>7.5801532126981198E-4</v>
      </c>
      <c r="AG339">
        <f>VLOOKUP($A339,raw[],33,FALSE)*(1+interactive!$C$7)</f>
        <v>1.3162454632712427E-3</v>
      </c>
      <c r="AH339">
        <f>VLOOKUP($A339,raw[],34,FALSE)*(1+interactive!$C$7)</f>
        <v>2.1158653163829669E-3</v>
      </c>
      <c r="AI339">
        <f>VLOOKUP($A339,raw[],35,FALSE)*(1+interactive!$C$7)</f>
        <v>2.9130547255813567E-3</v>
      </c>
      <c r="AJ339">
        <f>VLOOKUP($A339,raw[],36,FALSE)*(1+interactive!$C$7)</f>
        <v>3.7979860115238749E-3</v>
      </c>
      <c r="AK339">
        <f>VLOOKUP($A339,raw[],37,FALSE)*(1+interactive!$C$7)</f>
        <v>5.0767426974585479E-3</v>
      </c>
      <c r="AL339">
        <f>VLOOKUP($A339,raw[],38,FALSE)*(1+interactive!$C$7)</f>
        <v>6.3812824658306391E-3</v>
      </c>
      <c r="AM339">
        <f>VLOOKUP($A339,raw[],39,FALSE)*(1+interactive!$C$7)</f>
        <v>8.0222139881127603E-3</v>
      </c>
      <c r="AN339">
        <f>VLOOKUP($A339,raw[],40,FALSE)*(1+interactive!$C$7)</f>
        <v>1.0800007516039054E-2</v>
      </c>
      <c r="AO339">
        <f>VLOOKUP($A339,raw[],41,FALSE)*(1+interactive!$C$7)</f>
        <v>1.3982957654224715E-2</v>
      </c>
      <c r="AP339">
        <f>VLOOKUP($A339,raw[],42,FALSE)*(1+interactive!$C$7)</f>
        <v>1.9968246147685456E-2</v>
      </c>
      <c r="AQ339">
        <f>VLOOKUP($A339,raw[],43,FALSE)*(1+interactive!$C$7)</f>
        <v>2.9745665543907455E-2</v>
      </c>
      <c r="AR339">
        <f>VLOOKUP($A339,raw[],44,FALSE)*(1+interactive!$C$7)</f>
        <v>4.4975840607875205E-2</v>
      </c>
      <c r="AS339">
        <f>VLOOKUP($A339,raw[],45,FALSE)*(1+interactive!$C$7)</f>
        <v>6.789815349144708E-2</v>
      </c>
      <c r="AT339">
        <f>VLOOKUP($A339,raw[],46,FALSE)*(1+interactive!$C$7)</f>
        <v>0.102078021390319</v>
      </c>
      <c r="AU339">
        <f>VLOOKUP($A339,raw[],47,FALSE)*(1+interactive!$C$7)</f>
        <v>0.14372677219085253</v>
      </c>
      <c r="AV339">
        <f>VLOOKUP($A339,raw[],48,FALSE)*(1+interactive!$C$7)</f>
        <v>0.18088099855201858</v>
      </c>
      <c r="AW339">
        <f>VLOOKUP($A339,raw[],49,FALSE)*(1+interactive!$C$7)</f>
        <v>0.19609416825390699</v>
      </c>
      <c r="AX339">
        <f>VLOOKUP($A339,raw[],50,FALSE)*(1+interactive!$C$7)</f>
        <v>69.486900000000006</v>
      </c>
    </row>
    <row r="340" spans="1:50" x14ac:dyDescent="0.25">
      <c r="A340" s="53" t="s">
        <v>348</v>
      </c>
      <c r="B340" s="54" t="s">
        <v>349</v>
      </c>
      <c r="C340" s="54">
        <v>296</v>
      </c>
      <c r="D340" s="54" t="s">
        <v>260</v>
      </c>
      <c r="E340" s="54" t="s">
        <v>309</v>
      </c>
      <c r="F340" s="54" t="s">
        <v>262</v>
      </c>
      <c r="G340" s="54" t="s">
        <v>212</v>
      </c>
      <c r="J340">
        <f>MIN(VLOOKUP($A340,raw[],10,FALSE)*(1+interactive!$C$7),0.999)</f>
        <v>0.90405000000000002</v>
      </c>
      <c r="K340">
        <f>MIN(VLOOKUP($A340,raw[],11,FALSE)*(1+interactive!$C$7),0.999)</f>
        <v>0.95550000000000013</v>
      </c>
      <c r="L340">
        <f>MIN(VLOOKUP($A340,raw[],12,FALSE)*(1+interactive!$C$7),0.999)</f>
        <v>0.96600000000000008</v>
      </c>
      <c r="M340">
        <v>0.18010000000000001</v>
      </c>
      <c r="N340">
        <f>IFERROR(VLOOKUP($A340,[2]!hbe_prev[#Data],5,FALSE),0)</f>
        <v>0.47889999999999999</v>
      </c>
      <c r="O340">
        <f>VLOOKUP($F340,[2]!hbe_risk[#All],4,FALSE)</f>
        <v>0.9</v>
      </c>
      <c r="P340">
        <f>VLOOKUP($F340,[2]!hbe_risk[#All],7,FALSE)</f>
        <v>0.3</v>
      </c>
      <c r="Q340">
        <v>14.758655861746799</v>
      </c>
      <c r="R340">
        <v>123.74445586174681</v>
      </c>
      <c r="S340">
        <v>167.53169495468822</v>
      </c>
      <c r="T340">
        <v>175.11343376084247</v>
      </c>
      <c r="U340">
        <v>171.63205955859874</v>
      </c>
      <c r="V340">
        <v>23.804907127065217</v>
      </c>
      <c r="W340">
        <v>24.466407127065217</v>
      </c>
      <c r="X340">
        <v>23.787302828725636</v>
      </c>
      <c r="Y340">
        <v>24.448802828725636</v>
      </c>
      <c r="Z340">
        <v>24.439384446646244</v>
      </c>
      <c r="AA340">
        <v>23.808969657451275</v>
      </c>
      <c r="AB340">
        <v>24.470469657451275</v>
      </c>
      <c r="AC340">
        <f>VLOOKUP($A340,raw[],29,FALSE)*(1+interactive!$C$7)</f>
        <v>4.4951109000000045E-2</v>
      </c>
      <c r="AD340">
        <f>VLOOKUP($A340,raw[],30,FALSE)*(1+interactive!$C$7)</f>
        <v>3.1221473122843074E-3</v>
      </c>
      <c r="AE340">
        <f>VLOOKUP($A340,raw[],31,FALSE)*(1+interactive!$C$7)</f>
        <v>1.0607811415952913E-3</v>
      </c>
      <c r="AF340">
        <f>VLOOKUP($A340,raw[],32,FALSE)*(1+interactive!$C$7)</f>
        <v>8.0879581016968097E-4</v>
      </c>
      <c r="AG340">
        <f>VLOOKUP($A340,raw[],33,FALSE)*(1+interactive!$C$7)</f>
        <v>1.4291986630934547E-3</v>
      </c>
      <c r="AH340">
        <f>VLOOKUP($A340,raw[],34,FALSE)*(1+interactive!$C$7)</f>
        <v>1.8991647855462841E-3</v>
      </c>
      <c r="AI340">
        <f>VLOOKUP($A340,raw[],35,FALSE)*(1+interactive!$C$7)</f>
        <v>2.0286505147195824E-3</v>
      </c>
      <c r="AJ340">
        <f>VLOOKUP($A340,raw[],36,FALSE)*(1+interactive!$C$7)</f>
        <v>2.3780505603235888E-3</v>
      </c>
      <c r="AK340">
        <f>VLOOKUP($A340,raw[],37,FALSE)*(1+interactive!$C$7)</f>
        <v>3.1147434221824384E-3</v>
      </c>
      <c r="AL340">
        <f>VLOOKUP($A340,raw[],38,FALSE)*(1+interactive!$C$7)</f>
        <v>4.294821648474517E-3</v>
      </c>
      <c r="AM340">
        <f>VLOOKUP($A340,raw[],39,FALSE)*(1+interactive!$C$7)</f>
        <v>6.2427475049407427E-3</v>
      </c>
      <c r="AN340">
        <f>VLOOKUP($A340,raw[],40,FALSE)*(1+interactive!$C$7)</f>
        <v>9.3327919243927689E-3</v>
      </c>
      <c r="AO340">
        <f>VLOOKUP($A340,raw[],41,FALSE)*(1+interactive!$C$7)</f>
        <v>1.4011968006478049E-2</v>
      </c>
      <c r="AP340">
        <f>VLOOKUP($A340,raw[],42,FALSE)*(1+interactive!$C$7)</f>
        <v>1.958283554472183E-2</v>
      </c>
      <c r="AQ340">
        <f>VLOOKUP($A340,raw[],43,FALSE)*(1+interactive!$C$7)</f>
        <v>2.708189270696983E-2</v>
      </c>
      <c r="AR340">
        <f>VLOOKUP($A340,raw[],44,FALSE)*(1+interactive!$C$7)</f>
        <v>3.9124771501632405E-2</v>
      </c>
      <c r="AS340">
        <f>VLOOKUP($A340,raw[],45,FALSE)*(1+interactive!$C$7)</f>
        <v>5.9057800496884423E-2</v>
      </c>
      <c r="AT340">
        <f>VLOOKUP($A340,raw[],46,FALSE)*(1+interactive!$C$7)</f>
        <v>8.5765636920599422E-2</v>
      </c>
      <c r="AU340">
        <f>VLOOKUP($A340,raw[],47,FALSE)*(1+interactive!$C$7)</f>
        <v>0.11442611318689742</v>
      </c>
      <c r="AV340">
        <f>VLOOKUP($A340,raw[],48,FALSE)*(1+interactive!$C$7)</f>
        <v>0.13832044878009012</v>
      </c>
      <c r="AW340">
        <f>VLOOKUP($A340,raw[],49,FALSE)*(1+interactive!$C$7)</f>
        <v>0.16108847733039983</v>
      </c>
      <c r="AX340">
        <f>VLOOKUP($A340,raw[],50,FALSE)*(1+interactive!$C$7)</f>
        <v>71.389499999999998</v>
      </c>
    </row>
    <row r="341" spans="1:50" x14ac:dyDescent="0.25">
      <c r="A341" s="55" t="s">
        <v>350</v>
      </c>
      <c r="B341" s="56" t="s">
        <v>351</v>
      </c>
      <c r="C341" s="56">
        <v>408</v>
      </c>
      <c r="D341" s="56" t="s">
        <v>225</v>
      </c>
      <c r="E341" s="56" t="s">
        <v>271</v>
      </c>
      <c r="F341" s="56" t="s">
        <v>262</v>
      </c>
      <c r="G341" s="56" t="s">
        <v>198</v>
      </c>
      <c r="J341">
        <f>MIN(VLOOKUP($A341,raw[],10,FALSE)*(1+interactive!$C$7),0.999)</f>
        <v>0.96810000000000007</v>
      </c>
      <c r="K341">
        <f>MIN(VLOOKUP($A341,raw[],11,FALSE)*(1+interactive!$C$7),0.999)</f>
        <v>0.999</v>
      </c>
      <c r="L341">
        <f>MIN(VLOOKUP($A341,raw[],12,FALSE)*(1+interactive!$C$7),0.999)</f>
        <v>0.999</v>
      </c>
      <c r="M341">
        <v>0.49969999999999998</v>
      </c>
      <c r="N341">
        <f>IFERROR(VLOOKUP($A341,[2]!hbe_prev[#Data],5,FALSE),0)</f>
        <v>0.49159999999999998</v>
      </c>
      <c r="O341">
        <f>VLOOKUP($F341,[2]!hbe_risk[#All],4,FALSE)</f>
        <v>0.9</v>
      </c>
      <c r="P341">
        <f>VLOOKUP($F341,[2]!hbe_risk[#All],7,FALSE)</f>
        <v>0.3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f>VLOOKUP($A341,raw[],29,FALSE)*(1+interactive!$C$7)</f>
        <v>1.4593015500000016E-2</v>
      </c>
      <c r="AD341">
        <f>VLOOKUP($A341,raw[],30,FALSE)*(1+interactive!$C$7)</f>
        <v>1.2101996123341757E-3</v>
      </c>
      <c r="AE341">
        <f>VLOOKUP($A341,raw[],31,FALSE)*(1+interactive!$C$7)</f>
        <v>6.76976776294543E-4</v>
      </c>
      <c r="AF341">
        <f>VLOOKUP($A341,raw[],32,FALSE)*(1+interactive!$C$7)</f>
        <v>6.2885934488552894E-4</v>
      </c>
      <c r="AG341">
        <f>VLOOKUP($A341,raw[],33,FALSE)*(1+interactive!$C$7)</f>
        <v>9.0815714136070281E-4</v>
      </c>
      <c r="AH341">
        <f>VLOOKUP($A341,raw[],34,FALSE)*(1+interactive!$C$7)</f>
        <v>1.3023832528690972E-3</v>
      </c>
      <c r="AI341">
        <f>VLOOKUP($A341,raw[],35,FALSE)*(1+interactive!$C$7)</f>
        <v>1.6166537677029858E-3</v>
      </c>
      <c r="AJ341">
        <f>VLOOKUP($A341,raw[],36,FALSE)*(1+interactive!$C$7)</f>
        <v>1.8361111788017307E-3</v>
      </c>
      <c r="AK341">
        <f>VLOOKUP($A341,raw[],37,FALSE)*(1+interactive!$C$7)</f>
        <v>2.1172400377942368E-3</v>
      </c>
      <c r="AL341">
        <f>VLOOKUP($A341,raw[],38,FALSE)*(1+interactive!$C$7)</f>
        <v>2.5719810651282891E-3</v>
      </c>
      <c r="AM341">
        <f>VLOOKUP($A341,raw[],39,FALSE)*(1+interactive!$C$7)</f>
        <v>3.5103247017580666E-3</v>
      </c>
      <c r="AN341">
        <f>VLOOKUP($A341,raw[],40,FALSE)*(1+interactive!$C$7)</f>
        <v>5.0374676525030866E-3</v>
      </c>
      <c r="AO341">
        <f>VLOOKUP($A341,raw[],41,FALSE)*(1+interactive!$C$7)</f>
        <v>1.0165478279454193E-2</v>
      </c>
      <c r="AP341">
        <f>VLOOKUP($A341,raw[],42,FALSE)*(1+interactive!$C$7)</f>
        <v>2.0790417589432605E-2</v>
      </c>
      <c r="AQ341">
        <f>VLOOKUP($A341,raw[],43,FALSE)*(1+interactive!$C$7)</f>
        <v>3.0309721623997924E-2</v>
      </c>
      <c r="AR341">
        <f>VLOOKUP($A341,raw[],44,FALSE)*(1+interactive!$C$7)</f>
        <v>4.2492055300424152E-2</v>
      </c>
      <c r="AS341">
        <f>VLOOKUP($A341,raw[],45,FALSE)*(1+interactive!$C$7)</f>
        <v>6.61876684910776E-2</v>
      </c>
      <c r="AT341">
        <f>VLOOKUP($A341,raw[],46,FALSE)*(1+interactive!$C$7)</f>
        <v>9.2448918733457508E-2</v>
      </c>
      <c r="AU341">
        <f>VLOOKUP($A341,raw[],47,FALSE)*(1+interactive!$C$7)</f>
        <v>0.12486299875365534</v>
      </c>
      <c r="AV341">
        <f>VLOOKUP($A341,raw[],48,FALSE)*(1+interactive!$C$7)</f>
        <v>0.15593217190328482</v>
      </c>
      <c r="AW341">
        <f>VLOOKUP($A341,raw[],49,FALSE)*(1+interactive!$C$7)</f>
        <v>0.17882326697259843</v>
      </c>
      <c r="AX341">
        <f>VLOOKUP($A341,raw[],50,FALSE)*(1+interactive!$C$7)</f>
        <v>75.562200000000004</v>
      </c>
    </row>
    <row r="342" spans="1:50" x14ac:dyDescent="0.25">
      <c r="A342" s="53" t="s">
        <v>352</v>
      </c>
      <c r="B342" s="54" t="s">
        <v>353</v>
      </c>
      <c r="C342" s="54">
        <v>417</v>
      </c>
      <c r="D342" s="54" t="s">
        <v>201</v>
      </c>
      <c r="E342" s="54" t="s">
        <v>220</v>
      </c>
      <c r="F342" s="54" t="s">
        <v>203</v>
      </c>
      <c r="G342" s="54" t="s">
        <v>212</v>
      </c>
      <c r="J342">
        <f>MIN(VLOOKUP($A342,raw[],10,FALSE)*(1+interactive!$C$7),0.999)</f>
        <v>0.999</v>
      </c>
      <c r="K342">
        <f>MIN(VLOOKUP($A342,raw[],11,FALSE)*(1+interactive!$C$7),0.999)</f>
        <v>0.99749999999999994</v>
      </c>
      <c r="L342">
        <f>MIN(VLOOKUP($A342,raw[],12,FALSE)*(1+interactive!$C$7),0.999)</f>
        <v>0.90300000000000002</v>
      </c>
      <c r="M342">
        <v>0.1469</v>
      </c>
      <c r="N342">
        <f>IFERROR(VLOOKUP($A342,[2]!hbe_prev[#Data],5,FALSE),0)</f>
        <v>0.43079999999999996</v>
      </c>
      <c r="O342">
        <f>VLOOKUP($F342,[2]!hbe_risk[#All],4,FALSE)</f>
        <v>0.9</v>
      </c>
      <c r="P342">
        <f>VLOOKUP($F342,[2]!hbe_risk[#All],7,FALSE)</f>
        <v>0.3</v>
      </c>
      <c r="Q342">
        <v>8.235186717267549</v>
      </c>
      <c r="R342">
        <v>117.22098671726756</v>
      </c>
      <c r="S342">
        <v>150.8027657422173</v>
      </c>
      <c r="T342">
        <v>153.07291927552171</v>
      </c>
      <c r="U342">
        <v>152.03051275796099</v>
      </c>
      <c r="V342">
        <v>7.3258252993504849</v>
      </c>
      <c r="W342">
        <v>11.599325299350486</v>
      </c>
      <c r="X342">
        <v>7.3127458203313012</v>
      </c>
      <c r="Y342">
        <v>11.586245820331301</v>
      </c>
      <c r="Z342">
        <v>11.578841417068142</v>
      </c>
      <c r="AA342">
        <v>7.3288436406626039</v>
      </c>
      <c r="AB342">
        <v>11.602343640662603</v>
      </c>
      <c r="AC342">
        <f>VLOOKUP($A342,raw[],29,FALSE)*(1+interactive!$C$7)</f>
        <v>1.628155199999996E-2</v>
      </c>
      <c r="AD342">
        <f>VLOOKUP($A342,raw[],30,FALSE)*(1+interactive!$C$7)</f>
        <v>7.5270119030517336E-4</v>
      </c>
      <c r="AE342">
        <f>VLOOKUP($A342,raw[],31,FALSE)*(1+interactive!$C$7)</f>
        <v>3.1539870917416285E-4</v>
      </c>
      <c r="AF342">
        <f>VLOOKUP($A342,raw[],32,FALSE)*(1+interactive!$C$7)</f>
        <v>3.7906402473904309E-4</v>
      </c>
      <c r="AG342">
        <f>VLOOKUP($A342,raw[],33,FALSE)*(1+interactive!$C$7)</f>
        <v>5.9505577881071193E-4</v>
      </c>
      <c r="AH342">
        <f>VLOOKUP($A342,raw[],34,FALSE)*(1+interactive!$C$7)</f>
        <v>8.122687840880678E-4</v>
      </c>
      <c r="AI342">
        <f>VLOOKUP($A342,raw[],35,FALSE)*(1+interactive!$C$7)</f>
        <v>1.0432618360573728E-3</v>
      </c>
      <c r="AJ342">
        <f>VLOOKUP($A342,raw[],36,FALSE)*(1+interactive!$C$7)</f>
        <v>1.674449300654941E-3</v>
      </c>
      <c r="AK342">
        <f>VLOOKUP($A342,raw[],37,FALSE)*(1+interactive!$C$7)</f>
        <v>2.4927663683402428E-3</v>
      </c>
      <c r="AL342">
        <f>VLOOKUP($A342,raw[],38,FALSE)*(1+interactive!$C$7)</f>
        <v>3.7826620251478855E-3</v>
      </c>
      <c r="AM342">
        <f>VLOOKUP($A342,raw[],39,FALSE)*(1+interactive!$C$7)</f>
        <v>5.2646878693317425E-3</v>
      </c>
      <c r="AN342">
        <f>VLOOKUP($A342,raw[],40,FALSE)*(1+interactive!$C$7)</f>
        <v>7.5888189658171144E-3</v>
      </c>
      <c r="AO342">
        <f>VLOOKUP($A342,raw[],41,FALSE)*(1+interactive!$C$7)</f>
        <v>1.111764474285647E-2</v>
      </c>
      <c r="AP342">
        <f>VLOOKUP($A342,raw[],42,FALSE)*(1+interactive!$C$7)</f>
        <v>1.753368921691811E-2</v>
      </c>
      <c r="AQ342">
        <f>VLOOKUP($A342,raw[],43,FALSE)*(1+interactive!$C$7)</f>
        <v>2.5457327373950098E-2</v>
      </c>
      <c r="AR342">
        <f>VLOOKUP($A342,raw[],44,FALSE)*(1+interactive!$C$7)</f>
        <v>5.1205562214903702E-2</v>
      </c>
      <c r="AS342">
        <f>VLOOKUP($A342,raw[],45,FALSE)*(1+interactive!$C$7)</f>
        <v>8.6698002377892214E-2</v>
      </c>
      <c r="AT342">
        <f>VLOOKUP($A342,raw[],46,FALSE)*(1+interactive!$C$7)</f>
        <v>0.11178643556031874</v>
      </c>
      <c r="AU342">
        <f>VLOOKUP($A342,raw[],47,FALSE)*(1+interactive!$C$7)</f>
        <v>0.13259937524973842</v>
      </c>
      <c r="AV342">
        <f>VLOOKUP($A342,raw[],48,FALSE)*(1+interactive!$C$7)</f>
        <v>0.1485332001961612</v>
      </c>
      <c r="AW342">
        <f>VLOOKUP($A342,raw[],49,FALSE)*(1+interactive!$C$7)</f>
        <v>0.16686400871486226</v>
      </c>
      <c r="AX342">
        <f>VLOOKUP($A342,raw[],50,FALSE)*(1+interactive!$C$7)</f>
        <v>74.741100000000003</v>
      </c>
    </row>
    <row r="343" spans="1:50" x14ac:dyDescent="0.25">
      <c r="A343" s="55" t="s">
        <v>354</v>
      </c>
      <c r="B343" s="56" t="s">
        <v>355</v>
      </c>
      <c r="C343" s="56">
        <v>418</v>
      </c>
      <c r="D343" s="56" t="s">
        <v>260</v>
      </c>
      <c r="E343" s="56" t="s">
        <v>261</v>
      </c>
      <c r="F343" s="56" t="s">
        <v>262</v>
      </c>
      <c r="G343" s="56" t="s">
        <v>212</v>
      </c>
      <c r="J343">
        <f>MIN(VLOOKUP($A343,raw[],10,FALSE)*(1+interactive!$C$7),0.999)</f>
        <v>0.67725000000000002</v>
      </c>
      <c r="K343">
        <f>MIN(VLOOKUP($A343,raw[],11,FALSE)*(1+interactive!$C$7),0.999)</f>
        <v>0.60899999999999999</v>
      </c>
      <c r="L343">
        <f>MIN(VLOOKUP($A343,raw[],12,FALSE)*(1+interactive!$C$7),0.999)</f>
        <v>0.82950000000000013</v>
      </c>
      <c r="M343">
        <v>4.9500000000000002E-2</v>
      </c>
      <c r="N343">
        <f>IFERROR(VLOOKUP($A343,[2]!hbe_prev[#Data],5,FALSE),0)</f>
        <v>0.47729999999999995</v>
      </c>
      <c r="O343">
        <f>VLOOKUP($F343,[2]!hbe_risk[#All],4,FALSE)</f>
        <v>0.9</v>
      </c>
      <c r="P343">
        <f>VLOOKUP($F343,[2]!hbe_risk[#All],7,FALSE)</f>
        <v>0.3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4.6104592699067215</v>
      </c>
      <c r="W343">
        <v>5.2719592699067217</v>
      </c>
      <c r="X343">
        <v>4.5810912523623291</v>
      </c>
      <c r="Y343">
        <v>5.2425912523623293</v>
      </c>
      <c r="Z343">
        <v>5.2259253672805279</v>
      </c>
      <c r="AA343">
        <v>4.6172365047246577</v>
      </c>
      <c r="AB343">
        <v>5.2787365047246579</v>
      </c>
      <c r="AC343">
        <f>VLOOKUP($A343,raw[],29,FALSE)*(1+interactive!$C$7)</f>
        <v>4.071667949999995E-2</v>
      </c>
      <c r="AD343">
        <f>VLOOKUP($A343,raw[],30,FALSE)*(1+interactive!$C$7)</f>
        <v>2.6114405169643281E-3</v>
      </c>
      <c r="AE343">
        <f>VLOOKUP($A343,raw[],31,FALSE)*(1+interactive!$C$7)</f>
        <v>9.4481279042160854E-4</v>
      </c>
      <c r="AF343">
        <f>VLOOKUP($A343,raw[],32,FALSE)*(1+interactive!$C$7)</f>
        <v>7.5670469956648555E-4</v>
      </c>
      <c r="AG343">
        <f>VLOOKUP($A343,raw[],33,FALSE)*(1+interactive!$C$7)</f>
        <v>1.2800006584995065E-3</v>
      </c>
      <c r="AH343">
        <f>VLOOKUP($A343,raw[],34,FALSE)*(1+interactive!$C$7)</f>
        <v>1.7990252060574058E-3</v>
      </c>
      <c r="AI343">
        <f>VLOOKUP($A343,raw[],35,FALSE)*(1+interactive!$C$7)</f>
        <v>1.9514286340282963E-3</v>
      </c>
      <c r="AJ343">
        <f>VLOOKUP($A343,raw[],36,FALSE)*(1+interactive!$C$7)</f>
        <v>2.2511120072782487E-3</v>
      </c>
      <c r="AK343">
        <f>VLOOKUP($A343,raw[],37,FALSE)*(1+interactive!$C$7)</f>
        <v>2.8694675598914341E-3</v>
      </c>
      <c r="AL343">
        <f>VLOOKUP($A343,raw[],38,FALSE)*(1+interactive!$C$7)</f>
        <v>3.956764799273157E-3</v>
      </c>
      <c r="AM343">
        <f>VLOOKUP($A343,raw[],39,FALSE)*(1+interactive!$C$7)</f>
        <v>5.8447124923907681E-3</v>
      </c>
      <c r="AN343">
        <f>VLOOKUP($A343,raw[],40,FALSE)*(1+interactive!$C$7)</f>
        <v>8.7902754420331655E-3</v>
      </c>
      <c r="AO343">
        <f>VLOOKUP($A343,raw[],41,FALSE)*(1+interactive!$C$7)</f>
        <v>1.3384758519675298E-2</v>
      </c>
      <c r="AP343">
        <f>VLOOKUP($A343,raw[],42,FALSE)*(1+interactive!$C$7)</f>
        <v>2.0513437587241438E-2</v>
      </c>
      <c r="AQ343">
        <f>VLOOKUP($A343,raw[],43,FALSE)*(1+interactive!$C$7)</f>
        <v>3.1501236997853267E-2</v>
      </c>
      <c r="AR343">
        <f>VLOOKUP($A343,raw[],44,FALSE)*(1+interactive!$C$7)</f>
        <v>4.8728482236234875E-2</v>
      </c>
      <c r="AS343">
        <f>VLOOKUP($A343,raw[],45,FALSE)*(1+interactive!$C$7)</f>
        <v>7.3808312644546611E-2</v>
      </c>
      <c r="AT343">
        <f>VLOOKUP($A343,raw[],46,FALSE)*(1+interactive!$C$7)</f>
        <v>0.10694102726243172</v>
      </c>
      <c r="AU343">
        <f>VLOOKUP($A343,raw[],47,FALSE)*(1+interactive!$C$7)</f>
        <v>0.142001863062029</v>
      </c>
      <c r="AV343">
        <f>VLOOKUP($A343,raw[],48,FALSE)*(1+interactive!$C$7)</f>
        <v>0.17041945171940051</v>
      </c>
      <c r="AW343">
        <f>VLOOKUP($A343,raw[],49,FALSE)*(1+interactive!$C$7)</f>
        <v>0.18869006566019356</v>
      </c>
      <c r="AX343">
        <f>VLOOKUP($A343,raw[],50,FALSE)*(1+interactive!$C$7)</f>
        <v>70.813050000000004</v>
      </c>
    </row>
    <row r="344" spans="1:50" x14ac:dyDescent="0.25">
      <c r="A344" s="53" t="s">
        <v>356</v>
      </c>
      <c r="B344" s="54" t="s">
        <v>357</v>
      </c>
      <c r="C344" s="54">
        <v>422</v>
      </c>
      <c r="D344" s="54" t="s">
        <v>196</v>
      </c>
      <c r="E344" s="54" t="s">
        <v>197</v>
      </c>
      <c r="F344" s="54" t="s">
        <v>197</v>
      </c>
      <c r="G344" s="54" t="s">
        <v>204</v>
      </c>
      <c r="J344">
        <f>MIN(VLOOKUP($A344,raw[],10,FALSE)*(1+interactive!$C$7),0.999)</f>
        <v>0.999</v>
      </c>
      <c r="K344">
        <f>MIN(VLOOKUP($A344,raw[],11,FALSE)*(1+interactive!$C$7),0.999)</f>
        <v>0.80850000000000011</v>
      </c>
      <c r="L344">
        <f>MIN(VLOOKUP($A344,raw[],12,FALSE)*(1+interactive!$C$7),0.999)</f>
        <v>0.74549999999999994</v>
      </c>
      <c r="M344">
        <v>1.21E-2</v>
      </c>
      <c r="N344">
        <f>IFERROR(VLOOKUP($A344,[2]!hbe_prev[#Data],5,FALSE),0)</f>
        <v>0.37619999999999998</v>
      </c>
      <c r="O344">
        <f>VLOOKUP($F344,[2]!hbe_risk[#All],4,FALSE)</f>
        <v>0.9</v>
      </c>
      <c r="P344">
        <f>VLOOKUP($F344,[2]!hbe_risk[#All],7,FALSE)</f>
        <v>0.3</v>
      </c>
      <c r="Q344">
        <v>33.267707039055395</v>
      </c>
      <c r="R344">
        <v>142.25350703905542</v>
      </c>
      <c r="S344">
        <v>253.12910936756421</v>
      </c>
      <c r="T344">
        <v>295.62799642255425</v>
      </c>
      <c r="U344">
        <v>276.11340579893454</v>
      </c>
      <c r="V344">
        <v>9.3398650920159181</v>
      </c>
      <c r="W344">
        <v>9.8438650920159176</v>
      </c>
      <c r="X344">
        <v>9.3109669473191268</v>
      </c>
      <c r="Y344">
        <v>9.8149669473191263</v>
      </c>
      <c r="Z344">
        <v>9.7980555924071044</v>
      </c>
      <c r="AA344">
        <v>9.3465338946382559</v>
      </c>
      <c r="AB344">
        <v>9.8505338946382555</v>
      </c>
      <c r="AC344">
        <f>VLOOKUP($A344,raw[],29,FALSE)*(1+interactive!$C$7)</f>
        <v>9.8854559999999401E-3</v>
      </c>
      <c r="AD344">
        <f>VLOOKUP($A344,raw[],30,FALSE)*(1+interactive!$C$7)</f>
        <v>3.9537231968562119E-4</v>
      </c>
      <c r="AE344">
        <f>VLOOKUP($A344,raw[],31,FALSE)*(1+interactive!$C$7)</f>
        <v>1.9237498004231218E-4</v>
      </c>
      <c r="AF344">
        <f>VLOOKUP($A344,raw[],32,FALSE)*(1+interactive!$C$7)</f>
        <v>1.611380920538153E-4</v>
      </c>
      <c r="AG344">
        <f>VLOOKUP($A344,raw[],33,FALSE)*(1+interactive!$C$7)</f>
        <v>3.0210700528991149E-4</v>
      </c>
      <c r="AH344">
        <f>VLOOKUP($A344,raw[],34,FALSE)*(1+interactive!$C$7)</f>
        <v>4.2116993280849271E-4</v>
      </c>
      <c r="AI344">
        <f>VLOOKUP($A344,raw[],35,FALSE)*(1+interactive!$C$7)</f>
        <v>4.5084559386451492E-4</v>
      </c>
      <c r="AJ344">
        <f>VLOOKUP($A344,raw[],36,FALSE)*(1+interactive!$C$7)</f>
        <v>5.3084589083587518E-4</v>
      </c>
      <c r="AK344">
        <f>VLOOKUP($A344,raw[],37,FALSE)*(1+interactive!$C$7)</f>
        <v>7.1459112323173448E-4</v>
      </c>
      <c r="AL344">
        <f>VLOOKUP($A344,raw[],38,FALSE)*(1+interactive!$C$7)</f>
        <v>1.0989625340284102E-3</v>
      </c>
      <c r="AM344">
        <f>VLOOKUP($A344,raw[],39,FALSE)*(1+interactive!$C$7)</f>
        <v>1.9167579029532864E-3</v>
      </c>
      <c r="AN344">
        <f>VLOOKUP($A344,raw[],40,FALSE)*(1+interactive!$C$7)</f>
        <v>3.2754766141580129E-3</v>
      </c>
      <c r="AO344">
        <f>VLOOKUP($A344,raw[],41,FALSE)*(1+interactive!$C$7)</f>
        <v>5.712357247959367E-3</v>
      </c>
      <c r="AP344">
        <f>VLOOKUP($A344,raw[],42,FALSE)*(1+interactive!$C$7)</f>
        <v>9.0740217642515351E-3</v>
      </c>
      <c r="AQ344">
        <f>VLOOKUP($A344,raw[],43,FALSE)*(1+interactive!$C$7)</f>
        <v>1.5470855250114201E-2</v>
      </c>
      <c r="AR344">
        <f>VLOOKUP($A344,raw[],44,FALSE)*(1+interactive!$C$7)</f>
        <v>2.6779589659180345E-2</v>
      </c>
      <c r="AS344">
        <f>VLOOKUP($A344,raw[],45,FALSE)*(1+interactive!$C$7)</f>
        <v>4.4277967182773804E-2</v>
      </c>
      <c r="AT344">
        <f>VLOOKUP($A344,raw[],46,FALSE)*(1+interactive!$C$7)</f>
        <v>7.1534992416606005E-2</v>
      </c>
      <c r="AU344">
        <f>VLOOKUP($A344,raw[],47,FALSE)*(1+interactive!$C$7)</f>
        <v>0.10708152530942154</v>
      </c>
      <c r="AV344">
        <f>VLOOKUP($A344,raw[],48,FALSE)*(1+interactive!$C$7)</f>
        <v>0.14285618867874683</v>
      </c>
      <c r="AW344">
        <f>VLOOKUP($A344,raw[],49,FALSE)*(1+interactive!$C$7)</f>
        <v>0.17122684905651381</v>
      </c>
      <c r="AX344">
        <f>VLOOKUP($A344,raw[],50,FALSE)*(1+interactive!$C$7)</f>
        <v>82.764150000000001</v>
      </c>
    </row>
    <row r="345" spans="1:50" x14ac:dyDescent="0.25">
      <c r="A345" s="55" t="s">
        <v>358</v>
      </c>
      <c r="B345" s="56" t="s">
        <v>359</v>
      </c>
      <c r="C345" s="56">
        <v>426</v>
      </c>
      <c r="D345" s="56" t="s">
        <v>207</v>
      </c>
      <c r="E345" s="56" t="s">
        <v>245</v>
      </c>
      <c r="F345" s="56" t="s">
        <v>211</v>
      </c>
      <c r="G345" s="56" t="s">
        <v>212</v>
      </c>
      <c r="J345">
        <f>MIN(VLOOKUP($A345,raw[],10,FALSE)*(1+interactive!$C$7),0.999)</f>
        <v>0.93870000000000009</v>
      </c>
      <c r="K345">
        <f>MIN(VLOOKUP($A345,raw[],11,FALSE)*(1+interactive!$C$7),0.999)</f>
        <v>0</v>
      </c>
      <c r="L345">
        <f>MIN(VLOOKUP($A345,raw[],12,FALSE)*(1+interactive!$C$7),0.999)</f>
        <v>0.91349999999999998</v>
      </c>
      <c r="M345">
        <v>0.30809999999999998</v>
      </c>
      <c r="N345">
        <f>IFERROR(VLOOKUP($A345,[2]!hbe_prev[#Data],5,FALSE),0)</f>
        <v>0.3679</v>
      </c>
      <c r="O345">
        <f>VLOOKUP($F345,[2]!hbe_risk[#All],4,FALSE)</f>
        <v>0.74399999999999999</v>
      </c>
      <c r="P345">
        <f>VLOOKUP($F345,[2]!hbe_risk[#All],7,FALSE)</f>
        <v>0.13300000000000001</v>
      </c>
      <c r="Q345">
        <v>8.554650450450449</v>
      </c>
      <c r="R345">
        <v>117.54045045045046</v>
      </c>
      <c r="S345">
        <v>152.69343580221445</v>
      </c>
      <c r="T345">
        <v>155.78134731316166</v>
      </c>
      <c r="U345">
        <v>154.36344361746893</v>
      </c>
      <c r="V345">
        <v>8.7292281824976996</v>
      </c>
      <c r="W345">
        <v>13.8007281824977</v>
      </c>
      <c r="X345">
        <v>8.7199676179297647</v>
      </c>
      <c r="Y345">
        <v>13.791467617929765</v>
      </c>
      <c r="Z345">
        <v>13.786554099503435</v>
      </c>
      <c r="AA345">
        <v>8.7313652358595313</v>
      </c>
      <c r="AB345">
        <v>13.802865235859532</v>
      </c>
      <c r="AC345">
        <f>VLOOKUP($A345,raw[],29,FALSE)*(1+interactive!$C$7)</f>
        <v>6.5371634999999956E-2</v>
      </c>
      <c r="AD345">
        <f>VLOOKUP($A345,raw[],30,FALSE)*(1+interactive!$C$7)</f>
        <v>6.9438927345953673E-3</v>
      </c>
      <c r="AE345">
        <f>VLOOKUP($A345,raw[],31,FALSE)*(1+interactive!$C$7)</f>
        <v>1.8130058066546408E-3</v>
      </c>
      <c r="AF345">
        <f>VLOOKUP($A345,raw[],32,FALSE)*(1+interactive!$C$7)</f>
        <v>1.4998843162438145E-3</v>
      </c>
      <c r="AG345">
        <f>VLOOKUP($A345,raw[],33,FALSE)*(1+interactive!$C$7)</f>
        <v>2.3037219567561633E-3</v>
      </c>
      <c r="AH345">
        <f>VLOOKUP($A345,raw[],34,FALSE)*(1+interactive!$C$7)</f>
        <v>4.226148943627884E-3</v>
      </c>
      <c r="AI345">
        <f>VLOOKUP($A345,raw[],35,FALSE)*(1+interactive!$C$7)</f>
        <v>7.8084261944162698E-3</v>
      </c>
      <c r="AJ345">
        <f>VLOOKUP($A345,raw[],36,FALSE)*(1+interactive!$C$7)</f>
        <v>1.1782298966407518E-2</v>
      </c>
      <c r="AK345">
        <f>VLOOKUP($A345,raw[],37,FALSE)*(1+interactive!$C$7)</f>
        <v>1.7280235144121206E-2</v>
      </c>
      <c r="AL345">
        <f>VLOOKUP($A345,raw[],38,FALSE)*(1+interactive!$C$7)</f>
        <v>1.9498657061440449E-2</v>
      </c>
      <c r="AM345">
        <f>VLOOKUP($A345,raw[],39,FALSE)*(1+interactive!$C$7)</f>
        <v>2.1646491515274768E-2</v>
      </c>
      <c r="AN345">
        <f>VLOOKUP($A345,raw[],40,FALSE)*(1+interactive!$C$7)</f>
        <v>2.3306011544348752E-2</v>
      </c>
      <c r="AO345">
        <f>VLOOKUP($A345,raw[],41,FALSE)*(1+interactive!$C$7)</f>
        <v>2.6219331219291257E-2</v>
      </c>
      <c r="AP345">
        <f>VLOOKUP($A345,raw[],42,FALSE)*(1+interactive!$C$7)</f>
        <v>3.1734836468947612E-2</v>
      </c>
      <c r="AQ345">
        <f>VLOOKUP($A345,raw[],43,FALSE)*(1+interactive!$C$7)</f>
        <v>4.162382723737873E-2</v>
      </c>
      <c r="AR345">
        <f>VLOOKUP($A345,raw[],44,FALSE)*(1+interactive!$C$7)</f>
        <v>5.7192219718902364E-2</v>
      </c>
      <c r="AS345">
        <f>VLOOKUP($A345,raw[],45,FALSE)*(1+interactive!$C$7)</f>
        <v>7.8321724003774518E-2</v>
      </c>
      <c r="AT345">
        <f>VLOOKUP($A345,raw[],46,FALSE)*(1+interactive!$C$7)</f>
        <v>0.1110280466320467</v>
      </c>
      <c r="AU345">
        <f>VLOOKUP($A345,raw[],47,FALSE)*(1+interactive!$C$7)</f>
        <v>0.15016929221910463</v>
      </c>
      <c r="AV345">
        <f>VLOOKUP($A345,raw[],48,FALSE)*(1+interactive!$C$7)</f>
        <v>0.17957523400921999</v>
      </c>
      <c r="AW345">
        <f>VLOOKUP($A345,raw[],49,FALSE)*(1+interactive!$C$7)</f>
        <v>0.19150976801715297</v>
      </c>
      <c r="AX345">
        <f>VLOOKUP($A345,raw[],50,FALSE)*(1+interactive!$C$7)</f>
        <v>56.186550000000004</v>
      </c>
    </row>
    <row r="346" spans="1:50" x14ac:dyDescent="0.25">
      <c r="A346" s="53" t="s">
        <v>360</v>
      </c>
      <c r="B346" s="54" t="s">
        <v>361</v>
      </c>
      <c r="C346" s="54">
        <v>430</v>
      </c>
      <c r="D346" s="54" t="s">
        <v>207</v>
      </c>
      <c r="E346" s="54" t="s">
        <v>235</v>
      </c>
      <c r="F346" s="54" t="s">
        <v>211</v>
      </c>
      <c r="G346" s="54" t="s">
        <v>198</v>
      </c>
      <c r="J346">
        <f>MIN(VLOOKUP($A346,raw[],10,FALSE)*(1+interactive!$C$7),0.999)</f>
        <v>0.83789999999999998</v>
      </c>
      <c r="K346">
        <f>MIN(VLOOKUP($A346,raw[],11,FALSE)*(1+interactive!$C$7),0.999)</f>
        <v>0</v>
      </c>
      <c r="L346">
        <f>MIN(VLOOKUP($A346,raw[],12,FALSE)*(1+interactive!$C$7),0.999)</f>
        <v>0.68250000000000011</v>
      </c>
      <c r="M346">
        <v>0.15509999999999999</v>
      </c>
      <c r="N346">
        <f>IFERROR(VLOOKUP($A346,[2]!hbe_prev[#Data],5,FALSE),0)</f>
        <v>0.41070000000000001</v>
      </c>
      <c r="O346">
        <f>VLOOKUP($F346,[2]!hbe_risk[#All],4,FALSE)</f>
        <v>0.74399999999999999</v>
      </c>
      <c r="P346">
        <f>VLOOKUP($F346,[2]!hbe_risk[#All],7,FALSE)</f>
        <v>0.13300000000000001</v>
      </c>
      <c r="Q346">
        <v>5.8268771653543299</v>
      </c>
      <c r="R346">
        <v>114.81267716535434</v>
      </c>
      <c r="S346">
        <v>145.21178450004646</v>
      </c>
      <c r="T346">
        <v>145.82546865659936</v>
      </c>
      <c r="U346">
        <v>145.54367786354084</v>
      </c>
      <c r="V346">
        <v>4.7843631537399016</v>
      </c>
      <c r="W346">
        <v>9.855863153739902</v>
      </c>
      <c r="X346">
        <v>4.7740567744771871</v>
      </c>
      <c r="Y346">
        <v>9.8455567744771884</v>
      </c>
      <c r="Z346">
        <v>9.8400999772431614</v>
      </c>
      <c r="AA346">
        <v>4.7867415489543745</v>
      </c>
      <c r="AB346">
        <v>9.8582415489543749</v>
      </c>
      <c r="AC346">
        <f>VLOOKUP($A346,raw[],29,FALSE)*(1+interactive!$C$7)</f>
        <v>5.6777657999999932E-2</v>
      </c>
      <c r="AD346">
        <f>VLOOKUP($A346,raw[],30,FALSE)*(1+interactive!$C$7)</f>
        <v>5.5605426878829051E-3</v>
      </c>
      <c r="AE346">
        <f>VLOOKUP($A346,raw[],31,FALSE)*(1+interactive!$C$7)</f>
        <v>1.6006808033801341E-3</v>
      </c>
      <c r="AF346">
        <f>VLOOKUP($A346,raw[],32,FALSE)*(1+interactive!$C$7)</f>
        <v>1.1372596364502296E-3</v>
      </c>
      <c r="AG346">
        <f>VLOOKUP($A346,raw[],33,FALSE)*(1+interactive!$C$7)</f>
        <v>1.787523477599781E-3</v>
      </c>
      <c r="AH346">
        <f>VLOOKUP($A346,raw[],34,FALSE)*(1+interactive!$C$7)</f>
        <v>2.630380564605384E-3</v>
      </c>
      <c r="AI346">
        <f>VLOOKUP($A346,raw[],35,FALSE)*(1+interactive!$C$7)</f>
        <v>3.196867009331277E-3</v>
      </c>
      <c r="AJ346">
        <f>VLOOKUP($A346,raw[],36,FALSE)*(1+interactive!$C$7)</f>
        <v>3.8493728488840596E-3</v>
      </c>
      <c r="AK346">
        <f>VLOOKUP($A346,raw[],37,FALSE)*(1+interactive!$C$7)</f>
        <v>4.7957914326772801E-3</v>
      </c>
      <c r="AL346">
        <f>VLOOKUP($A346,raw[],38,FALSE)*(1+interactive!$C$7)</f>
        <v>6.0127251154176112E-3</v>
      </c>
      <c r="AM346">
        <f>VLOOKUP($A346,raw[],39,FALSE)*(1+interactive!$C$7)</f>
        <v>7.4806768294510663E-3</v>
      </c>
      <c r="AN346">
        <f>VLOOKUP($A346,raw[],40,FALSE)*(1+interactive!$C$7)</f>
        <v>1.0341593442258287E-2</v>
      </c>
      <c r="AO346">
        <f>VLOOKUP($A346,raw[],41,FALSE)*(1+interactive!$C$7)</f>
        <v>1.371576265568066E-2</v>
      </c>
      <c r="AP346">
        <f>VLOOKUP($A346,raw[],42,FALSE)*(1+interactive!$C$7)</f>
        <v>2.0362061952819886E-2</v>
      </c>
      <c r="AQ346">
        <f>VLOOKUP($A346,raw[],43,FALSE)*(1+interactive!$C$7)</f>
        <v>3.1260673647582851E-2</v>
      </c>
      <c r="AR346">
        <f>VLOOKUP($A346,raw[],44,FALSE)*(1+interactive!$C$7)</f>
        <v>4.8580482035958383E-2</v>
      </c>
      <c r="AS346">
        <f>VLOOKUP($A346,raw[],45,FALSE)*(1+interactive!$C$7)</f>
        <v>7.4348108738983468E-2</v>
      </c>
      <c r="AT346">
        <f>VLOOKUP($A346,raw[],46,FALSE)*(1+interactive!$C$7)</f>
        <v>0.11104142354365279</v>
      </c>
      <c r="AU346">
        <f>VLOOKUP($A346,raw[],47,FALSE)*(1+interactive!$C$7)</f>
        <v>0.15289855993902712</v>
      </c>
      <c r="AV346">
        <f>VLOOKUP($A346,raw[],48,FALSE)*(1+interactive!$C$7)</f>
        <v>0.1872988568813603</v>
      </c>
      <c r="AW346">
        <f>VLOOKUP($A346,raw[],49,FALSE)*(1+interactive!$C$7)</f>
        <v>0.19849894004217569</v>
      </c>
      <c r="AX346">
        <f>VLOOKUP($A346,raw[],50,FALSE)*(1+interactive!$C$7)</f>
        <v>66.775800000000004</v>
      </c>
    </row>
    <row r="347" spans="1:50" x14ac:dyDescent="0.25">
      <c r="A347" s="55" t="s">
        <v>362</v>
      </c>
      <c r="B347" s="56" t="s">
        <v>363</v>
      </c>
      <c r="C347" s="56">
        <v>434</v>
      </c>
      <c r="D347" s="56" t="s">
        <v>196</v>
      </c>
      <c r="E347" s="56" t="s">
        <v>197</v>
      </c>
      <c r="F347" s="56" t="s">
        <v>197</v>
      </c>
      <c r="G347" s="56" t="s">
        <v>204</v>
      </c>
      <c r="J347">
        <f>MIN(VLOOKUP($A347,raw[],10,FALSE)*(1+interactive!$C$7),0.999)</f>
        <v>0.999</v>
      </c>
      <c r="K347">
        <f>MIN(VLOOKUP($A347,raw[],11,FALSE)*(1+interactive!$C$7),0.999)</f>
        <v>0</v>
      </c>
      <c r="L347">
        <f>MIN(VLOOKUP($A347,raw[],12,FALSE)*(1+interactive!$C$7),0.999)</f>
        <v>0.76649999999999996</v>
      </c>
      <c r="M347">
        <v>2.0400000000000001E-2</v>
      </c>
      <c r="N347">
        <f>IFERROR(VLOOKUP($A347,[2]!hbe_prev[#Data],5,FALSE),0)</f>
        <v>0.37619999999999998</v>
      </c>
      <c r="O347">
        <f>VLOOKUP($F347,[2]!hbe_risk[#All],4,FALSE)</f>
        <v>0.9</v>
      </c>
      <c r="P347">
        <f>VLOOKUP($F347,[2]!hbe_risk[#All],7,FALSE)</f>
        <v>0.3</v>
      </c>
      <c r="Q347">
        <v>30.571658292443601</v>
      </c>
      <c r="R347">
        <v>139.55745829244358</v>
      </c>
      <c r="S347">
        <v>250.49246985186281</v>
      </c>
      <c r="T347">
        <v>293.02227733512098</v>
      </c>
      <c r="U347">
        <v>273.49348870441509</v>
      </c>
      <c r="V347">
        <v>11.910242974873324</v>
      </c>
      <c r="W347">
        <v>12.414242974873323</v>
      </c>
      <c r="X347">
        <v>11.888709158550798</v>
      </c>
      <c r="Y347">
        <v>12.392709158550797</v>
      </c>
      <c r="Z347">
        <v>12.381048849366314</v>
      </c>
      <c r="AA347">
        <v>11.915212317101599</v>
      </c>
      <c r="AB347">
        <v>12.419212317101598</v>
      </c>
      <c r="AC347">
        <f>VLOOKUP($A347,raw[],29,FALSE)*(1+interactive!$C$7)</f>
        <v>1.1057991000000074E-2</v>
      </c>
      <c r="AD347">
        <f>VLOOKUP($A347,raw[],30,FALSE)*(1+interactive!$C$7)</f>
        <v>5.7611228039193628E-4</v>
      </c>
      <c r="AE347">
        <f>VLOOKUP($A347,raw[],31,FALSE)*(1+interactive!$C$7)</f>
        <v>4.0556945692268414E-4</v>
      </c>
      <c r="AF347">
        <f>VLOOKUP($A347,raw[],32,FALSE)*(1+interactive!$C$7)</f>
        <v>4.1296928628974686E-4</v>
      </c>
      <c r="AG347">
        <f>VLOOKUP($A347,raw[],33,FALSE)*(1+interactive!$C$7)</f>
        <v>1.0399356983648474E-3</v>
      </c>
      <c r="AH347">
        <f>VLOOKUP($A347,raw[],34,FALSE)*(1+interactive!$C$7)</f>
        <v>1.4072421766954005E-3</v>
      </c>
      <c r="AI347">
        <f>VLOOKUP($A347,raw[],35,FALSE)*(1+interactive!$C$7)</f>
        <v>1.4954083264634803E-3</v>
      </c>
      <c r="AJ347">
        <f>VLOOKUP($A347,raw[],36,FALSE)*(1+interactive!$C$7)</f>
        <v>1.6480413642938781E-3</v>
      </c>
      <c r="AK347">
        <f>VLOOKUP($A347,raw[],37,FALSE)*(1+interactive!$C$7)</f>
        <v>2.0688662207027759E-3</v>
      </c>
      <c r="AL347">
        <f>VLOOKUP($A347,raw[],38,FALSE)*(1+interactive!$C$7)</f>
        <v>2.914867067944072E-3</v>
      </c>
      <c r="AM347">
        <f>VLOOKUP($A347,raw[],39,FALSE)*(1+interactive!$C$7)</f>
        <v>4.1552332339414586E-3</v>
      </c>
      <c r="AN347">
        <f>VLOOKUP($A347,raw[],40,FALSE)*(1+interactive!$C$7)</f>
        <v>6.5295036205133619E-3</v>
      </c>
      <c r="AO347">
        <f>VLOOKUP($A347,raw[],41,FALSE)*(1+interactive!$C$7)</f>
        <v>1.0423991800362553E-2</v>
      </c>
      <c r="AP347">
        <f>VLOOKUP($A347,raw[],42,FALSE)*(1+interactive!$C$7)</f>
        <v>1.6432730315002649E-2</v>
      </c>
      <c r="AQ347">
        <f>VLOOKUP($A347,raw[],43,FALSE)*(1+interactive!$C$7)</f>
        <v>2.6464399998889204E-2</v>
      </c>
      <c r="AR347">
        <f>VLOOKUP($A347,raw[],44,FALSE)*(1+interactive!$C$7)</f>
        <v>4.0790869516712749E-2</v>
      </c>
      <c r="AS347">
        <f>VLOOKUP($A347,raw[],45,FALSE)*(1+interactive!$C$7)</f>
        <v>6.3988747880077121E-2</v>
      </c>
      <c r="AT347">
        <f>VLOOKUP($A347,raw[],46,FALSE)*(1+interactive!$C$7)</f>
        <v>9.6810251473444714E-2</v>
      </c>
      <c r="AU347">
        <f>VLOOKUP($A347,raw[],47,FALSE)*(1+interactive!$C$7)</f>
        <v>0.13331595559857973</v>
      </c>
      <c r="AV347">
        <f>VLOOKUP($A347,raw[],48,FALSE)*(1+interactive!$C$7)</f>
        <v>0.16558602022800026</v>
      </c>
      <c r="AW347">
        <f>VLOOKUP($A347,raw[],49,FALSE)*(1+interactive!$C$7)</f>
        <v>0.18520871936399233</v>
      </c>
      <c r="AX347">
        <f>VLOOKUP($A347,raw[],50,FALSE)*(1+interactive!$C$7)</f>
        <v>76.33605</v>
      </c>
    </row>
    <row r="348" spans="1:50" x14ac:dyDescent="0.25">
      <c r="A348" s="53" t="s">
        <v>364</v>
      </c>
      <c r="B348" s="54" t="s">
        <v>365</v>
      </c>
      <c r="C348" s="54">
        <v>450</v>
      </c>
      <c r="D348" s="54" t="s">
        <v>207</v>
      </c>
      <c r="E348" s="54" t="s">
        <v>255</v>
      </c>
      <c r="F348" s="54" t="s">
        <v>211</v>
      </c>
      <c r="G348" s="54" t="s">
        <v>198</v>
      </c>
      <c r="J348">
        <f>MIN(VLOOKUP($A348,raw[],10,FALSE)*(1+interactive!$C$7),0.999)</f>
        <v>0.40635000000000004</v>
      </c>
      <c r="K348">
        <f>MIN(VLOOKUP($A348,raw[],11,FALSE)*(1+interactive!$C$7),0.999)</f>
        <v>0</v>
      </c>
      <c r="L348">
        <f>MIN(VLOOKUP($A348,raw[],12,FALSE)*(1+interactive!$C$7),0.999)</f>
        <v>0.73499999999999999</v>
      </c>
      <c r="M348">
        <v>7.17E-2</v>
      </c>
      <c r="N348">
        <f>IFERROR(VLOOKUP($A348,[2]!hbe_prev[#Data],5,FALSE),0)</f>
        <v>0.39960000000000001</v>
      </c>
      <c r="O348">
        <f>VLOOKUP($F348,[2]!hbe_risk[#All],4,FALSE)</f>
        <v>0.74399999999999999</v>
      </c>
      <c r="P348">
        <f>VLOOKUP($F348,[2]!hbe_risk[#All],7,FALSE)</f>
        <v>0.13300000000000001</v>
      </c>
      <c r="Q348">
        <v>5.7505143254520199</v>
      </c>
      <c r="R348">
        <v>114.73631432545203</v>
      </c>
      <c r="S348">
        <v>145.34234522077952</v>
      </c>
      <c r="T348">
        <v>146.06372585842723</v>
      </c>
      <c r="U348">
        <v>145.73248311766355</v>
      </c>
      <c r="V348">
        <v>2.5851184883751759</v>
      </c>
      <c r="W348">
        <v>7.6566184883751767</v>
      </c>
      <c r="X348">
        <v>2.5766350970345799</v>
      </c>
      <c r="Y348">
        <v>7.6481350970345803</v>
      </c>
      <c r="Z348">
        <v>7.6430783164700955</v>
      </c>
      <c r="AA348">
        <v>2.5870761940691596</v>
      </c>
      <c r="AB348">
        <v>7.6585761940691599</v>
      </c>
      <c r="AC348">
        <f>VLOOKUP($A348,raw[],29,FALSE)*(1+interactive!$C$7)</f>
        <v>3.049434149999998E-2</v>
      </c>
      <c r="AD348">
        <f>VLOOKUP($A348,raw[],30,FALSE)*(1+interactive!$C$7)</f>
        <v>3.8261647311396583E-3</v>
      </c>
      <c r="AE348">
        <f>VLOOKUP($A348,raw[],31,FALSE)*(1+interactive!$C$7)</f>
        <v>1.7676249717784825E-3</v>
      </c>
      <c r="AF348">
        <f>VLOOKUP($A348,raw[],32,FALSE)*(1+interactive!$C$7)</f>
        <v>1.389727388479392E-3</v>
      </c>
      <c r="AG348">
        <f>VLOOKUP($A348,raw[],33,FALSE)*(1+interactive!$C$7)</f>
        <v>1.9325835498258436E-3</v>
      </c>
      <c r="AH348">
        <f>VLOOKUP($A348,raw[],34,FALSE)*(1+interactive!$C$7)</f>
        <v>2.2361929337791422E-3</v>
      </c>
      <c r="AI348">
        <f>VLOOKUP($A348,raw[],35,FALSE)*(1+interactive!$C$7)</f>
        <v>2.4777430404005433E-3</v>
      </c>
      <c r="AJ348">
        <f>VLOOKUP($A348,raw[],36,FALSE)*(1+interactive!$C$7)</f>
        <v>3.1985958572355493E-3</v>
      </c>
      <c r="AK348">
        <f>VLOOKUP($A348,raw[],37,FALSE)*(1+interactive!$C$7)</f>
        <v>4.111629720260291E-3</v>
      </c>
      <c r="AL348">
        <f>VLOOKUP($A348,raw[],38,FALSE)*(1+interactive!$C$7)</f>
        <v>5.3088980370500334E-3</v>
      </c>
      <c r="AM348">
        <f>VLOOKUP($A348,raw[],39,FALSE)*(1+interactive!$C$7)</f>
        <v>6.9939926365390863E-3</v>
      </c>
      <c r="AN348">
        <f>VLOOKUP($A348,raw[],40,FALSE)*(1+interactive!$C$7)</f>
        <v>9.3546050362235643E-3</v>
      </c>
      <c r="AO348">
        <f>VLOOKUP($A348,raw[],41,FALSE)*(1+interactive!$C$7)</f>
        <v>1.3166942653531079E-2</v>
      </c>
      <c r="AP348">
        <f>VLOOKUP($A348,raw[],42,FALSE)*(1+interactive!$C$7)</f>
        <v>2.0121992600801251E-2</v>
      </c>
      <c r="AQ348">
        <f>VLOOKUP($A348,raw[],43,FALSE)*(1+interactive!$C$7)</f>
        <v>3.2412171688959095E-2</v>
      </c>
      <c r="AR348">
        <f>VLOOKUP($A348,raw[],44,FALSE)*(1+interactive!$C$7)</f>
        <v>4.9511488481258158E-2</v>
      </c>
      <c r="AS348">
        <f>VLOOKUP($A348,raw[],45,FALSE)*(1+interactive!$C$7)</f>
        <v>7.2026864807722635E-2</v>
      </c>
      <c r="AT348">
        <f>VLOOKUP($A348,raw[],46,FALSE)*(1+interactive!$C$7)</f>
        <v>9.9714300462043562E-2</v>
      </c>
      <c r="AU348">
        <f>VLOOKUP($A348,raw[],47,FALSE)*(1+interactive!$C$7)</f>
        <v>0.12971919476502042</v>
      </c>
      <c r="AV348">
        <f>VLOOKUP($A348,raw[],48,FALSE)*(1+interactive!$C$7)</f>
        <v>0.1573983054368441</v>
      </c>
      <c r="AW348">
        <f>VLOOKUP($A348,raw[],49,FALSE)*(1+interactive!$C$7)</f>
        <v>0.17827446458116308</v>
      </c>
      <c r="AX348">
        <f>VLOOKUP($A348,raw[],50,FALSE)*(1+interactive!$C$7)</f>
        <v>69.811350000000004</v>
      </c>
    </row>
    <row r="349" spans="1:50" x14ac:dyDescent="0.25">
      <c r="A349" s="55" t="s">
        <v>366</v>
      </c>
      <c r="B349" s="56" t="s">
        <v>367</v>
      </c>
      <c r="C349" s="56">
        <v>454</v>
      </c>
      <c r="D349" s="56" t="s">
        <v>207</v>
      </c>
      <c r="E349" s="56" t="s">
        <v>255</v>
      </c>
      <c r="F349" s="56" t="s">
        <v>211</v>
      </c>
      <c r="G349" s="56" t="s">
        <v>198</v>
      </c>
      <c r="J349">
        <f>MIN(VLOOKUP($A349,raw[],10,FALSE)*(1+interactive!$C$7),0.999)</f>
        <v>0.95970000000000011</v>
      </c>
      <c r="K349">
        <f>MIN(VLOOKUP($A349,raw[],11,FALSE)*(1+interactive!$C$7),0.999)</f>
        <v>0</v>
      </c>
      <c r="L349">
        <f>MIN(VLOOKUP($A349,raw[],12,FALSE)*(1+interactive!$C$7),0.999)</f>
        <v>0.94500000000000006</v>
      </c>
      <c r="M349">
        <v>6.3299999999999995E-2</v>
      </c>
      <c r="N349">
        <f>IFERROR(VLOOKUP($A349,[2]!hbe_prev[#Data],5,FALSE),0)</f>
        <v>0.39960000000000001</v>
      </c>
      <c r="O349">
        <f>VLOOKUP($F349,[2]!hbe_risk[#All],4,FALSE)</f>
        <v>0.74399999999999999</v>
      </c>
      <c r="P349">
        <f>VLOOKUP($F349,[2]!hbe_risk[#All],7,FALSE)</f>
        <v>0.13300000000000001</v>
      </c>
      <c r="Q349">
        <v>6.8171402756508401</v>
      </c>
      <c r="R349">
        <v>115.80294027565085</v>
      </c>
      <c r="S349">
        <v>146.93615861454049</v>
      </c>
      <c r="T349">
        <v>147.93192189075626</v>
      </c>
      <c r="U349">
        <v>147.47468844207225</v>
      </c>
      <c r="V349">
        <v>5.1555657434307625</v>
      </c>
      <c r="W349">
        <v>10.227065743430764</v>
      </c>
      <c r="X349">
        <v>5.1451757205135245</v>
      </c>
      <c r="Y349">
        <v>10.216675720513525</v>
      </c>
      <c r="Z349">
        <v>10.211160333291005</v>
      </c>
      <c r="AA349">
        <v>5.1579634410270483</v>
      </c>
      <c r="AB349">
        <v>10.229463441027049</v>
      </c>
      <c r="AC349">
        <f>VLOOKUP($A349,raw[],29,FALSE)*(1+interactive!$C$7)</f>
        <v>4.3402243500000069E-2</v>
      </c>
      <c r="AD349">
        <f>VLOOKUP($A349,raw[],30,FALSE)*(1+interactive!$C$7)</f>
        <v>3.8655109624218358E-3</v>
      </c>
      <c r="AE349">
        <f>VLOOKUP($A349,raw[],31,FALSE)*(1+interactive!$C$7)</f>
        <v>1.3093136547176389E-3</v>
      </c>
      <c r="AF349">
        <f>VLOOKUP($A349,raw[],32,FALSE)*(1+interactive!$C$7)</f>
        <v>1.0212689945835432E-3</v>
      </c>
      <c r="AG349">
        <f>VLOOKUP($A349,raw[],33,FALSE)*(1+interactive!$C$7)</f>
        <v>1.6793574553365677E-3</v>
      </c>
      <c r="AH349">
        <f>VLOOKUP($A349,raw[],34,FALSE)*(1+interactive!$C$7)</f>
        <v>2.6538985699500897E-3</v>
      </c>
      <c r="AI349">
        <f>VLOOKUP($A349,raw[],35,FALSE)*(1+interactive!$C$7)</f>
        <v>3.6450112415568879E-3</v>
      </c>
      <c r="AJ349">
        <f>VLOOKUP($A349,raw[],36,FALSE)*(1+interactive!$C$7)</f>
        <v>4.7524783796029108E-3</v>
      </c>
      <c r="AK349">
        <f>VLOOKUP($A349,raw[],37,FALSE)*(1+interactive!$C$7)</f>
        <v>6.3401261950926787E-3</v>
      </c>
      <c r="AL349">
        <f>VLOOKUP($A349,raw[],38,FALSE)*(1+interactive!$C$7)</f>
        <v>7.8729405285933706E-3</v>
      </c>
      <c r="AM349">
        <f>VLOOKUP($A349,raw[],39,FALSE)*(1+interactive!$C$7)</f>
        <v>9.6962730321831971E-3</v>
      </c>
      <c r="AN349">
        <f>VLOOKUP($A349,raw[],40,FALSE)*(1+interactive!$C$7)</f>
        <v>1.2705744341568693E-2</v>
      </c>
      <c r="AO349">
        <f>VLOOKUP($A349,raw[],41,FALSE)*(1+interactive!$C$7)</f>
        <v>1.6233762940212792E-2</v>
      </c>
      <c r="AP349">
        <f>VLOOKUP($A349,raw[],42,FALSE)*(1+interactive!$C$7)</f>
        <v>2.2889751512680773E-2</v>
      </c>
      <c r="AQ349">
        <f>VLOOKUP($A349,raw[],43,FALSE)*(1+interactive!$C$7)</f>
        <v>3.360905759304314E-2</v>
      </c>
      <c r="AR349">
        <f>VLOOKUP($A349,raw[],44,FALSE)*(1+interactive!$C$7)</f>
        <v>5.0168379027146298E-2</v>
      </c>
      <c r="AS349">
        <f>VLOOKUP($A349,raw[],45,FALSE)*(1+interactive!$C$7)</f>
        <v>7.4587495320058317E-2</v>
      </c>
      <c r="AT349">
        <f>VLOOKUP($A349,raw[],46,FALSE)*(1+interactive!$C$7)</f>
        <v>0.11036182619908703</v>
      </c>
      <c r="AU349">
        <f>VLOOKUP($A349,raw[],47,FALSE)*(1+interactive!$C$7)</f>
        <v>0.15195296143927808</v>
      </c>
      <c r="AV349">
        <f>VLOOKUP($A349,raw[],48,FALSE)*(1+interactive!$C$7)</f>
        <v>0.18606155347322251</v>
      </c>
      <c r="AW349">
        <f>VLOOKUP($A349,raw[],49,FALSE)*(1+interactive!$C$7)</f>
        <v>0.19798151720308915</v>
      </c>
      <c r="AX349">
        <f>VLOOKUP($A349,raw[],50,FALSE)*(1+interactive!$C$7)</f>
        <v>66.6036</v>
      </c>
    </row>
    <row r="350" spans="1:50" x14ac:dyDescent="0.25">
      <c r="A350" s="53" t="s">
        <v>368</v>
      </c>
      <c r="B350" s="54" t="s">
        <v>369</v>
      </c>
      <c r="C350" s="54">
        <v>458</v>
      </c>
      <c r="D350" s="54" t="s">
        <v>260</v>
      </c>
      <c r="E350" s="54" t="s">
        <v>261</v>
      </c>
      <c r="F350" s="54" t="s">
        <v>262</v>
      </c>
      <c r="G350" s="54" t="s">
        <v>204</v>
      </c>
      <c r="J350">
        <f>MIN(VLOOKUP($A350,raw[],10,FALSE)*(1+interactive!$C$7),0.999)</f>
        <v>0.999</v>
      </c>
      <c r="K350">
        <f>MIN(VLOOKUP($A350,raw[],11,FALSE)*(1+interactive!$C$7),0.999)</f>
        <v>0.999</v>
      </c>
      <c r="L350">
        <f>MIN(VLOOKUP($A350,raw[],12,FALSE)*(1+interactive!$C$7),0.999)</f>
        <v>0.999</v>
      </c>
      <c r="M350">
        <v>1.38E-2</v>
      </c>
      <c r="N350">
        <f>IFERROR(VLOOKUP($A350,[2]!hbe_prev[#Data],5,FALSE),0)</f>
        <v>0.47729999999999995</v>
      </c>
      <c r="O350">
        <f>VLOOKUP($F350,[2]!hbe_risk[#All],4,FALSE)</f>
        <v>0.9</v>
      </c>
      <c r="P350">
        <f>VLOOKUP($F350,[2]!hbe_risk[#All],7,FALSE)</f>
        <v>0.3</v>
      </c>
      <c r="Q350">
        <v>31.678815232050802</v>
      </c>
      <c r="R350">
        <v>140.66461523205083</v>
      </c>
      <c r="S350">
        <v>244.25556723274661</v>
      </c>
      <c r="T350">
        <v>282.96304839899801</v>
      </c>
      <c r="U350">
        <v>265.18939121937603</v>
      </c>
      <c r="V350">
        <v>11.7210295627896</v>
      </c>
      <c r="W350">
        <v>12.3825295627896</v>
      </c>
      <c r="X350">
        <v>11.659577413952881</v>
      </c>
      <c r="Y350">
        <v>12.321077413952882</v>
      </c>
      <c r="Z350">
        <v>12.287221943452066</v>
      </c>
      <c r="AA350">
        <v>11.735210827905766</v>
      </c>
      <c r="AB350">
        <v>12.396710827905766</v>
      </c>
      <c r="AC350">
        <f>VLOOKUP($A350,raw[],29,FALSE)*(1+interactive!$C$7)</f>
        <v>6.1928685000000629E-3</v>
      </c>
      <c r="AD350">
        <f>VLOOKUP($A350,raw[],30,FALSE)*(1+interactive!$C$7)</f>
        <v>2.8255198311988376E-4</v>
      </c>
      <c r="AE350">
        <f>VLOOKUP($A350,raw[],31,FALSE)*(1+interactive!$C$7)</f>
        <v>1.8270891756465131E-4</v>
      </c>
      <c r="AF350">
        <f>VLOOKUP($A350,raw[],32,FALSE)*(1+interactive!$C$7)</f>
        <v>2.5361460706640635E-4</v>
      </c>
      <c r="AG350">
        <f>VLOOKUP($A350,raw[],33,FALSE)*(1+interactive!$C$7)</f>
        <v>5.9285380024404492E-4</v>
      </c>
      <c r="AH350">
        <f>VLOOKUP($A350,raw[],34,FALSE)*(1+interactive!$C$7)</f>
        <v>6.2162983826625237E-4</v>
      </c>
      <c r="AI350">
        <f>VLOOKUP($A350,raw[],35,FALSE)*(1+interactive!$C$7)</f>
        <v>6.5354797364877704E-4</v>
      </c>
      <c r="AJ350">
        <f>VLOOKUP($A350,raw[],36,FALSE)*(1+interactive!$C$7)</f>
        <v>1.1300602584569E-3</v>
      </c>
      <c r="AK350">
        <f>VLOOKUP($A350,raw[],37,FALSE)*(1+interactive!$C$7)</f>
        <v>1.6824584280492076E-3</v>
      </c>
      <c r="AL350">
        <f>VLOOKUP($A350,raw[],38,FALSE)*(1+interactive!$C$7)</f>
        <v>2.499329511011214E-3</v>
      </c>
      <c r="AM350">
        <f>VLOOKUP($A350,raw[],39,FALSE)*(1+interactive!$C$7)</f>
        <v>4.3646496126482888E-3</v>
      </c>
      <c r="AN350">
        <f>VLOOKUP($A350,raw[],40,FALSE)*(1+interactive!$C$7)</f>
        <v>6.6162968329346542E-3</v>
      </c>
      <c r="AO350">
        <f>VLOOKUP($A350,raw[],41,FALSE)*(1+interactive!$C$7)</f>
        <v>9.629126629913453E-3</v>
      </c>
      <c r="AP350">
        <f>VLOOKUP($A350,raw[],42,FALSE)*(1+interactive!$C$7)</f>
        <v>1.3258131990259074E-2</v>
      </c>
      <c r="AQ350">
        <f>VLOOKUP($A350,raw[],43,FALSE)*(1+interactive!$C$7)</f>
        <v>2.1290236232091132E-2</v>
      </c>
      <c r="AR350">
        <f>VLOOKUP($A350,raw[],44,FALSE)*(1+interactive!$C$7)</f>
        <v>3.5775817548198766E-2</v>
      </c>
      <c r="AS350">
        <f>VLOOKUP($A350,raw[],45,FALSE)*(1+interactive!$C$7)</f>
        <v>5.0794611341621498E-2</v>
      </c>
      <c r="AT350">
        <f>VLOOKUP($A350,raw[],46,FALSE)*(1+interactive!$C$7)</f>
        <v>7.3858749817296052E-2</v>
      </c>
      <c r="AU350">
        <f>VLOOKUP($A350,raw[],47,FALSE)*(1+interactive!$C$7)</f>
        <v>0.10085891481969204</v>
      </c>
      <c r="AV350">
        <f>VLOOKUP($A350,raw[],48,FALSE)*(1+interactive!$C$7)</f>
        <v>0.12749442100126798</v>
      </c>
      <c r="AW350">
        <f>VLOOKUP($A350,raw[],49,FALSE)*(1+interactive!$C$7)</f>
        <v>0.14824547873903759</v>
      </c>
      <c r="AX350">
        <f>VLOOKUP($A350,raw[],50,FALSE)*(1+interactive!$C$7)</f>
        <v>79.723350000000011</v>
      </c>
    </row>
    <row r="351" spans="1:50" x14ac:dyDescent="0.25">
      <c r="A351" s="55" t="s">
        <v>370</v>
      </c>
      <c r="B351" s="56" t="s">
        <v>371</v>
      </c>
      <c r="C351" s="56">
        <v>462</v>
      </c>
      <c r="D351" s="56" t="s">
        <v>225</v>
      </c>
      <c r="E351" s="56" t="s">
        <v>261</v>
      </c>
      <c r="F351" s="56" t="s">
        <v>262</v>
      </c>
      <c r="G351" s="56" t="s">
        <v>204</v>
      </c>
      <c r="J351">
        <f>MIN(VLOOKUP($A351,raw[],10,FALSE)*(1+interactive!$C$7),0.999)</f>
        <v>0.99224999999999997</v>
      </c>
      <c r="K351">
        <f>MIN(VLOOKUP($A351,raw[],11,FALSE)*(1+interactive!$C$7),0.999)</f>
        <v>0.999</v>
      </c>
      <c r="L351">
        <f>MIN(VLOOKUP($A351,raw[],12,FALSE)*(1+interactive!$C$7),0.999)</f>
        <v>0.999</v>
      </c>
      <c r="M351">
        <v>0.17319999999999999</v>
      </c>
      <c r="N351">
        <f>IFERROR(VLOOKUP($A351,[2]!hbe_prev[#Data],5,FALSE),0)</f>
        <v>0.47729999999999995</v>
      </c>
      <c r="O351">
        <f>VLOOKUP($F351,[2]!hbe_risk[#All],4,FALSE)</f>
        <v>0.9</v>
      </c>
      <c r="P351">
        <f>VLOOKUP($F351,[2]!hbe_risk[#All],7,FALSE)</f>
        <v>0.3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25.899480095975928</v>
      </c>
      <c r="W351">
        <v>26.560980095975928</v>
      </c>
      <c r="X351">
        <v>25.857675639159133</v>
      </c>
      <c r="Y351">
        <v>26.519175639159133</v>
      </c>
      <c r="Z351">
        <v>26.495505905765594</v>
      </c>
      <c r="AA351">
        <v>25.909127278318266</v>
      </c>
      <c r="AB351">
        <v>26.570627278318266</v>
      </c>
      <c r="AC351">
        <f>VLOOKUP($A351,raw[],29,FALSE)*(1+interactive!$C$7)</f>
        <v>7.1031659999999828E-3</v>
      </c>
      <c r="AD351">
        <f>VLOOKUP($A351,raw[],30,FALSE)*(1+interactive!$C$7)</f>
        <v>3.0579165609011163E-4</v>
      </c>
      <c r="AE351">
        <f>VLOOKUP($A351,raw[],31,FALSE)*(1+interactive!$C$7)</f>
        <v>2.6523538410347462E-4</v>
      </c>
      <c r="AF351">
        <f>VLOOKUP($A351,raw[],32,FALSE)*(1+interactive!$C$7)</f>
        <v>3.5613260957012885E-4</v>
      </c>
      <c r="AG351">
        <f>VLOOKUP($A351,raw[],33,FALSE)*(1+interactive!$C$7)</f>
        <v>3.6367145915385061E-4</v>
      </c>
      <c r="AH351">
        <f>VLOOKUP($A351,raw[],34,FALSE)*(1+interactive!$C$7)</f>
        <v>5.3215445555759432E-4</v>
      </c>
      <c r="AI351">
        <f>VLOOKUP($A351,raw[],35,FALSE)*(1+interactive!$C$7)</f>
        <v>4.9412804684747819E-4</v>
      </c>
      <c r="AJ351">
        <f>VLOOKUP($A351,raw[],36,FALSE)*(1+interactive!$C$7)</f>
        <v>5.5244756376318833E-4</v>
      </c>
      <c r="AK351">
        <f>VLOOKUP($A351,raw[],37,FALSE)*(1+interactive!$C$7)</f>
        <v>6.1528517228751989E-4</v>
      </c>
      <c r="AL351">
        <f>VLOOKUP($A351,raw[],38,FALSE)*(1+interactive!$C$7)</f>
        <v>9.8067920849700496E-4</v>
      </c>
      <c r="AM351">
        <f>VLOOKUP($A351,raw[],39,FALSE)*(1+interactive!$C$7)</f>
        <v>1.7274070823502196E-3</v>
      </c>
      <c r="AN351">
        <f>VLOOKUP($A351,raw[],40,FALSE)*(1+interactive!$C$7)</f>
        <v>2.5115866074375028E-3</v>
      </c>
      <c r="AO351">
        <f>VLOOKUP($A351,raw[],41,FALSE)*(1+interactive!$C$7)</f>
        <v>4.8366081753631971E-3</v>
      </c>
      <c r="AP351">
        <f>VLOOKUP($A351,raw[],42,FALSE)*(1+interactive!$C$7)</f>
        <v>9.0302366100627092E-3</v>
      </c>
      <c r="AQ351">
        <f>VLOOKUP($A351,raw[],43,FALSE)*(1+interactive!$C$7)</f>
        <v>1.6913411956470753E-2</v>
      </c>
      <c r="AR351">
        <f>VLOOKUP($A351,raw[],44,FALSE)*(1+interactive!$C$7)</f>
        <v>3.1196746291609664E-2</v>
      </c>
      <c r="AS351">
        <f>VLOOKUP($A351,raw[],45,FALSE)*(1+interactive!$C$7)</f>
        <v>5.5849975324271148E-2</v>
      </c>
      <c r="AT351">
        <f>VLOOKUP($A351,raw[],46,FALSE)*(1+interactive!$C$7)</f>
        <v>7.6099897020507942E-2</v>
      </c>
      <c r="AU351">
        <f>VLOOKUP($A351,raw[],47,FALSE)*(1+interactive!$C$7)</f>
        <v>0.10315446837984948</v>
      </c>
      <c r="AV351">
        <f>VLOOKUP($A351,raw[],48,FALSE)*(1+interactive!$C$7)</f>
        <v>0.1305781451492023</v>
      </c>
      <c r="AW351">
        <f>VLOOKUP($A351,raw[],49,FALSE)*(1+interactive!$C$7)</f>
        <v>0.15480956676455052</v>
      </c>
      <c r="AX351">
        <f>VLOOKUP($A351,raw[],50,FALSE)*(1+interactive!$C$7)</f>
        <v>82.389299999999992</v>
      </c>
    </row>
    <row r="352" spans="1:50" x14ac:dyDescent="0.25">
      <c r="A352" s="53" t="s">
        <v>372</v>
      </c>
      <c r="B352" s="54" t="s">
        <v>373</v>
      </c>
      <c r="C352" s="54">
        <v>466</v>
      </c>
      <c r="D352" s="54" t="s">
        <v>207</v>
      </c>
      <c r="E352" s="54" t="s">
        <v>235</v>
      </c>
      <c r="F352" s="54" t="s">
        <v>211</v>
      </c>
      <c r="G352" s="54" t="s">
        <v>198</v>
      </c>
      <c r="J352">
        <f>MIN(VLOOKUP($A352,raw[],10,FALSE)*(1+interactive!$C$7),0.999)</f>
        <v>0.70139999999999991</v>
      </c>
      <c r="K352">
        <f>MIN(VLOOKUP($A352,raw[],11,FALSE)*(1+interactive!$C$7),0.999)</f>
        <v>0</v>
      </c>
      <c r="L352">
        <f>MIN(VLOOKUP($A352,raw[],12,FALSE)*(1+interactive!$C$7),0.999)</f>
        <v>0.73499999999999999</v>
      </c>
      <c r="M352">
        <v>0.12179999999999999</v>
      </c>
      <c r="N352">
        <f>IFERROR(VLOOKUP($A352,[2]!hbe_prev[#Data],5,FALSE),0)</f>
        <v>0.41070000000000001</v>
      </c>
      <c r="O352">
        <f>VLOOKUP($F352,[2]!hbe_risk[#All],4,FALSE)</f>
        <v>0.74399999999999999</v>
      </c>
      <c r="P352">
        <f>VLOOKUP($F352,[2]!hbe_risk[#All],7,FALSE)</f>
        <v>0.13300000000000001</v>
      </c>
      <c r="Q352">
        <v>6.96140364741641</v>
      </c>
      <c r="R352">
        <v>115.94720364741642</v>
      </c>
      <c r="S352">
        <v>147.81919805353004</v>
      </c>
      <c r="T352">
        <v>149.19946845166459</v>
      </c>
      <c r="U352">
        <v>148.56567746004066</v>
      </c>
      <c r="V352">
        <v>2.877119474395911</v>
      </c>
      <c r="W352">
        <v>7.9486194743959118</v>
      </c>
      <c r="X352">
        <v>2.8624772272529162</v>
      </c>
      <c r="Y352">
        <v>7.9339772272529165</v>
      </c>
      <c r="Z352">
        <v>7.9258050005229936</v>
      </c>
      <c r="AA352">
        <v>2.8804984545058332</v>
      </c>
      <c r="AB352">
        <v>7.9519984545058335</v>
      </c>
      <c r="AC352">
        <f>VLOOKUP($A352,raw[],29,FALSE)*(1+interactive!$C$7)</f>
        <v>6.9111220499999931E-2</v>
      </c>
      <c r="AD352">
        <f>VLOOKUP($A352,raw[],30,FALSE)*(1+interactive!$C$7)</f>
        <v>1.1137467981404312E-2</v>
      </c>
      <c r="AE352">
        <f>VLOOKUP($A352,raw[],31,FALSE)*(1+interactive!$C$7)</f>
        <v>3.6438173375912112E-3</v>
      </c>
      <c r="AF352">
        <f>VLOOKUP($A352,raw[],32,FALSE)*(1+interactive!$C$7)</f>
        <v>2.0636551541411258E-3</v>
      </c>
      <c r="AG352">
        <f>VLOOKUP($A352,raw[],33,FALSE)*(1+interactive!$C$7)</f>
        <v>3.1175721811405534E-3</v>
      </c>
      <c r="AH352">
        <f>VLOOKUP($A352,raw[],34,FALSE)*(1+interactive!$C$7)</f>
        <v>4.0153323260593765E-3</v>
      </c>
      <c r="AI352">
        <f>VLOOKUP($A352,raw[],35,FALSE)*(1+interactive!$C$7)</f>
        <v>4.5085921866781812E-3</v>
      </c>
      <c r="AJ352">
        <f>VLOOKUP($A352,raw[],36,FALSE)*(1+interactive!$C$7)</f>
        <v>4.7859496490159211E-3</v>
      </c>
      <c r="AK352">
        <f>VLOOKUP($A352,raw[],37,FALSE)*(1+interactive!$C$7)</f>
        <v>5.3709721681987283E-3</v>
      </c>
      <c r="AL352">
        <f>VLOOKUP($A352,raw[],38,FALSE)*(1+interactive!$C$7)</f>
        <v>6.3833551858887413E-3</v>
      </c>
      <c r="AM352">
        <f>VLOOKUP($A352,raw[],39,FALSE)*(1+interactive!$C$7)</f>
        <v>7.4617022158614378E-3</v>
      </c>
      <c r="AN352">
        <f>VLOOKUP($A352,raw[],40,FALSE)*(1+interactive!$C$7)</f>
        <v>1.0512826863046042E-2</v>
      </c>
      <c r="AO352">
        <f>VLOOKUP($A352,raw[],41,FALSE)*(1+interactive!$C$7)</f>
        <v>1.501853908299893E-2</v>
      </c>
      <c r="AP352">
        <f>VLOOKUP($A352,raw[],42,FALSE)*(1+interactive!$C$7)</f>
        <v>2.3504419140887661E-2</v>
      </c>
      <c r="AQ352">
        <f>VLOOKUP($A352,raw[],43,FALSE)*(1+interactive!$C$7)</f>
        <v>3.634497862229253E-2</v>
      </c>
      <c r="AR352">
        <f>VLOOKUP($A352,raw[],44,FALSE)*(1+interactive!$C$7)</f>
        <v>5.8280625506620345E-2</v>
      </c>
      <c r="AS352">
        <f>VLOOKUP($A352,raw[],45,FALSE)*(1+interactive!$C$7)</f>
        <v>8.9568819595472415E-2</v>
      </c>
      <c r="AT352">
        <f>VLOOKUP($A352,raw[],46,FALSE)*(1+interactive!$C$7)</f>
        <v>0.12775544942045788</v>
      </c>
      <c r="AU352">
        <f>VLOOKUP($A352,raw[],47,FALSE)*(1+interactive!$C$7)</f>
        <v>0.16252616917382287</v>
      </c>
      <c r="AV352">
        <f>VLOOKUP($A352,raw[],48,FALSE)*(1+interactive!$C$7)</f>
        <v>0.18637074223770489</v>
      </c>
      <c r="AW352">
        <f>VLOOKUP($A352,raw[],49,FALSE)*(1+interactive!$C$7)</f>
        <v>0.19738984660885539</v>
      </c>
      <c r="AX352">
        <f>VLOOKUP($A352,raw[],50,FALSE)*(1+interactive!$C$7)</f>
        <v>61.645500000000006</v>
      </c>
    </row>
    <row r="353" spans="1:50" x14ac:dyDescent="0.25">
      <c r="A353" s="55" t="s">
        <v>374</v>
      </c>
      <c r="B353" s="56" t="s">
        <v>375</v>
      </c>
      <c r="C353" s="56">
        <v>584</v>
      </c>
      <c r="D353" s="56" t="s">
        <v>260</v>
      </c>
      <c r="E353" s="56" t="s">
        <v>309</v>
      </c>
      <c r="F353" s="56" t="s">
        <v>262</v>
      </c>
      <c r="G353" s="56" t="s">
        <v>204</v>
      </c>
      <c r="J353">
        <f>MIN(VLOOKUP($A353,raw[],10,FALSE)*(1+interactive!$C$7),0.999)</f>
        <v>0.89355000000000007</v>
      </c>
      <c r="K353">
        <f>MIN(VLOOKUP($A353,raw[],11,FALSE)*(1+interactive!$C$7),0.999)</f>
        <v>0.999</v>
      </c>
      <c r="L353">
        <f>MIN(VLOOKUP($A353,raw[],12,FALSE)*(1+interactive!$C$7),0.999)</f>
        <v>0.86099999999999999</v>
      </c>
      <c r="M353">
        <v>7.3899999999999993E-2</v>
      </c>
      <c r="N353">
        <f>IFERROR(VLOOKUP($A353,[2]!hbe_prev[#Data],5,FALSE),0)</f>
        <v>0</v>
      </c>
      <c r="O353">
        <f>VLOOKUP($F353,[2]!hbe_risk[#All],4,FALSE)</f>
        <v>0.9</v>
      </c>
      <c r="P353">
        <f>VLOOKUP($F353,[2]!hbe_risk[#All],7,FALSE)</f>
        <v>0.3</v>
      </c>
      <c r="Q353">
        <v>16.166876612549402</v>
      </c>
      <c r="R353">
        <v>125.15267661254941</v>
      </c>
      <c r="S353">
        <v>169.72471756577801</v>
      </c>
      <c r="T353">
        <v>177.71491831048618</v>
      </c>
      <c r="U353">
        <v>174.04598701984398</v>
      </c>
      <c r="V353">
        <v>21.880233334033623</v>
      </c>
      <c r="W353">
        <v>22.541733334033623</v>
      </c>
      <c r="X353">
        <v>21.856866804984069</v>
      </c>
      <c r="Y353">
        <v>22.518366804984069</v>
      </c>
      <c r="Z353">
        <v>22.506178389808444</v>
      </c>
      <c r="AA353">
        <v>21.885625609968137</v>
      </c>
      <c r="AB353">
        <v>22.547125609968138</v>
      </c>
      <c r="AC353">
        <f>VLOOKUP($A353,raw[],29,FALSE)*(1+interactive!$C$7)</f>
        <v>0</v>
      </c>
      <c r="AD353">
        <f>VLOOKUP($A353,raw[],30,FALSE)*(1+interactive!$C$7)</f>
        <v>0</v>
      </c>
      <c r="AE353">
        <f>VLOOKUP($A353,raw[],31,FALSE)*(1+interactive!$C$7)</f>
        <v>0</v>
      </c>
      <c r="AF353">
        <f>VLOOKUP($A353,raw[],32,FALSE)*(1+interactive!$C$7)</f>
        <v>0</v>
      </c>
      <c r="AG353">
        <f>VLOOKUP($A353,raw[],33,FALSE)*(1+interactive!$C$7)</f>
        <v>0</v>
      </c>
      <c r="AH353">
        <f>VLOOKUP($A353,raw[],34,FALSE)*(1+interactive!$C$7)</f>
        <v>0</v>
      </c>
      <c r="AI353">
        <f>VLOOKUP($A353,raw[],35,FALSE)*(1+interactive!$C$7)</f>
        <v>0</v>
      </c>
      <c r="AJ353">
        <f>VLOOKUP($A353,raw[],36,FALSE)*(1+interactive!$C$7)</f>
        <v>0</v>
      </c>
      <c r="AK353">
        <f>VLOOKUP($A353,raw[],37,FALSE)*(1+interactive!$C$7)</f>
        <v>0</v>
      </c>
      <c r="AL353">
        <f>VLOOKUP($A353,raw[],38,FALSE)*(1+interactive!$C$7)</f>
        <v>0</v>
      </c>
      <c r="AM353">
        <f>VLOOKUP($A353,raw[],39,FALSE)*(1+interactive!$C$7)</f>
        <v>0</v>
      </c>
      <c r="AN353">
        <f>VLOOKUP($A353,raw[],40,FALSE)*(1+interactive!$C$7)</f>
        <v>0</v>
      </c>
      <c r="AO353">
        <f>VLOOKUP($A353,raw[],41,FALSE)*(1+interactive!$C$7)</f>
        <v>0</v>
      </c>
      <c r="AP353">
        <f>VLOOKUP($A353,raw[],42,FALSE)*(1+interactive!$C$7)</f>
        <v>0</v>
      </c>
      <c r="AQ353">
        <f>VLOOKUP($A353,raw[],43,FALSE)*(1+interactive!$C$7)</f>
        <v>0</v>
      </c>
      <c r="AR353">
        <f>VLOOKUP($A353,raw[],44,FALSE)*(1+interactive!$C$7)</f>
        <v>0</v>
      </c>
      <c r="AS353">
        <f>VLOOKUP($A353,raw[],45,FALSE)*(1+interactive!$C$7)</f>
        <v>0</v>
      </c>
      <c r="AT353">
        <f>VLOOKUP($A353,raw[],46,FALSE)*(1+interactive!$C$7)</f>
        <v>0</v>
      </c>
      <c r="AU353">
        <f>VLOOKUP($A353,raw[],47,FALSE)*(1+interactive!$C$7)</f>
        <v>0</v>
      </c>
      <c r="AV353">
        <f>VLOOKUP($A353,raw[],48,FALSE)*(1+interactive!$C$7)</f>
        <v>0</v>
      </c>
      <c r="AW353">
        <f>VLOOKUP($A353,raw[],49,FALSE)*(1+interactive!$C$7)</f>
        <v>0</v>
      </c>
      <c r="AX353">
        <f>VLOOKUP($A353,raw[],50,FALSE)*(1+interactive!$C$7)</f>
        <v>0</v>
      </c>
    </row>
    <row r="354" spans="1:50" x14ac:dyDescent="0.25">
      <c r="A354" s="53" t="s">
        <v>376</v>
      </c>
      <c r="B354" s="54" t="s">
        <v>377</v>
      </c>
      <c r="C354" s="54">
        <v>478</v>
      </c>
      <c r="D354" s="54" t="s">
        <v>207</v>
      </c>
      <c r="E354" s="54" t="s">
        <v>235</v>
      </c>
      <c r="F354" s="54" t="s">
        <v>211</v>
      </c>
      <c r="G354" s="54" t="s">
        <v>212</v>
      </c>
      <c r="J354">
        <f>MIN(VLOOKUP($A354,raw[],10,FALSE)*(1+interactive!$C$7),0.999)</f>
        <v>0.72765000000000002</v>
      </c>
      <c r="K354">
        <f>MIN(VLOOKUP($A354,raw[],11,FALSE)*(1+interactive!$C$7),0.999)</f>
        <v>0</v>
      </c>
      <c r="L354">
        <f>MIN(VLOOKUP($A354,raw[],12,FALSE)*(1+interactive!$C$7),0.999)</f>
        <v>0.74549999999999994</v>
      </c>
      <c r="M354">
        <v>0.1278</v>
      </c>
      <c r="N354">
        <f>IFERROR(VLOOKUP($A354,[2]!hbe_prev[#Data],5,FALSE),0)</f>
        <v>0.41070000000000001</v>
      </c>
      <c r="O354">
        <f>VLOOKUP($F354,[2]!hbe_risk[#All],4,FALSE)</f>
        <v>0.74399999999999999</v>
      </c>
      <c r="P354">
        <f>VLOOKUP($F354,[2]!hbe_risk[#All],7,FALSE)</f>
        <v>0.13300000000000001</v>
      </c>
      <c r="Q354">
        <v>8.5702501721593691</v>
      </c>
      <c r="R354">
        <v>117.55605017215939</v>
      </c>
      <c r="S354">
        <v>151.87317585379068</v>
      </c>
      <c r="T354">
        <v>154.52605162068841</v>
      </c>
      <c r="U354">
        <v>153.30790714317905</v>
      </c>
      <c r="V354">
        <v>5.5757519315024924</v>
      </c>
      <c r="W354">
        <v>10.647251931502492</v>
      </c>
      <c r="X354">
        <v>5.5571798932427541</v>
      </c>
      <c r="Y354">
        <v>10.628679893242754</v>
      </c>
      <c r="Z354">
        <v>10.618429341948511</v>
      </c>
      <c r="AA354">
        <v>5.5800377864855086</v>
      </c>
      <c r="AB354">
        <v>10.651537786485509</v>
      </c>
      <c r="AC354">
        <f>VLOOKUP($A354,raw[],29,FALSE)*(1+interactive!$C$7)</f>
        <v>5.6134700999999967E-2</v>
      </c>
      <c r="AD354">
        <f>VLOOKUP($A354,raw[],30,FALSE)*(1+interactive!$C$7)</f>
        <v>7.0406994484471033E-3</v>
      </c>
      <c r="AE354">
        <f>VLOOKUP($A354,raw[],31,FALSE)*(1+interactive!$C$7)</f>
        <v>1.1395208340525278E-3</v>
      </c>
      <c r="AF354">
        <f>VLOOKUP($A354,raw[],32,FALSE)*(1+interactive!$C$7)</f>
        <v>8.9912748883192394E-4</v>
      </c>
      <c r="AG354">
        <f>VLOOKUP($A354,raw[],33,FALSE)*(1+interactive!$C$7)</f>
        <v>1.4808202728696749E-3</v>
      </c>
      <c r="AH354">
        <f>VLOOKUP($A354,raw[],34,FALSE)*(1+interactive!$C$7)</f>
        <v>2.0731390145915596E-3</v>
      </c>
      <c r="AI354">
        <f>VLOOKUP($A354,raw[],35,FALSE)*(1+interactive!$C$7)</f>
        <v>2.2495458546253652E-3</v>
      </c>
      <c r="AJ354">
        <f>VLOOKUP($A354,raw[],36,FALSE)*(1+interactive!$C$7)</f>
        <v>2.5812162459665894E-3</v>
      </c>
      <c r="AK354">
        <f>VLOOKUP($A354,raw[],37,FALSE)*(1+interactive!$C$7)</f>
        <v>3.2450188457233435E-3</v>
      </c>
      <c r="AL354">
        <f>VLOOKUP($A354,raw[],38,FALSE)*(1+interactive!$C$7)</f>
        <v>4.3777409656075459E-3</v>
      </c>
      <c r="AM354">
        <f>VLOOKUP($A354,raw[],39,FALSE)*(1+interactive!$C$7)</f>
        <v>6.3065091453133153E-3</v>
      </c>
      <c r="AN354">
        <f>VLOOKUP($A354,raw[],40,FALSE)*(1+interactive!$C$7)</f>
        <v>9.3318181424899525E-3</v>
      </c>
      <c r="AO354">
        <f>VLOOKUP($A354,raw[],41,FALSE)*(1+interactive!$C$7)</f>
        <v>1.3976991524957785E-2</v>
      </c>
      <c r="AP354">
        <f>VLOOKUP($A354,raw[],42,FALSE)*(1+interactive!$C$7)</f>
        <v>2.1273933302699544E-2</v>
      </c>
      <c r="AQ354">
        <f>VLOOKUP($A354,raw[],43,FALSE)*(1+interactive!$C$7)</f>
        <v>3.2490195187394738E-2</v>
      </c>
      <c r="AR354">
        <f>VLOOKUP($A354,raw[],44,FALSE)*(1+interactive!$C$7)</f>
        <v>4.9963049929511713E-2</v>
      </c>
      <c r="AS354">
        <f>VLOOKUP($A354,raw[],45,FALSE)*(1+interactive!$C$7)</f>
        <v>7.5101391605558634E-2</v>
      </c>
      <c r="AT354">
        <f>VLOOKUP($A354,raw[],46,FALSE)*(1+interactive!$C$7)</f>
        <v>0.10810369843483779</v>
      </c>
      <c r="AU354">
        <f>VLOOKUP($A354,raw[],47,FALSE)*(1+interactive!$C$7)</f>
        <v>0.14279206298670988</v>
      </c>
      <c r="AV354">
        <f>VLOOKUP($A354,raw[],48,FALSE)*(1+interactive!$C$7)</f>
        <v>0.170773742965936</v>
      </c>
      <c r="AW354">
        <f>VLOOKUP($A354,raw[],49,FALSE)*(1+interactive!$C$7)</f>
        <v>0.18874182078128893</v>
      </c>
      <c r="AX354">
        <f>VLOOKUP($A354,raw[],50,FALSE)*(1+interactive!$C$7)</f>
        <v>67.837350000000001</v>
      </c>
    </row>
    <row r="355" spans="1:50" x14ac:dyDescent="0.25">
      <c r="A355" s="55" t="s">
        <v>378</v>
      </c>
      <c r="B355" s="56" t="s">
        <v>379</v>
      </c>
      <c r="C355" s="56">
        <v>480</v>
      </c>
      <c r="D355" s="56" t="s">
        <v>207</v>
      </c>
      <c r="E355" s="56" t="s">
        <v>261</v>
      </c>
      <c r="F355" s="56" t="s">
        <v>262</v>
      </c>
      <c r="G355" s="56" t="s">
        <v>204</v>
      </c>
      <c r="J355">
        <f>MIN(VLOOKUP($A355,raw[],10,FALSE)*(1+interactive!$C$7),0.999)</f>
        <v>0.999</v>
      </c>
      <c r="K355">
        <f>MIN(VLOOKUP($A355,raw[],11,FALSE)*(1+interactive!$C$7),0.999)</f>
        <v>0</v>
      </c>
      <c r="L355">
        <f>MIN(VLOOKUP($A355,raw[],12,FALSE)*(1+interactive!$C$7),0.999)</f>
        <v>0.97650000000000015</v>
      </c>
      <c r="M355">
        <v>0.12839999999999999</v>
      </c>
      <c r="N355">
        <f>IFERROR(VLOOKUP($A355,[2]!hbe_prev[#Data],5,FALSE),0)</f>
        <v>0.47729999999999995</v>
      </c>
      <c r="O355">
        <f>VLOOKUP($F355,[2]!hbe_risk[#All],4,FALSE)</f>
        <v>0.9</v>
      </c>
      <c r="P355">
        <f>VLOOKUP($F355,[2]!hbe_risk[#All],7,FALSE)</f>
        <v>0.3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20.501558866637698</v>
      </c>
      <c r="W355">
        <v>21.163058866637698</v>
      </c>
      <c r="X355">
        <v>20.449428478144934</v>
      </c>
      <c r="Y355">
        <v>21.110928478144935</v>
      </c>
      <c r="Z355">
        <v>21.081385889210665</v>
      </c>
      <c r="AA355">
        <v>20.513588956289873</v>
      </c>
      <c r="AB355">
        <v>21.175088956289873</v>
      </c>
      <c r="AC355">
        <f>VLOOKUP($A355,raw[],29,FALSE)*(1+interactive!$C$7)</f>
        <v>1.1780737500000062E-2</v>
      </c>
      <c r="AD355">
        <f>VLOOKUP($A355,raw[],30,FALSE)*(1+interactive!$C$7)</f>
        <v>5.2028762204746652E-4</v>
      </c>
      <c r="AE355">
        <f>VLOOKUP($A355,raw[],31,FALSE)*(1+interactive!$C$7)</f>
        <v>1.5103173177076474E-4</v>
      </c>
      <c r="AF355">
        <f>VLOOKUP($A355,raw[],32,FALSE)*(1+interactive!$C$7)</f>
        <v>2.0343861589903168E-4</v>
      </c>
      <c r="AG355">
        <f>VLOOKUP($A355,raw[],33,FALSE)*(1+interactive!$C$7)</f>
        <v>5.7859195455679054E-4</v>
      </c>
      <c r="AH355">
        <f>VLOOKUP($A355,raw[],34,FALSE)*(1+interactive!$C$7)</f>
        <v>9.2786873578741785E-4</v>
      </c>
      <c r="AI355">
        <f>VLOOKUP($A355,raw[],35,FALSE)*(1+interactive!$C$7)</f>
        <v>1.2773346716555664E-3</v>
      </c>
      <c r="AJ355">
        <f>VLOOKUP($A355,raw[],36,FALSE)*(1+interactive!$C$7)</f>
        <v>1.5857377044762261E-3</v>
      </c>
      <c r="AK355">
        <f>VLOOKUP($A355,raw[],37,FALSE)*(1+interactive!$C$7)</f>
        <v>2.3367892811238236E-3</v>
      </c>
      <c r="AL355">
        <f>VLOOKUP($A355,raw[],38,FALSE)*(1+interactive!$C$7)</f>
        <v>3.3412476730974206E-3</v>
      </c>
      <c r="AM355">
        <f>VLOOKUP($A355,raw[],39,FALSE)*(1+interactive!$C$7)</f>
        <v>4.8597601186383026E-3</v>
      </c>
      <c r="AN355">
        <f>VLOOKUP($A355,raw[],40,FALSE)*(1+interactive!$C$7)</f>
        <v>7.1767327960626558E-3</v>
      </c>
      <c r="AO355">
        <f>VLOOKUP($A355,raw[],41,FALSE)*(1+interactive!$C$7)</f>
        <v>9.9853469500731963E-3</v>
      </c>
      <c r="AP355">
        <f>VLOOKUP($A355,raw[],42,FALSE)*(1+interactive!$C$7)</f>
        <v>1.5488406691365758E-2</v>
      </c>
      <c r="AQ355">
        <f>VLOOKUP($A355,raw[],43,FALSE)*(1+interactive!$C$7)</f>
        <v>2.2180575023002646E-2</v>
      </c>
      <c r="AR355">
        <f>VLOOKUP($A355,raw[],44,FALSE)*(1+interactive!$C$7)</f>
        <v>3.3515983496483513E-2</v>
      </c>
      <c r="AS355">
        <f>VLOOKUP($A355,raw[],45,FALSE)*(1+interactive!$C$7)</f>
        <v>4.7459282906829249E-2</v>
      </c>
      <c r="AT355">
        <f>VLOOKUP($A355,raw[],46,FALSE)*(1+interactive!$C$7)</f>
        <v>7.0945093853940572E-2</v>
      </c>
      <c r="AU355">
        <f>VLOOKUP($A355,raw[],47,FALSE)*(1+interactive!$C$7)</f>
        <v>9.9453969462453884E-2</v>
      </c>
      <c r="AV355">
        <f>VLOOKUP($A355,raw[],48,FALSE)*(1+interactive!$C$7)</f>
        <v>0.12846768461234698</v>
      </c>
      <c r="AW355">
        <f>VLOOKUP($A355,raw[],49,FALSE)*(1+interactive!$C$7)</f>
        <v>0.15512630193303556</v>
      </c>
      <c r="AX355">
        <f>VLOOKUP($A355,raw[],50,FALSE)*(1+interactive!$C$7)</f>
        <v>78.50115000000001</v>
      </c>
    </row>
    <row r="356" spans="1:50" x14ac:dyDescent="0.25">
      <c r="A356" s="53" t="s">
        <v>380</v>
      </c>
      <c r="B356" s="54" t="s">
        <v>381</v>
      </c>
      <c r="C356" s="54">
        <v>484</v>
      </c>
      <c r="D356" s="54" t="s">
        <v>215</v>
      </c>
      <c r="E356" s="54" t="s">
        <v>274</v>
      </c>
      <c r="F356" s="54" t="s">
        <v>217</v>
      </c>
      <c r="G356" s="54" t="s">
        <v>204</v>
      </c>
      <c r="J356">
        <f>MIN(VLOOKUP($A356,raw[],10,FALSE)*(1+interactive!$C$7),0.999)</f>
        <v>0.999</v>
      </c>
      <c r="K356">
        <f>MIN(VLOOKUP($A356,raw[],11,FALSE)*(1+interactive!$C$7),0.999)</f>
        <v>0.54600000000000004</v>
      </c>
      <c r="L356">
        <f>MIN(VLOOKUP($A356,raw[],12,FALSE)*(1+interactive!$C$7),0.999)</f>
        <v>0.82950000000000013</v>
      </c>
      <c r="M356">
        <v>8.3999999999999995E-3</v>
      </c>
      <c r="N356">
        <f>IFERROR(VLOOKUP($A356,[2]!hbe_prev[#Data],5,FALSE),0)</f>
        <v>0.42950000000000005</v>
      </c>
      <c r="O356">
        <f>VLOOKUP($F356,[2]!hbe_risk[#All],4,FALSE)</f>
        <v>0.9</v>
      </c>
      <c r="P356">
        <f>VLOOKUP($F356,[2]!hbe_risk[#All],7,FALSE)</f>
        <v>0.3</v>
      </c>
      <c r="Q356">
        <v>39.186575546266397</v>
      </c>
      <c r="R356">
        <v>148.17237554626638</v>
      </c>
      <c r="S356">
        <v>290.31459124783123</v>
      </c>
      <c r="T356">
        <v>349.08665775948214</v>
      </c>
      <c r="U356">
        <v>322.09976710055719</v>
      </c>
      <c r="V356">
        <v>6.8439442460224669</v>
      </c>
      <c r="W356">
        <v>6.8649442460224668</v>
      </c>
      <c r="X356">
        <v>6.7927842047020501</v>
      </c>
      <c r="Y356">
        <v>6.81378420470205</v>
      </c>
      <c r="Z356">
        <v>6.7842379157605892</v>
      </c>
      <c r="AA356">
        <v>6.8557504094041013</v>
      </c>
      <c r="AB356">
        <v>6.8767504094041012</v>
      </c>
      <c r="AC356">
        <f>VLOOKUP($A356,raw[],29,FALSE)*(1+interactive!$C$7)</f>
        <v>1.4188597499999981E-2</v>
      </c>
      <c r="AD356">
        <f>VLOOKUP($A356,raw[],30,FALSE)*(1+interactive!$C$7)</f>
        <v>5.4650742754302985E-4</v>
      </c>
      <c r="AE356">
        <f>VLOOKUP($A356,raw[],31,FALSE)*(1+interactive!$C$7)</f>
        <v>2.6787748178964282E-4</v>
      </c>
      <c r="AF356">
        <f>VLOOKUP($A356,raw[],32,FALSE)*(1+interactive!$C$7)</f>
        <v>3.8050341876212635E-4</v>
      </c>
      <c r="AG356">
        <f>VLOOKUP($A356,raw[],33,FALSE)*(1+interactive!$C$7)</f>
        <v>8.0487840964025116E-4</v>
      </c>
      <c r="AH356">
        <f>VLOOKUP($A356,raw[],34,FALSE)*(1+interactive!$C$7)</f>
        <v>1.31065992027429E-3</v>
      </c>
      <c r="AI356">
        <f>VLOOKUP($A356,raw[],35,FALSE)*(1+interactive!$C$7)</f>
        <v>1.6458815766785624E-3</v>
      </c>
      <c r="AJ356">
        <f>VLOOKUP($A356,raw[],36,FALSE)*(1+interactive!$C$7)</f>
        <v>1.8961792144801214E-3</v>
      </c>
      <c r="AK356">
        <f>VLOOKUP($A356,raw[],37,FALSE)*(1+interactive!$C$7)</f>
        <v>2.2961312444337791E-3</v>
      </c>
      <c r="AL356">
        <f>VLOOKUP($A356,raw[],38,FALSE)*(1+interactive!$C$7)</f>
        <v>3.0459593139553608E-3</v>
      </c>
      <c r="AM356">
        <f>VLOOKUP($A356,raw[],39,FALSE)*(1+interactive!$C$7)</f>
        <v>4.3287216644763166E-3</v>
      </c>
      <c r="AN356">
        <f>VLOOKUP($A356,raw[],40,FALSE)*(1+interactive!$C$7)</f>
        <v>6.3824103364858963E-3</v>
      </c>
      <c r="AO356">
        <f>VLOOKUP($A356,raw[],41,FALSE)*(1+interactive!$C$7)</f>
        <v>9.5432157666218813E-3</v>
      </c>
      <c r="AP356">
        <f>VLOOKUP($A356,raw[],42,FALSE)*(1+interactive!$C$7)</f>
        <v>1.4282655653215435E-2</v>
      </c>
      <c r="AQ356">
        <f>VLOOKUP($A356,raw[],43,FALSE)*(1+interactive!$C$7)</f>
        <v>2.1304254693115209E-2</v>
      </c>
      <c r="AR356">
        <f>VLOOKUP($A356,raw[],44,FALSE)*(1+interactive!$C$7)</f>
        <v>3.1490191880449964E-2</v>
      </c>
      <c r="AS356">
        <f>VLOOKUP($A356,raw[],45,FALSE)*(1+interactive!$C$7)</f>
        <v>4.5813897597584974E-2</v>
      </c>
      <c r="AT356">
        <f>VLOOKUP($A356,raw[],46,FALSE)*(1+interactive!$C$7)</f>
        <v>6.5190284033272858E-2</v>
      </c>
      <c r="AU356">
        <f>VLOOKUP($A356,raw[],47,FALSE)*(1+interactive!$C$7)</f>
        <v>9.0571515782686213E-2</v>
      </c>
      <c r="AV356">
        <f>VLOOKUP($A356,raw[],48,FALSE)*(1+interactive!$C$7)</f>
        <v>0.12255005096636321</v>
      </c>
      <c r="AW356">
        <f>VLOOKUP($A356,raw[],49,FALSE)*(1+interactive!$C$7)</f>
        <v>0.15764918840596712</v>
      </c>
      <c r="AX356">
        <f>VLOOKUP($A356,raw[],50,FALSE)*(1+interactive!$C$7)</f>
        <v>78.725850000000008</v>
      </c>
    </row>
    <row r="357" spans="1:50" x14ac:dyDescent="0.25">
      <c r="A357" s="55" t="s">
        <v>382</v>
      </c>
      <c r="B357" s="56" t="s">
        <v>383</v>
      </c>
      <c r="C357" s="56">
        <v>583</v>
      </c>
      <c r="D357" s="56" t="s">
        <v>260</v>
      </c>
      <c r="E357" s="56" t="s">
        <v>309</v>
      </c>
      <c r="F357" s="56" t="s">
        <v>262</v>
      </c>
      <c r="G357" s="56" t="s">
        <v>212</v>
      </c>
      <c r="J357">
        <f>MIN(VLOOKUP($A357,raw[],10,FALSE)*(1+interactive!$C$7),0.999)</f>
        <v>0.91349999999999998</v>
      </c>
      <c r="K357">
        <f>MIN(VLOOKUP($A357,raw[],11,FALSE)*(1+interactive!$C$7),0.999)</f>
        <v>0.67200000000000004</v>
      </c>
      <c r="L357">
        <f>MIN(VLOOKUP($A357,raw[],12,FALSE)*(1+interactive!$C$7),0.999)</f>
        <v>0.92400000000000004</v>
      </c>
      <c r="M357">
        <v>5.1399999999999994E-2</v>
      </c>
      <c r="N357">
        <f>IFERROR(VLOOKUP($A357,[2]!hbe_prev[#Data],5,FALSE),0)</f>
        <v>0.47889999999999999</v>
      </c>
      <c r="O357">
        <f>VLOOKUP($F357,[2]!hbe_risk[#All],4,FALSE)</f>
        <v>0.9</v>
      </c>
      <c r="P357">
        <f>VLOOKUP($F357,[2]!hbe_risk[#All],7,FALSE)</f>
        <v>0.3</v>
      </c>
      <c r="Q357">
        <v>18.997622475106702</v>
      </c>
      <c r="R357">
        <v>127.98342247510671</v>
      </c>
      <c r="S357">
        <v>179.89889168044559</v>
      </c>
      <c r="T357">
        <v>191.7110901691334</v>
      </c>
      <c r="U357">
        <v>186.28717830119621</v>
      </c>
      <c r="V357">
        <v>14.637396592152998</v>
      </c>
      <c r="W357">
        <v>15.298896592152998</v>
      </c>
      <c r="X357">
        <v>14.59914763704993</v>
      </c>
      <c r="Y357">
        <v>15.26064763704993</v>
      </c>
      <c r="Z357">
        <v>15.23998157995754</v>
      </c>
      <c r="AA357">
        <v>14.64622327409986</v>
      </c>
      <c r="AB357">
        <v>15.30772327409986</v>
      </c>
      <c r="AC357">
        <f>VLOOKUP($A357,raw[],29,FALSE)*(1+interactive!$C$7)</f>
        <v>2.4612913499999996E-2</v>
      </c>
      <c r="AD357">
        <f>VLOOKUP($A357,raw[],30,FALSE)*(1+interactive!$C$7)</f>
        <v>2.273131172302907E-3</v>
      </c>
      <c r="AE357">
        <f>VLOOKUP($A357,raw[],31,FALSE)*(1+interactive!$C$7)</f>
        <v>6.7219561249589862E-4</v>
      </c>
      <c r="AF357">
        <f>VLOOKUP($A357,raw[],32,FALSE)*(1+interactive!$C$7)</f>
        <v>5.7480585515656412E-4</v>
      </c>
      <c r="AG357">
        <f>VLOOKUP($A357,raw[],33,FALSE)*(1+interactive!$C$7)</f>
        <v>1.128458099712043E-3</v>
      </c>
      <c r="AH357">
        <f>VLOOKUP($A357,raw[],34,FALSE)*(1+interactive!$C$7)</f>
        <v>1.4602662373549467E-3</v>
      </c>
      <c r="AI357">
        <f>VLOOKUP($A357,raw[],35,FALSE)*(1+interactive!$C$7)</f>
        <v>1.5505205526197097E-3</v>
      </c>
      <c r="AJ357">
        <f>VLOOKUP($A357,raw[],36,FALSE)*(1+interactive!$C$7)</f>
        <v>1.8252714350126765E-3</v>
      </c>
      <c r="AK357">
        <f>VLOOKUP($A357,raw[],37,FALSE)*(1+interactive!$C$7)</f>
        <v>2.4165348653988183E-3</v>
      </c>
      <c r="AL357">
        <f>VLOOKUP($A357,raw[],38,FALSE)*(1+interactive!$C$7)</f>
        <v>3.3940867988295604E-3</v>
      </c>
      <c r="AM357">
        <f>VLOOKUP($A357,raw[],39,FALSE)*(1+interactive!$C$7)</f>
        <v>5.1008216597419045E-3</v>
      </c>
      <c r="AN357">
        <f>VLOOKUP($A357,raw[],40,FALSE)*(1+interactive!$C$7)</f>
        <v>7.8207794809244946E-3</v>
      </c>
      <c r="AO357">
        <f>VLOOKUP($A357,raw[],41,FALSE)*(1+interactive!$C$7)</f>
        <v>1.212419536188163E-2</v>
      </c>
      <c r="AP357">
        <f>VLOOKUP($A357,raw[],42,FALSE)*(1+interactive!$C$7)</f>
        <v>2.2994799358862492E-2</v>
      </c>
      <c r="AQ357">
        <f>VLOOKUP($A357,raw[],43,FALSE)*(1+interactive!$C$7)</f>
        <v>4.2512091957161338E-2</v>
      </c>
      <c r="AR357">
        <f>VLOOKUP($A357,raw[],44,FALSE)*(1+interactive!$C$7)</f>
        <v>6.7237172076621513E-2</v>
      </c>
      <c r="AS357">
        <f>VLOOKUP($A357,raw[],45,FALSE)*(1+interactive!$C$7)</f>
        <v>9.5939579224028848E-2</v>
      </c>
      <c r="AT357">
        <f>VLOOKUP($A357,raw[],46,FALSE)*(1+interactive!$C$7)</f>
        <v>0.13071236701554539</v>
      </c>
      <c r="AU357">
        <f>VLOOKUP($A357,raw[],47,FALSE)*(1+interactive!$C$7)</f>
        <v>0.16542203623111126</v>
      </c>
      <c r="AV357">
        <f>VLOOKUP($A357,raw[],48,FALSE)*(1+interactive!$C$7)</f>
        <v>0.18825934096298777</v>
      </c>
      <c r="AW357">
        <f>VLOOKUP($A357,raw[],49,FALSE)*(1+interactive!$C$7)</f>
        <v>0.19875113971850286</v>
      </c>
      <c r="AX357">
        <f>VLOOKUP($A357,raw[],50,FALSE)*(1+interactive!$C$7)</f>
        <v>71.080799999999996</v>
      </c>
    </row>
    <row r="358" spans="1:50" x14ac:dyDescent="0.25">
      <c r="A358" s="53" t="s">
        <v>384</v>
      </c>
      <c r="B358" s="54" t="s">
        <v>385</v>
      </c>
      <c r="C358" s="54">
        <v>498</v>
      </c>
      <c r="D358" s="54" t="s">
        <v>201</v>
      </c>
      <c r="E358" s="54" t="s">
        <v>229</v>
      </c>
      <c r="F358" s="54" t="s">
        <v>203</v>
      </c>
      <c r="G358" s="54" t="s">
        <v>212</v>
      </c>
      <c r="J358">
        <f>MIN(VLOOKUP($A358,raw[],10,FALSE)*(1+interactive!$C$7),0.999)</f>
        <v>0.999</v>
      </c>
      <c r="K358">
        <f>MIN(VLOOKUP($A358,raw[],11,FALSE)*(1+interactive!$C$7),0.999)</f>
        <v>0.99749999999999994</v>
      </c>
      <c r="L358">
        <f>MIN(VLOOKUP($A358,raw[],12,FALSE)*(1+interactive!$C$7),0.999)</f>
        <v>0.91349999999999998</v>
      </c>
      <c r="M358">
        <v>5.5899999999999998E-2</v>
      </c>
      <c r="N358">
        <f>IFERROR(VLOOKUP($A358,[2]!hbe_prev[#Data],5,FALSE),0)</f>
        <v>0.42969999999999997</v>
      </c>
      <c r="O358">
        <f>VLOOKUP($F358,[2]!hbe_risk[#All],4,FALSE)</f>
        <v>0.9</v>
      </c>
      <c r="P358">
        <f>VLOOKUP($F358,[2]!hbe_risk[#All],7,FALSE)</f>
        <v>0.3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9.3466834727312218</v>
      </c>
      <c r="W358">
        <v>13.620183472731222</v>
      </c>
      <c r="X358">
        <v>9.319348743575846</v>
      </c>
      <c r="Y358">
        <v>13.592848743575846</v>
      </c>
      <c r="Z358">
        <v>13.577450375422348</v>
      </c>
      <c r="AA358">
        <v>9.3529914871516944</v>
      </c>
      <c r="AB358">
        <v>13.626491487151695</v>
      </c>
      <c r="AC358">
        <f>VLOOKUP($A358,raw[],29,FALSE)*(1+interactive!$C$7)</f>
        <v>1.2973873500000038E-2</v>
      </c>
      <c r="AD358">
        <f>VLOOKUP($A358,raw[],30,FALSE)*(1+interactive!$C$7)</f>
        <v>5.4235892484044723E-4</v>
      </c>
      <c r="AE358">
        <f>VLOOKUP($A358,raw[],31,FALSE)*(1+interactive!$C$7)</f>
        <v>2.3702050600823009E-4</v>
      </c>
      <c r="AF358">
        <f>VLOOKUP($A358,raw[],32,FALSE)*(1+interactive!$C$7)</f>
        <v>1.8532217834292628E-4</v>
      </c>
      <c r="AG358">
        <f>VLOOKUP($A358,raw[],33,FALSE)*(1+interactive!$C$7)</f>
        <v>4.3283451609274905E-4</v>
      </c>
      <c r="AH358">
        <f>VLOOKUP($A358,raw[],34,FALSE)*(1+interactive!$C$7)</f>
        <v>5.8630448054047542E-4</v>
      </c>
      <c r="AI358">
        <f>VLOOKUP($A358,raw[],35,FALSE)*(1+interactive!$C$7)</f>
        <v>8.8177094319286337E-4</v>
      </c>
      <c r="AJ358">
        <f>VLOOKUP($A358,raw[],36,FALSE)*(1+interactive!$C$7)</f>
        <v>1.3556979863299369E-3</v>
      </c>
      <c r="AK358">
        <f>VLOOKUP($A358,raw[],37,FALSE)*(1+interactive!$C$7)</f>
        <v>2.4244366080392824E-3</v>
      </c>
      <c r="AL358">
        <f>VLOOKUP($A358,raw[],38,FALSE)*(1+interactive!$C$7)</f>
        <v>3.4095671494057669E-3</v>
      </c>
      <c r="AM358">
        <f>VLOOKUP($A358,raw[],39,FALSE)*(1+interactive!$C$7)</f>
        <v>6.0468205675088043E-3</v>
      </c>
      <c r="AN358">
        <f>VLOOKUP($A358,raw[],40,FALSE)*(1+interactive!$C$7)</f>
        <v>8.9795777323924408E-3</v>
      </c>
      <c r="AO358">
        <f>VLOOKUP($A358,raw[],41,FALSE)*(1+interactive!$C$7)</f>
        <v>1.3463024991203899E-2</v>
      </c>
      <c r="AP358">
        <f>VLOOKUP($A358,raw[],42,FALSE)*(1+interactive!$C$7)</f>
        <v>2.2146356081337307E-2</v>
      </c>
      <c r="AQ358">
        <f>VLOOKUP($A358,raw[],43,FALSE)*(1+interactive!$C$7)</f>
        <v>2.8740958466349074E-2</v>
      </c>
      <c r="AR358">
        <f>VLOOKUP($A358,raw[],44,FALSE)*(1+interactive!$C$7)</f>
        <v>4.4553775002572502E-2</v>
      </c>
      <c r="AS358">
        <f>VLOOKUP($A358,raw[],45,FALSE)*(1+interactive!$C$7)</f>
        <v>6.6937421870355701E-2</v>
      </c>
      <c r="AT358">
        <f>VLOOKUP($A358,raw[],46,FALSE)*(1+interactive!$C$7)</f>
        <v>9.6732134571568554E-2</v>
      </c>
      <c r="AU358">
        <f>VLOOKUP($A358,raw[],47,FALSE)*(1+interactive!$C$7)</f>
        <v>0.13008436902881076</v>
      </c>
      <c r="AV358">
        <f>VLOOKUP($A358,raw[],48,FALSE)*(1+interactive!$C$7)</f>
        <v>0.15763721221557697</v>
      </c>
      <c r="AW358">
        <f>VLOOKUP($A358,raw[],49,FALSE)*(1+interactive!$C$7)</f>
        <v>0.18181257622945934</v>
      </c>
      <c r="AX358">
        <f>VLOOKUP($A358,raw[],50,FALSE)*(1+interactive!$C$7)</f>
        <v>75.268200000000007</v>
      </c>
    </row>
    <row r="359" spans="1:50" x14ac:dyDescent="0.25">
      <c r="A359" s="55" t="s">
        <v>386</v>
      </c>
      <c r="B359" s="56" t="s">
        <v>387</v>
      </c>
      <c r="C359" s="56">
        <v>496</v>
      </c>
      <c r="D359" s="56" t="s">
        <v>260</v>
      </c>
      <c r="E359" s="56" t="s">
        <v>220</v>
      </c>
      <c r="F359" s="56" t="s">
        <v>203</v>
      </c>
      <c r="G359" s="56" t="s">
        <v>212</v>
      </c>
      <c r="J359">
        <f>MIN(VLOOKUP($A359,raw[],10,FALSE)*(1+interactive!$C$7),0.999)</f>
        <v>0.999</v>
      </c>
      <c r="K359">
        <f>MIN(VLOOKUP($A359,raw[],11,FALSE)*(1+interactive!$C$7),0.999)</f>
        <v>0.999</v>
      </c>
      <c r="L359">
        <f>MIN(VLOOKUP($A359,raw[],12,FALSE)*(1+interactive!$C$7),0.999)</f>
        <v>0.999</v>
      </c>
      <c r="M359">
        <v>0.107</v>
      </c>
      <c r="N359">
        <f>IFERROR(VLOOKUP($A359,[2]!hbe_prev[#Data],5,FALSE),0)</f>
        <v>0.43079999999999996</v>
      </c>
      <c r="O359">
        <f>VLOOKUP($F359,[2]!hbe_risk[#All],4,FALSE)</f>
        <v>0.9</v>
      </c>
      <c r="P359">
        <f>VLOOKUP($F359,[2]!hbe_risk[#All],7,FALSE)</f>
        <v>0.3</v>
      </c>
      <c r="Q359">
        <v>11.793604733444901</v>
      </c>
      <c r="R359">
        <v>120.77940473344491</v>
      </c>
      <c r="S359">
        <v>161.4671564166317</v>
      </c>
      <c r="T359">
        <v>167.43572035665019</v>
      </c>
      <c r="U359">
        <v>164.69508195476331</v>
      </c>
      <c r="V359">
        <v>12.33729160363816</v>
      </c>
      <c r="W359">
        <v>16.610791603638162</v>
      </c>
      <c r="X359">
        <v>12.290639712352087</v>
      </c>
      <c r="Y359">
        <v>16.564139712352087</v>
      </c>
      <c r="Z359">
        <v>16.536803114945929</v>
      </c>
      <c r="AA359">
        <v>12.348057424704177</v>
      </c>
      <c r="AB359">
        <v>16.621557424704179</v>
      </c>
      <c r="AC359">
        <f>VLOOKUP($A359,raw[],29,FALSE)*(1+interactive!$C$7)</f>
        <v>1.8996242999999975E-2</v>
      </c>
      <c r="AD359">
        <f>VLOOKUP($A359,raw[],30,FALSE)*(1+interactive!$C$7)</f>
        <v>1.143590958805781E-3</v>
      </c>
      <c r="AE359">
        <f>VLOOKUP($A359,raw[],31,FALSE)*(1+interactive!$C$7)</f>
        <v>3.7876575510697861E-4</v>
      </c>
      <c r="AF359">
        <f>VLOOKUP($A359,raw[],32,FALSE)*(1+interactive!$C$7)</f>
        <v>3.5269302798255053E-4</v>
      </c>
      <c r="AG359">
        <f>VLOOKUP($A359,raw[],33,FALSE)*(1+interactive!$C$7)</f>
        <v>5.470381708042308E-4</v>
      </c>
      <c r="AH359">
        <f>VLOOKUP($A359,raw[],34,FALSE)*(1+interactive!$C$7)</f>
        <v>9.4632102782102377E-4</v>
      </c>
      <c r="AI359">
        <f>VLOOKUP($A359,raw[],35,FALSE)*(1+interactive!$C$7)</f>
        <v>1.3529518190633708E-3</v>
      </c>
      <c r="AJ359">
        <f>VLOOKUP($A359,raw[],36,FALSE)*(1+interactive!$C$7)</f>
        <v>2.0445331386633914E-3</v>
      </c>
      <c r="AK359">
        <f>VLOOKUP($A359,raw[],37,FALSE)*(1+interactive!$C$7)</f>
        <v>2.9767055608678644E-3</v>
      </c>
      <c r="AL359">
        <f>VLOOKUP($A359,raw[],38,FALSE)*(1+interactive!$C$7)</f>
        <v>4.5627897643012319E-3</v>
      </c>
      <c r="AM359">
        <f>VLOOKUP($A359,raw[],39,FALSE)*(1+interactive!$C$7)</f>
        <v>7.8488079389539191E-3</v>
      </c>
      <c r="AN359">
        <f>VLOOKUP($A359,raw[],40,FALSE)*(1+interactive!$C$7)</f>
        <v>1.1735700333189578E-2</v>
      </c>
      <c r="AO359">
        <f>VLOOKUP($A359,raw[],41,FALSE)*(1+interactive!$C$7)</f>
        <v>1.5913080702632813E-2</v>
      </c>
      <c r="AP359">
        <f>VLOOKUP($A359,raw[],42,FALSE)*(1+interactive!$C$7)</f>
        <v>2.234461568889308E-2</v>
      </c>
      <c r="AQ359">
        <f>VLOOKUP($A359,raw[],43,FALSE)*(1+interactive!$C$7)</f>
        <v>3.0466683556778937E-2</v>
      </c>
      <c r="AR359">
        <f>VLOOKUP($A359,raw[],44,FALSE)*(1+interactive!$C$7)</f>
        <v>4.8460628980749793E-2</v>
      </c>
      <c r="AS359">
        <f>VLOOKUP($A359,raw[],45,FALSE)*(1+interactive!$C$7)</f>
        <v>6.9177314402638496E-2</v>
      </c>
      <c r="AT359">
        <f>VLOOKUP($A359,raw[],46,FALSE)*(1+interactive!$C$7)</f>
        <v>9.4523200459753334E-2</v>
      </c>
      <c r="AU359">
        <f>VLOOKUP($A359,raw[],47,FALSE)*(1+interactive!$C$7)</f>
        <v>0.12322381239751728</v>
      </c>
      <c r="AV359">
        <f>VLOOKUP($A359,raw[],48,FALSE)*(1+interactive!$C$7)</f>
        <v>0.15079151358012652</v>
      </c>
      <c r="AW359">
        <f>VLOOKUP($A359,raw[],49,FALSE)*(1+interactive!$C$7)</f>
        <v>0.17336975804332314</v>
      </c>
      <c r="AX359">
        <f>VLOOKUP($A359,raw[],50,FALSE)*(1+interactive!$C$7)</f>
        <v>73.026450000000011</v>
      </c>
    </row>
    <row r="360" spans="1:50" x14ac:dyDescent="0.25">
      <c r="A360" s="53" t="s">
        <v>388</v>
      </c>
      <c r="B360" s="54" t="s">
        <v>389</v>
      </c>
      <c r="C360" s="54">
        <v>499</v>
      </c>
      <c r="D360" s="54" t="s">
        <v>201</v>
      </c>
      <c r="E360" s="54" t="s">
        <v>202</v>
      </c>
      <c r="F360" s="54" t="s">
        <v>203</v>
      </c>
      <c r="G360" s="54" t="s">
        <v>204</v>
      </c>
      <c r="J360">
        <f>MIN(VLOOKUP($A360,raw[],10,FALSE)*(1+interactive!$C$7),0.999)</f>
        <v>0.999</v>
      </c>
      <c r="K360">
        <f>MIN(VLOOKUP($A360,raw[],11,FALSE)*(1+interactive!$C$7),0.999)</f>
        <v>0</v>
      </c>
      <c r="L360">
        <f>MIN(VLOOKUP($A360,raw[],12,FALSE)*(1+interactive!$C$7),0.999)</f>
        <v>0.54600000000000004</v>
      </c>
      <c r="M360">
        <v>9.6600000000000005E-2</v>
      </c>
      <c r="N360">
        <f>IFERROR(VLOOKUP($A360,[2]!hbe_prev[#Data],5,FALSE),0)</f>
        <v>0.42849999999999999</v>
      </c>
      <c r="O360">
        <f>VLOOKUP($F360,[2]!hbe_risk[#All],4,FALSE)</f>
        <v>0.9</v>
      </c>
      <c r="P360">
        <f>VLOOKUP($F360,[2]!hbe_risk[#All],7,FALSE)</f>
        <v>0.3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18.199230993568204</v>
      </c>
      <c r="W360">
        <v>22.472730993568206</v>
      </c>
      <c r="X360">
        <v>18.153553927485905</v>
      </c>
      <c r="Y360">
        <v>22.427053927485908</v>
      </c>
      <c r="Z360">
        <v>22.401639388559907</v>
      </c>
      <c r="AA360">
        <v>18.209771854971809</v>
      </c>
      <c r="AB360">
        <v>22.483271854971811</v>
      </c>
      <c r="AC360">
        <f>VLOOKUP($A360,raw[],29,FALSE)*(1+interactive!$C$7)</f>
        <v>2.8969395000000512E-3</v>
      </c>
      <c r="AD360">
        <f>VLOOKUP($A360,raw[],30,FALSE)*(1+interactive!$C$7)</f>
        <v>1.152720343901655E-4</v>
      </c>
      <c r="AE360">
        <f>VLOOKUP($A360,raw[],31,FALSE)*(1+interactive!$C$7)</f>
        <v>1.3611193761446416E-4</v>
      </c>
      <c r="AF360">
        <f>VLOOKUP($A360,raw[],32,FALSE)*(1+interactive!$C$7)</f>
        <v>1.4795288144386952E-4</v>
      </c>
      <c r="AG360">
        <f>VLOOKUP($A360,raw[],33,FALSE)*(1+interactive!$C$7)</f>
        <v>2.7283719594486337E-4</v>
      </c>
      <c r="AH360">
        <f>VLOOKUP($A360,raw[],34,FALSE)*(1+interactive!$C$7)</f>
        <v>4.0437429373924597E-4</v>
      </c>
      <c r="AI360">
        <f>VLOOKUP($A360,raw[],35,FALSE)*(1+interactive!$C$7)</f>
        <v>6.1523752274270397E-4</v>
      </c>
      <c r="AJ360">
        <f>VLOOKUP($A360,raw[],36,FALSE)*(1+interactive!$C$7)</f>
        <v>6.126217290685521E-4</v>
      </c>
      <c r="AK360">
        <f>VLOOKUP($A360,raw[],37,FALSE)*(1+interactive!$C$7)</f>
        <v>1.0195189261516468E-3</v>
      </c>
      <c r="AL360">
        <f>VLOOKUP($A360,raw[],38,FALSE)*(1+interactive!$C$7)</f>
        <v>1.5823418956001213E-3</v>
      </c>
      <c r="AM360">
        <f>VLOOKUP($A360,raw[],39,FALSE)*(1+interactive!$C$7)</f>
        <v>2.6890849705933631E-3</v>
      </c>
      <c r="AN360">
        <f>VLOOKUP($A360,raw[],40,FALSE)*(1+interactive!$C$7)</f>
        <v>5.0212209947922354E-3</v>
      </c>
      <c r="AO360">
        <f>VLOOKUP($A360,raw[],41,FALSE)*(1+interactive!$C$7)</f>
        <v>8.9573477844137606E-3</v>
      </c>
      <c r="AP360">
        <f>VLOOKUP($A360,raw[],42,FALSE)*(1+interactive!$C$7)</f>
        <v>1.3434836081374382E-2</v>
      </c>
      <c r="AQ360">
        <f>VLOOKUP($A360,raw[],43,FALSE)*(1+interactive!$C$7)</f>
        <v>2.2245462757218587E-2</v>
      </c>
      <c r="AR360">
        <f>VLOOKUP($A360,raw[],44,FALSE)*(1+interactive!$C$7)</f>
        <v>3.2524136012094994E-2</v>
      </c>
      <c r="AS360">
        <f>VLOOKUP($A360,raw[],45,FALSE)*(1+interactive!$C$7)</f>
        <v>5.4023972887745977E-2</v>
      </c>
      <c r="AT360">
        <f>VLOOKUP($A360,raw[],46,FALSE)*(1+interactive!$C$7)</f>
        <v>8.5175940372233194E-2</v>
      </c>
      <c r="AU360">
        <f>VLOOKUP($A360,raw[],47,FALSE)*(1+interactive!$C$7)</f>
        <v>0.12348664567779409</v>
      </c>
      <c r="AV360">
        <f>VLOOKUP($A360,raw[],48,FALSE)*(1+interactive!$C$7)</f>
        <v>0.1635715559194573</v>
      </c>
      <c r="AW360">
        <f>VLOOKUP($A360,raw[],49,FALSE)*(1+interactive!$C$7)</f>
        <v>0.18807840888893518</v>
      </c>
      <c r="AX360">
        <f>VLOOKUP($A360,raw[],50,FALSE)*(1+interactive!$C$7)</f>
        <v>80.4846</v>
      </c>
    </row>
    <row r="361" spans="1:50" x14ac:dyDescent="0.25">
      <c r="A361" s="55" t="s">
        <v>390</v>
      </c>
      <c r="B361" s="56" t="s">
        <v>391</v>
      </c>
      <c r="C361" s="56">
        <v>504</v>
      </c>
      <c r="D361" s="56" t="s">
        <v>196</v>
      </c>
      <c r="E361" s="56" t="s">
        <v>197</v>
      </c>
      <c r="F361" s="56" t="s">
        <v>197</v>
      </c>
      <c r="G361" s="56" t="s">
        <v>212</v>
      </c>
      <c r="J361">
        <f>MIN(VLOOKUP($A361,raw[],10,FALSE)*(1+interactive!$C$7),0.999)</f>
        <v>0.90405000000000002</v>
      </c>
      <c r="K361">
        <f>MIN(VLOOKUP($A361,raw[],11,FALSE)*(1+interactive!$C$7),0.999)</f>
        <v>0.43049999999999999</v>
      </c>
      <c r="L361">
        <f>MIN(VLOOKUP($A361,raw[],12,FALSE)*(1+interactive!$C$7),0.999)</f>
        <v>0.999</v>
      </c>
      <c r="M361">
        <v>1.54E-2</v>
      </c>
      <c r="N361">
        <f>IFERROR(VLOOKUP($A361,[2]!hbe_prev[#Data],5,FALSE),0)</f>
        <v>0.37619999999999998</v>
      </c>
      <c r="O361">
        <f>VLOOKUP($F361,[2]!hbe_risk[#All],4,FALSE)</f>
        <v>0.9</v>
      </c>
      <c r="P361">
        <f>VLOOKUP($F361,[2]!hbe_risk[#All],7,FALSE)</f>
        <v>0.3</v>
      </c>
      <c r="Q361">
        <v>17.854816653574201</v>
      </c>
      <c r="R361">
        <v>126.84061665357422</v>
      </c>
      <c r="S361">
        <v>178.49829417251374</v>
      </c>
      <c r="T361">
        <v>190.17632109854591</v>
      </c>
      <c r="U361">
        <v>184.81401797615464</v>
      </c>
      <c r="V361">
        <v>7.3210455755790314</v>
      </c>
      <c r="W361">
        <v>7.8250455755790309</v>
      </c>
      <c r="X361">
        <v>7.2870090761815343</v>
      </c>
      <c r="Y361">
        <v>7.7910090761815347</v>
      </c>
      <c r="Z361">
        <v>7.7714087367376408</v>
      </c>
      <c r="AA361">
        <v>7.3289001523630688</v>
      </c>
      <c r="AB361">
        <v>7.8329001523630684</v>
      </c>
      <c r="AC361">
        <f>VLOOKUP($A361,raw[],29,FALSE)*(1+interactive!$C$7)</f>
        <v>2.0862166500000071E-2</v>
      </c>
      <c r="AD361">
        <f>VLOOKUP($A361,raw[],30,FALSE)*(1+interactive!$C$7)</f>
        <v>9.4666248124088831E-4</v>
      </c>
      <c r="AE361">
        <f>VLOOKUP($A361,raw[],31,FALSE)*(1+interactive!$C$7)</f>
        <v>4.4193693119488171E-4</v>
      </c>
      <c r="AF361">
        <f>VLOOKUP($A361,raw[],32,FALSE)*(1+interactive!$C$7)</f>
        <v>2.6853862275198694E-4</v>
      </c>
      <c r="AG361">
        <f>VLOOKUP($A361,raw[],33,FALSE)*(1+interactive!$C$7)</f>
        <v>4.3570091449543936E-4</v>
      </c>
      <c r="AH361">
        <f>VLOOKUP($A361,raw[],34,FALSE)*(1+interactive!$C$7)</f>
        <v>6.3478528684053929E-4</v>
      </c>
      <c r="AI361">
        <f>VLOOKUP($A361,raw[],35,FALSE)*(1+interactive!$C$7)</f>
        <v>7.0242032585544564E-4</v>
      </c>
      <c r="AJ361">
        <f>VLOOKUP($A361,raw[],36,FALSE)*(1+interactive!$C$7)</f>
        <v>7.8003470932418335E-4</v>
      </c>
      <c r="AK361">
        <f>VLOOKUP($A361,raw[],37,FALSE)*(1+interactive!$C$7)</f>
        <v>1.0515156439193192E-3</v>
      </c>
      <c r="AL361">
        <f>VLOOKUP($A361,raw[],38,FALSE)*(1+interactive!$C$7)</f>
        <v>1.397339521428203E-3</v>
      </c>
      <c r="AM361">
        <f>VLOOKUP($A361,raw[],39,FALSE)*(1+interactive!$C$7)</f>
        <v>1.9954510388945019E-3</v>
      </c>
      <c r="AN361">
        <f>VLOOKUP($A361,raw[],40,FALSE)*(1+interactive!$C$7)</f>
        <v>3.0480811839353437E-3</v>
      </c>
      <c r="AO361">
        <f>VLOOKUP($A361,raw[],41,FALSE)*(1+interactive!$C$7)</f>
        <v>4.734788512861696E-3</v>
      </c>
      <c r="AP361">
        <f>VLOOKUP($A361,raw[],42,FALSE)*(1+interactive!$C$7)</f>
        <v>8.2143963870071075E-3</v>
      </c>
      <c r="AQ361">
        <f>VLOOKUP($A361,raw[],43,FALSE)*(1+interactive!$C$7)</f>
        <v>1.4604283184008766E-2</v>
      </c>
      <c r="AR361">
        <f>VLOOKUP($A361,raw[],44,FALSE)*(1+interactive!$C$7)</f>
        <v>2.9116560091278738E-2</v>
      </c>
      <c r="AS361">
        <f>VLOOKUP($A361,raw[],45,FALSE)*(1+interactive!$C$7)</f>
        <v>4.9373031409501944E-2</v>
      </c>
      <c r="AT361">
        <f>VLOOKUP($A361,raw[],46,FALSE)*(1+interactive!$C$7)</f>
        <v>9.6599041178495201E-2</v>
      </c>
      <c r="AU361">
        <f>VLOOKUP($A361,raw[],47,FALSE)*(1+interactive!$C$7)</f>
        <v>0.14632697087111499</v>
      </c>
      <c r="AV361">
        <f>VLOOKUP($A361,raw[],48,FALSE)*(1+interactive!$C$7)</f>
        <v>0.18187956957538573</v>
      </c>
      <c r="AW361">
        <f>VLOOKUP($A361,raw[],49,FALSE)*(1+interactive!$C$7)</f>
        <v>0.19360462141849033</v>
      </c>
      <c r="AX361">
        <f>VLOOKUP($A361,raw[],50,FALSE)*(1+interactive!$C$7)</f>
        <v>80.146500000000003</v>
      </c>
    </row>
    <row r="362" spans="1:50" x14ac:dyDescent="0.25">
      <c r="A362" s="53" t="s">
        <v>392</v>
      </c>
      <c r="B362" s="54" t="s">
        <v>393</v>
      </c>
      <c r="C362" s="54">
        <v>508</v>
      </c>
      <c r="D362" s="54" t="s">
        <v>207</v>
      </c>
      <c r="E362" s="54" t="s">
        <v>255</v>
      </c>
      <c r="F362" s="54" t="s">
        <v>211</v>
      </c>
      <c r="G362" s="54" t="s">
        <v>198</v>
      </c>
      <c r="J362">
        <f>MIN(VLOOKUP($A362,raw[],10,FALSE)*(1+interactive!$C$7),0.999)</f>
        <v>0.57539999999999991</v>
      </c>
      <c r="K362">
        <f>MIN(VLOOKUP($A362,raw[],11,FALSE)*(1+interactive!$C$7),0.999)</f>
        <v>0</v>
      </c>
      <c r="L362">
        <f>MIN(VLOOKUP($A362,raw[],12,FALSE)*(1+interactive!$C$7),0.999)</f>
        <v>0.82950000000000013</v>
      </c>
      <c r="M362">
        <v>4.3799999999999999E-2</v>
      </c>
      <c r="N362">
        <f>IFERROR(VLOOKUP($A362,[2]!hbe_prev[#Data],5,FALSE),0)</f>
        <v>0.39960000000000001</v>
      </c>
      <c r="O362">
        <f>VLOOKUP($F362,[2]!hbe_risk[#All],4,FALSE)</f>
        <v>0.74399999999999999</v>
      </c>
      <c r="P362">
        <f>VLOOKUP($F362,[2]!hbe_risk[#All],7,FALSE)</f>
        <v>0.13300000000000001</v>
      </c>
      <c r="Q362">
        <v>6.3713052631578897</v>
      </c>
      <c r="R362">
        <v>115.35710526315791</v>
      </c>
      <c r="S362">
        <v>146.59040963065775</v>
      </c>
      <c r="T362">
        <v>147.63826418664354</v>
      </c>
      <c r="U362">
        <v>147.15711152335854</v>
      </c>
      <c r="V362">
        <v>2.8815107170729699</v>
      </c>
      <c r="W362">
        <v>7.9530107170729707</v>
      </c>
      <c r="X362">
        <v>2.874139843902328</v>
      </c>
      <c r="Y362">
        <v>7.9456398439023284</v>
      </c>
      <c r="Z362">
        <v>7.9416902649339765</v>
      </c>
      <c r="AA362">
        <v>2.8832116878046565</v>
      </c>
      <c r="AB362">
        <v>7.9547116878046573</v>
      </c>
      <c r="AC362">
        <f>VLOOKUP($A362,raw[],29,FALSE)*(1+interactive!$C$7)</f>
        <v>5.661160050000006E-2</v>
      </c>
      <c r="AD362">
        <f>VLOOKUP($A362,raw[],30,FALSE)*(1+interactive!$C$7)</f>
        <v>5.3675585150619641E-3</v>
      </c>
      <c r="AE362">
        <f>VLOOKUP($A362,raw[],31,FALSE)*(1+interactive!$C$7)</f>
        <v>1.4713501639151045E-3</v>
      </c>
      <c r="AF362">
        <f>VLOOKUP($A362,raw[],32,FALSE)*(1+interactive!$C$7)</f>
        <v>1.1496484286674256E-3</v>
      </c>
      <c r="AG362">
        <f>VLOOKUP($A362,raw[],33,FALSE)*(1+interactive!$C$7)</f>
        <v>1.8126296959582412E-3</v>
      </c>
      <c r="AH362">
        <f>VLOOKUP($A362,raw[],34,FALSE)*(1+interactive!$C$7)</f>
        <v>3.0087294492355835E-3</v>
      </c>
      <c r="AI362">
        <f>VLOOKUP($A362,raw[],35,FALSE)*(1+interactive!$C$7)</f>
        <v>4.6097514813786379E-3</v>
      </c>
      <c r="AJ362">
        <f>VLOOKUP($A362,raw[],36,FALSE)*(1+interactive!$C$7)</f>
        <v>6.3711068245035363E-3</v>
      </c>
      <c r="AK362">
        <f>VLOOKUP($A362,raw[],37,FALSE)*(1+interactive!$C$7)</f>
        <v>8.8365248479442757E-3</v>
      </c>
      <c r="AL362">
        <f>VLOOKUP($A362,raw[],38,FALSE)*(1+interactive!$C$7)</f>
        <v>1.0586443377638834E-2</v>
      </c>
      <c r="AM362">
        <f>VLOOKUP($A362,raw[],39,FALSE)*(1+interactive!$C$7)</f>
        <v>1.2456415880917818E-2</v>
      </c>
      <c r="AN362">
        <f>VLOOKUP($A362,raw[],40,FALSE)*(1+interactive!$C$7)</f>
        <v>1.5244520634669041E-2</v>
      </c>
      <c r="AO362">
        <f>VLOOKUP($A362,raw[],41,FALSE)*(1+interactive!$C$7)</f>
        <v>1.8855201286572858E-2</v>
      </c>
      <c r="AP362">
        <f>VLOOKUP($A362,raw[],42,FALSE)*(1+interactive!$C$7)</f>
        <v>2.5419131670020523E-2</v>
      </c>
      <c r="AQ362">
        <f>VLOOKUP($A362,raw[],43,FALSE)*(1+interactive!$C$7)</f>
        <v>3.6061119556713754E-2</v>
      </c>
      <c r="AR362">
        <f>VLOOKUP($A362,raw[],44,FALSE)*(1+interactive!$C$7)</f>
        <v>5.2788134031505937E-2</v>
      </c>
      <c r="AS362">
        <f>VLOOKUP($A362,raw[],45,FALSE)*(1+interactive!$C$7)</f>
        <v>7.7234598478461841E-2</v>
      </c>
      <c r="AT362">
        <f>VLOOKUP($A362,raw[],46,FALSE)*(1+interactive!$C$7)</f>
        <v>0.11373802878473264</v>
      </c>
      <c r="AU362">
        <f>VLOOKUP($A362,raw[],47,FALSE)*(1+interactive!$C$7)</f>
        <v>0.15542838559604361</v>
      </c>
      <c r="AV362">
        <f>VLOOKUP($A362,raw[],48,FALSE)*(1+interactive!$C$7)</f>
        <v>0.18706420927533504</v>
      </c>
      <c r="AW362">
        <f>VLOOKUP($A362,raw[],49,FALSE)*(1+interactive!$C$7)</f>
        <v>0.19751478927492139</v>
      </c>
      <c r="AX362">
        <f>VLOOKUP($A362,raw[],50,FALSE)*(1+interactive!$C$7)</f>
        <v>63.056700000000006</v>
      </c>
    </row>
    <row r="363" spans="1:50" x14ac:dyDescent="0.25">
      <c r="A363" s="55" t="s">
        <v>394</v>
      </c>
      <c r="B363" s="56" t="s">
        <v>395</v>
      </c>
      <c r="C363" s="56">
        <v>104</v>
      </c>
      <c r="D363" s="56" t="s">
        <v>225</v>
      </c>
      <c r="E363" s="56" t="s">
        <v>261</v>
      </c>
      <c r="F363" s="56" t="s">
        <v>262</v>
      </c>
      <c r="G363" s="56" t="s">
        <v>212</v>
      </c>
      <c r="J363">
        <f>MIN(VLOOKUP($A363,raw[],10,FALSE)*(1+interactive!$C$7),0.999)</f>
        <v>0.38955000000000001</v>
      </c>
      <c r="K363">
        <f>MIN(VLOOKUP($A363,raw[],11,FALSE)*(1+interactive!$C$7),0.999)</f>
        <v>0.2205</v>
      </c>
      <c r="L363">
        <f>MIN(VLOOKUP($A363,raw[],12,FALSE)*(1+interactive!$C$7),0.999)</f>
        <v>0.88200000000000001</v>
      </c>
      <c r="M363">
        <v>6.0199999999999997E-2</v>
      </c>
      <c r="N363">
        <f>IFERROR(VLOOKUP($A363,[2]!hbe_prev[#Data],5,FALSE),0)</f>
        <v>0.47729999999999995</v>
      </c>
      <c r="O363">
        <f>VLOOKUP($F363,[2]!hbe_risk[#All],4,FALSE)</f>
        <v>0.9</v>
      </c>
      <c r="P363">
        <f>VLOOKUP($F363,[2]!hbe_risk[#All],7,FALSE)</f>
        <v>0.3</v>
      </c>
      <c r="Q363">
        <v>7.3149812500000007</v>
      </c>
      <c r="R363">
        <v>116.30078125000001</v>
      </c>
      <c r="S363">
        <v>148.73183431789266</v>
      </c>
      <c r="T363">
        <v>150.40307520974147</v>
      </c>
      <c r="U363">
        <v>149.63567671773666</v>
      </c>
      <c r="V363">
        <v>4.3556805955127231</v>
      </c>
      <c r="W363">
        <v>5.0171805955127233</v>
      </c>
      <c r="X363">
        <v>4.3388852251104684</v>
      </c>
      <c r="Y363">
        <v>5.0003852251104686</v>
      </c>
      <c r="Z363">
        <v>4.9905851428233445</v>
      </c>
      <c r="AA363">
        <v>4.3595564502209356</v>
      </c>
      <c r="AB363">
        <v>5.0210564502209358</v>
      </c>
      <c r="AC363">
        <f>VLOOKUP($A363,raw[],29,FALSE)*(1+interactive!$C$7)</f>
        <v>4.0341514499999988E-2</v>
      </c>
      <c r="AD363">
        <f>VLOOKUP($A363,raw[],30,FALSE)*(1+interactive!$C$7)</f>
        <v>2.6377144049169513E-3</v>
      </c>
      <c r="AE363">
        <f>VLOOKUP($A363,raw[],31,FALSE)*(1+interactive!$C$7)</f>
        <v>1.1265892323359299E-3</v>
      </c>
      <c r="AF363">
        <f>VLOOKUP($A363,raw[],32,FALSE)*(1+interactive!$C$7)</f>
        <v>9.1468103676684302E-4</v>
      </c>
      <c r="AG363">
        <f>VLOOKUP($A363,raw[],33,FALSE)*(1+interactive!$C$7)</f>
        <v>1.4825072850576521E-3</v>
      </c>
      <c r="AH363">
        <f>VLOOKUP($A363,raw[],34,FALSE)*(1+interactive!$C$7)</f>
        <v>2.0950093473352006E-3</v>
      </c>
      <c r="AI363">
        <f>VLOOKUP($A363,raw[],35,FALSE)*(1+interactive!$C$7)</f>
        <v>2.269822227396657E-3</v>
      </c>
      <c r="AJ363">
        <f>VLOOKUP($A363,raw[],36,FALSE)*(1+interactive!$C$7)</f>
        <v>2.6126948652408903E-3</v>
      </c>
      <c r="AK363">
        <f>VLOOKUP($A363,raw[],37,FALSE)*(1+interactive!$C$7)</f>
        <v>3.302816623148061E-3</v>
      </c>
      <c r="AL363">
        <f>VLOOKUP($A363,raw[],38,FALSE)*(1+interactive!$C$7)</f>
        <v>4.4582476763413252E-3</v>
      </c>
      <c r="AM363">
        <f>VLOOKUP($A363,raw[],39,FALSE)*(1+interactive!$C$7)</f>
        <v>6.3728540691578876E-3</v>
      </c>
      <c r="AN363">
        <f>VLOOKUP($A363,raw[],40,FALSE)*(1+interactive!$C$7)</f>
        <v>9.3416298435973766E-3</v>
      </c>
      <c r="AO363">
        <f>VLOOKUP($A363,raw[],41,FALSE)*(1+interactive!$C$7)</f>
        <v>1.3838927074850804E-2</v>
      </c>
      <c r="AP363">
        <f>VLOOKUP($A363,raw[],42,FALSE)*(1+interactive!$C$7)</f>
        <v>2.0905797472031876E-2</v>
      </c>
      <c r="AQ363">
        <f>VLOOKUP($A363,raw[],43,FALSE)*(1+interactive!$C$7)</f>
        <v>3.2041535834872854E-2</v>
      </c>
      <c r="AR363">
        <f>VLOOKUP($A363,raw[],44,FALSE)*(1+interactive!$C$7)</f>
        <v>4.9539295353899504E-2</v>
      </c>
      <c r="AS363">
        <f>VLOOKUP($A363,raw[],45,FALSE)*(1+interactive!$C$7)</f>
        <v>7.447112292514621E-2</v>
      </c>
      <c r="AT363">
        <f>VLOOKUP($A363,raw[],46,FALSE)*(1+interactive!$C$7)</f>
        <v>0.10725043428833224</v>
      </c>
      <c r="AU363">
        <f>VLOOKUP($A363,raw[],47,FALSE)*(1+interactive!$C$7)</f>
        <v>0.14196940961282431</v>
      </c>
      <c r="AV363">
        <f>VLOOKUP($A363,raw[],48,FALSE)*(1+interactive!$C$7)</f>
        <v>0.1701976283241653</v>
      </c>
      <c r="AW363">
        <f>VLOOKUP($A363,raw[],49,FALSE)*(1+interactive!$C$7)</f>
        <v>0.18847363153112434</v>
      </c>
      <c r="AX363">
        <f>VLOOKUP($A363,raw[],50,FALSE)*(1+interactive!$C$7)</f>
        <v>70.096950000000007</v>
      </c>
    </row>
    <row r="364" spans="1:50" x14ac:dyDescent="0.25">
      <c r="A364" s="53" t="s">
        <v>396</v>
      </c>
      <c r="B364" s="54" t="s">
        <v>397</v>
      </c>
      <c r="C364" s="54">
        <v>516</v>
      </c>
      <c r="D364" s="54" t="s">
        <v>207</v>
      </c>
      <c r="E364" s="54" t="s">
        <v>245</v>
      </c>
      <c r="F364" s="54" t="s">
        <v>211</v>
      </c>
      <c r="G364" s="54" t="s">
        <v>204</v>
      </c>
      <c r="J364">
        <f>MIN(VLOOKUP($A364,raw[],10,FALSE)*(1+interactive!$C$7),0.999)</f>
        <v>0.91770000000000018</v>
      </c>
      <c r="K364">
        <f>MIN(VLOOKUP($A364,raw[],11,FALSE)*(1+interactive!$C$7),0.999)</f>
        <v>0.85050000000000014</v>
      </c>
      <c r="L364">
        <f>MIN(VLOOKUP($A364,raw[],12,FALSE)*(1+interactive!$C$7),0.999)</f>
        <v>0.91349999999999998</v>
      </c>
      <c r="M364">
        <v>6.2E-2</v>
      </c>
      <c r="N364">
        <f>IFERROR(VLOOKUP($A364,[2]!hbe_prev[#Data],5,FALSE),0)</f>
        <v>0.3679</v>
      </c>
      <c r="O364">
        <f>VLOOKUP($F364,[2]!hbe_risk[#All],4,FALSE)</f>
        <v>0.74399999999999999</v>
      </c>
      <c r="P364">
        <f>VLOOKUP($F364,[2]!hbe_risk[#All],7,FALSE)</f>
        <v>0.13300000000000001</v>
      </c>
      <c r="Q364">
        <v>22.097762976597402</v>
      </c>
      <c r="R364">
        <v>131.08356297659742</v>
      </c>
      <c r="S364">
        <v>203.32203099273482</v>
      </c>
      <c r="T364">
        <v>225.7116400503148</v>
      </c>
      <c r="U364">
        <v>215.43080482711898</v>
      </c>
      <c r="V364">
        <v>11.142750781535712</v>
      </c>
      <c r="W364">
        <v>16.214250781535711</v>
      </c>
      <c r="X364">
        <v>11.1187703622266</v>
      </c>
      <c r="Y364">
        <v>16.190270362226599</v>
      </c>
      <c r="Z364">
        <v>16.177524708287933</v>
      </c>
      <c r="AA364">
        <v>11.1482847244532</v>
      </c>
      <c r="AB364">
        <v>16.219784724453199</v>
      </c>
      <c r="AC364">
        <f>VLOOKUP($A364,raw[],29,FALSE)*(1+interactive!$C$7)</f>
        <v>3.5063594999999996E-2</v>
      </c>
      <c r="AD364">
        <f>VLOOKUP($A364,raw[],30,FALSE)*(1+interactive!$C$7)</f>
        <v>3.0334173868756032E-3</v>
      </c>
      <c r="AE364">
        <f>VLOOKUP($A364,raw[],31,FALSE)*(1+interactive!$C$7)</f>
        <v>1.2859870736308182E-3</v>
      </c>
      <c r="AF364">
        <f>VLOOKUP($A364,raw[],32,FALSE)*(1+interactive!$C$7)</f>
        <v>1.0378729863828001E-3</v>
      </c>
      <c r="AG364">
        <f>VLOOKUP($A364,raw[],33,FALSE)*(1+interactive!$C$7)</f>
        <v>1.7484861606114504E-3</v>
      </c>
      <c r="AH364">
        <f>VLOOKUP($A364,raw[],34,FALSE)*(1+interactive!$C$7)</f>
        <v>2.8581204497139944E-3</v>
      </c>
      <c r="AI364">
        <f>VLOOKUP($A364,raw[],35,FALSE)*(1+interactive!$C$7)</f>
        <v>4.1181473126917154E-3</v>
      </c>
      <c r="AJ364">
        <f>VLOOKUP($A364,raw[],36,FALSE)*(1+interactive!$C$7)</f>
        <v>5.4818669484547411E-3</v>
      </c>
      <c r="AK364">
        <f>VLOOKUP($A364,raw[],37,FALSE)*(1+interactive!$C$7)</f>
        <v>7.3995178474823044E-3</v>
      </c>
      <c r="AL364">
        <f>VLOOKUP($A364,raw[],38,FALSE)*(1+interactive!$C$7)</f>
        <v>9.05644370152448E-3</v>
      </c>
      <c r="AM364">
        <f>VLOOKUP($A364,raw[],39,FALSE)*(1+interactive!$C$7)</f>
        <v>1.104367651531169E-2</v>
      </c>
      <c r="AN364">
        <f>VLOOKUP($A364,raw[],40,FALSE)*(1+interactive!$C$7)</f>
        <v>1.4132079118231156E-2</v>
      </c>
      <c r="AO364">
        <f>VLOOKUP($A364,raw[],41,FALSE)*(1+interactive!$C$7)</f>
        <v>1.7675767792643932E-2</v>
      </c>
      <c r="AP364">
        <f>VLOOKUP($A364,raw[],42,FALSE)*(1+interactive!$C$7)</f>
        <v>2.4221330538052616E-2</v>
      </c>
      <c r="AQ364">
        <f>VLOOKUP($A364,raw[],43,FALSE)*(1+interactive!$C$7)</f>
        <v>3.5119396206886519E-2</v>
      </c>
      <c r="AR364">
        <f>VLOOKUP($A364,raw[],44,FALSE)*(1+interactive!$C$7)</f>
        <v>5.2231716644249304E-2</v>
      </c>
      <c r="AS364">
        <f>VLOOKUP($A364,raw[],45,FALSE)*(1+interactive!$C$7)</f>
        <v>7.6872980347654635E-2</v>
      </c>
      <c r="AT364">
        <f>VLOOKUP($A364,raw[],46,FALSE)*(1+interactive!$C$7)</f>
        <v>0.11270807945629688</v>
      </c>
      <c r="AU364">
        <f>VLOOKUP($A364,raw[],47,FALSE)*(1+interactive!$C$7)</f>
        <v>0.15417833623609989</v>
      </c>
      <c r="AV364">
        <f>VLOOKUP($A364,raw[],48,FALSE)*(1+interactive!$C$7)</f>
        <v>0.18691676159931661</v>
      </c>
      <c r="AW364">
        <f>VLOOKUP($A364,raw[],49,FALSE)*(1+interactive!$C$7)</f>
        <v>0.19796159125186441</v>
      </c>
      <c r="AX364">
        <f>VLOOKUP($A364,raw[],50,FALSE)*(1+interactive!$C$7)</f>
        <v>66.175200000000004</v>
      </c>
    </row>
    <row r="365" spans="1:50" x14ac:dyDescent="0.25">
      <c r="A365" s="55" t="s">
        <v>398</v>
      </c>
      <c r="B365" s="56" t="s">
        <v>399</v>
      </c>
      <c r="C365" s="56">
        <v>520</v>
      </c>
      <c r="D365" s="56" t="s">
        <v>260</v>
      </c>
      <c r="E365" s="56" t="s">
        <v>309</v>
      </c>
      <c r="F365" s="56" t="s">
        <v>262</v>
      </c>
      <c r="G365" s="56" t="s">
        <v>204</v>
      </c>
      <c r="J365">
        <f>MIN(VLOOKUP($A365,raw[],10,FALSE)*(1+interactive!$C$7),0.999)</f>
        <v>0.999</v>
      </c>
      <c r="K365">
        <f>MIN(VLOOKUP($A365,raw[],11,FALSE)*(1+interactive!$C$7),0.999)</f>
        <v>0.999</v>
      </c>
      <c r="L365">
        <f>MIN(VLOOKUP($A365,raw[],12,FALSE)*(1+interactive!$C$7),0.999)</f>
        <v>0.99749999999999994</v>
      </c>
      <c r="M365">
        <v>0.121</v>
      </c>
      <c r="N365">
        <f>IFERROR(VLOOKUP($A365,[2]!hbe_prev[#Data],5,FALSE),0)</f>
        <v>0</v>
      </c>
      <c r="O365">
        <f>VLOOKUP($F365,[2]!hbe_risk[#All],4,FALSE)</f>
        <v>0.9</v>
      </c>
      <c r="P365">
        <f>VLOOKUP($F365,[2]!hbe_risk[#All],7,FALSE)</f>
        <v>0.3</v>
      </c>
      <c r="Q365">
        <v>14.487534907888501</v>
      </c>
      <c r="R365">
        <v>123.47333490788851</v>
      </c>
      <c r="S365">
        <v>167.56109679974116</v>
      </c>
      <c r="T365">
        <v>175.29924721911203</v>
      </c>
      <c r="U365">
        <v>171.74605211019957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f>VLOOKUP($A365,raw[],29,FALSE)*(1+interactive!$C$7)</f>
        <v>0</v>
      </c>
      <c r="AD365">
        <f>VLOOKUP($A365,raw[],30,FALSE)*(1+interactive!$C$7)</f>
        <v>0</v>
      </c>
      <c r="AE365">
        <f>VLOOKUP($A365,raw[],31,FALSE)*(1+interactive!$C$7)</f>
        <v>0</v>
      </c>
      <c r="AF365">
        <f>VLOOKUP($A365,raw[],32,FALSE)*(1+interactive!$C$7)</f>
        <v>0</v>
      </c>
      <c r="AG365">
        <f>VLOOKUP($A365,raw[],33,FALSE)*(1+interactive!$C$7)</f>
        <v>0</v>
      </c>
      <c r="AH365">
        <f>VLOOKUP($A365,raw[],34,FALSE)*(1+interactive!$C$7)</f>
        <v>0</v>
      </c>
      <c r="AI365">
        <f>VLOOKUP($A365,raw[],35,FALSE)*(1+interactive!$C$7)</f>
        <v>0</v>
      </c>
      <c r="AJ365">
        <f>VLOOKUP($A365,raw[],36,FALSE)*(1+interactive!$C$7)</f>
        <v>0</v>
      </c>
      <c r="AK365">
        <f>VLOOKUP($A365,raw[],37,FALSE)*(1+interactive!$C$7)</f>
        <v>0</v>
      </c>
      <c r="AL365">
        <f>VLOOKUP($A365,raw[],38,FALSE)*(1+interactive!$C$7)</f>
        <v>0</v>
      </c>
      <c r="AM365">
        <f>VLOOKUP($A365,raw[],39,FALSE)*(1+interactive!$C$7)</f>
        <v>0</v>
      </c>
      <c r="AN365">
        <f>VLOOKUP($A365,raw[],40,FALSE)*(1+interactive!$C$7)</f>
        <v>0</v>
      </c>
      <c r="AO365">
        <f>VLOOKUP($A365,raw[],41,FALSE)*(1+interactive!$C$7)</f>
        <v>0</v>
      </c>
      <c r="AP365">
        <f>VLOOKUP($A365,raw[],42,FALSE)*(1+interactive!$C$7)</f>
        <v>0</v>
      </c>
      <c r="AQ365">
        <f>VLOOKUP($A365,raw[],43,FALSE)*(1+interactive!$C$7)</f>
        <v>0</v>
      </c>
      <c r="AR365">
        <f>VLOOKUP($A365,raw[],44,FALSE)*(1+interactive!$C$7)</f>
        <v>0</v>
      </c>
      <c r="AS365">
        <f>VLOOKUP($A365,raw[],45,FALSE)*(1+interactive!$C$7)</f>
        <v>0</v>
      </c>
      <c r="AT365">
        <f>VLOOKUP($A365,raw[],46,FALSE)*(1+interactive!$C$7)</f>
        <v>0</v>
      </c>
      <c r="AU365">
        <f>VLOOKUP($A365,raw[],47,FALSE)*(1+interactive!$C$7)</f>
        <v>0</v>
      </c>
      <c r="AV365">
        <f>VLOOKUP($A365,raw[],48,FALSE)*(1+interactive!$C$7)</f>
        <v>0</v>
      </c>
      <c r="AW365">
        <f>VLOOKUP($A365,raw[],49,FALSE)*(1+interactive!$C$7)</f>
        <v>0</v>
      </c>
      <c r="AX365">
        <f>VLOOKUP($A365,raw[],50,FALSE)*(1+interactive!$C$7)</f>
        <v>0</v>
      </c>
    </row>
    <row r="366" spans="1:50" x14ac:dyDescent="0.25">
      <c r="A366" s="53" t="s">
        <v>400</v>
      </c>
      <c r="B366" s="54" t="s">
        <v>401</v>
      </c>
      <c r="C366" s="54">
        <v>524</v>
      </c>
      <c r="D366" s="54" t="s">
        <v>225</v>
      </c>
      <c r="E366" s="54" t="s">
        <v>226</v>
      </c>
      <c r="F366" s="54" t="s">
        <v>226</v>
      </c>
      <c r="G366" s="54" t="s">
        <v>198</v>
      </c>
      <c r="J366">
        <f>MIN(VLOOKUP($A366,raw[],10,FALSE)*(1+interactive!$C$7),0.999)</f>
        <v>0.60270000000000001</v>
      </c>
      <c r="K366">
        <f>MIN(VLOOKUP($A366,raw[],11,FALSE)*(1+interactive!$C$7),0.999)</f>
        <v>0</v>
      </c>
      <c r="L366">
        <f>MIN(VLOOKUP($A366,raw[],12,FALSE)*(1+interactive!$C$7),0.999)</f>
        <v>0.88200000000000001</v>
      </c>
      <c r="M366">
        <v>9.5999999999999992E-3</v>
      </c>
      <c r="N366">
        <f>IFERROR(VLOOKUP($A366,[2]!hbe_prev[#Data],5,FALSE),0)</f>
        <v>0.35830000000000001</v>
      </c>
      <c r="O366">
        <f>VLOOKUP($F366,[2]!hbe_risk[#All],4,FALSE)</f>
        <v>0.9</v>
      </c>
      <c r="P366">
        <f>VLOOKUP($F366,[2]!hbe_risk[#All],7,FALSE)</f>
        <v>0.3</v>
      </c>
      <c r="Q366">
        <v>6.5332506329113897</v>
      </c>
      <c r="R366">
        <v>115.5190506329114</v>
      </c>
      <c r="S366">
        <v>147.10456879452562</v>
      </c>
      <c r="T366">
        <v>148.3357383200717</v>
      </c>
      <c r="U366">
        <v>147.77041129754943</v>
      </c>
      <c r="V366">
        <v>4.4598498977678256</v>
      </c>
      <c r="W366">
        <v>6.3601897318265035</v>
      </c>
      <c r="X366">
        <v>4.4471771849753523</v>
      </c>
      <c r="Y366">
        <v>6.3475170190340293</v>
      </c>
      <c r="Z366">
        <v>6.340476447795</v>
      </c>
      <c r="AA366">
        <v>4.4627743699507043</v>
      </c>
      <c r="AB366">
        <v>6.3631142040093813</v>
      </c>
      <c r="AC366">
        <f>VLOOKUP($A366,raw[],29,FALSE)*(1+interactive!$C$7)</f>
        <v>2.9339709000000016E-2</v>
      </c>
      <c r="AD366">
        <f>VLOOKUP($A366,raw[],30,FALSE)*(1+interactive!$C$7)</f>
        <v>1.5374030065014206E-3</v>
      </c>
      <c r="AE366">
        <f>VLOOKUP($A366,raw[],31,FALSE)*(1+interactive!$C$7)</f>
        <v>6.2720911772092577E-4</v>
      </c>
      <c r="AF366">
        <f>VLOOKUP($A366,raw[],32,FALSE)*(1+interactive!$C$7)</f>
        <v>5.139635511156621E-4</v>
      </c>
      <c r="AG366">
        <f>VLOOKUP($A366,raw[],33,FALSE)*(1+interactive!$C$7)</f>
        <v>9.0244372089275137E-4</v>
      </c>
      <c r="AH366">
        <f>VLOOKUP($A366,raw[],34,FALSE)*(1+interactive!$C$7)</f>
        <v>1.246643171882742E-3</v>
      </c>
      <c r="AI366">
        <f>VLOOKUP($A366,raw[],35,FALSE)*(1+interactive!$C$7)</f>
        <v>1.3546013693873159E-3</v>
      </c>
      <c r="AJ366">
        <f>VLOOKUP($A366,raw[],36,FALSE)*(1+interactive!$C$7)</f>
        <v>1.5947804222987013E-3</v>
      </c>
      <c r="AK366">
        <f>VLOOKUP($A366,raw[],37,FALSE)*(1+interactive!$C$7)</f>
        <v>2.0831384894257924E-3</v>
      </c>
      <c r="AL366">
        <f>VLOOKUP($A366,raw[],38,FALSE)*(1+interactive!$C$7)</f>
        <v>2.9927669066678428E-3</v>
      </c>
      <c r="AM366">
        <f>VLOOKUP($A366,raw[],39,FALSE)*(1+interactive!$C$7)</f>
        <v>4.6771041527894569E-3</v>
      </c>
      <c r="AN366">
        <f>VLOOKUP($A366,raw[],40,FALSE)*(1+interactive!$C$7)</f>
        <v>7.2998278283100734E-3</v>
      </c>
      <c r="AO366">
        <f>VLOOKUP($A366,raw[],41,FALSE)*(1+interactive!$C$7)</f>
        <v>1.1499188514311542E-2</v>
      </c>
      <c r="AP366">
        <f>VLOOKUP($A366,raw[],42,FALSE)*(1+interactive!$C$7)</f>
        <v>1.8039945310322155E-2</v>
      </c>
      <c r="AQ366">
        <f>VLOOKUP($A366,raw[],43,FALSE)*(1+interactive!$C$7)</f>
        <v>2.8624227778338548E-2</v>
      </c>
      <c r="AR366">
        <f>VLOOKUP($A366,raw[],44,FALSE)*(1+interactive!$C$7)</f>
        <v>4.5369785796160425E-2</v>
      </c>
      <c r="AS366">
        <f>VLOOKUP($A366,raw[],45,FALSE)*(1+interactive!$C$7)</f>
        <v>7.0111660239106532E-2</v>
      </c>
      <c r="AT366">
        <f>VLOOKUP($A366,raw[],46,FALSE)*(1+interactive!$C$7)</f>
        <v>0.10356877343514813</v>
      </c>
      <c r="AU366">
        <f>VLOOKUP($A366,raw[],47,FALSE)*(1+interactive!$C$7)</f>
        <v>0.13965928287635196</v>
      </c>
      <c r="AV366">
        <f>VLOOKUP($A366,raw[],48,FALSE)*(1+interactive!$C$7)</f>
        <v>0.16925634841930245</v>
      </c>
      <c r="AW366">
        <f>VLOOKUP($A366,raw[],49,FALSE)*(1+interactive!$C$7)</f>
        <v>0.18832893788226795</v>
      </c>
      <c r="AX366">
        <f>VLOOKUP($A366,raw[],50,FALSE)*(1+interactive!$C$7)</f>
        <v>73.821299999999994</v>
      </c>
    </row>
    <row r="367" spans="1:50" x14ac:dyDescent="0.25">
      <c r="A367" s="55" t="s">
        <v>402</v>
      </c>
      <c r="B367" s="56" t="s">
        <v>403</v>
      </c>
      <c r="C367" s="56">
        <v>558</v>
      </c>
      <c r="D367" s="56" t="s">
        <v>215</v>
      </c>
      <c r="E367" s="56" t="s">
        <v>274</v>
      </c>
      <c r="F367" s="56" t="s">
        <v>217</v>
      </c>
      <c r="G367" s="56" t="s">
        <v>212</v>
      </c>
      <c r="J367">
        <f>MIN(VLOOKUP($A367,raw[],10,FALSE)*(1+interactive!$C$7),0.999)</f>
        <v>0.74549999999999994</v>
      </c>
      <c r="K367">
        <f>MIN(VLOOKUP($A367,raw[],11,FALSE)*(1+interactive!$C$7),0.999)</f>
        <v>0</v>
      </c>
      <c r="L367">
        <f>MIN(VLOOKUP($A367,raw[],12,FALSE)*(1+interactive!$C$7),0.999)</f>
        <v>0.96600000000000008</v>
      </c>
      <c r="M367">
        <v>8.3999999999999995E-3</v>
      </c>
      <c r="N367">
        <f>IFERROR(VLOOKUP($A367,[2]!hbe_prev[#Data],5,FALSE),0)</f>
        <v>0.42950000000000005</v>
      </c>
      <c r="O367">
        <f>VLOOKUP($F367,[2]!hbe_risk[#All],4,FALSE)</f>
        <v>0.9</v>
      </c>
      <c r="P367">
        <f>VLOOKUP($F367,[2]!hbe_risk[#All],7,FALSE)</f>
        <v>0.3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9.7155289480387452</v>
      </c>
      <c r="W367">
        <v>9.736528948038746</v>
      </c>
      <c r="X367">
        <v>9.6937871437455154</v>
      </c>
      <c r="Y367">
        <v>9.7147871437455162</v>
      </c>
      <c r="Z367">
        <v>9.7021410455671067</v>
      </c>
      <c r="AA367">
        <v>9.7205462874910307</v>
      </c>
      <c r="AB367">
        <v>9.7415462874910315</v>
      </c>
      <c r="AC367">
        <f>VLOOKUP($A367,raw[],29,FALSE)*(1+interactive!$C$7)</f>
        <v>1.7623231500000062E-2</v>
      </c>
      <c r="AD367">
        <f>VLOOKUP($A367,raw[],30,FALSE)*(1+interactive!$C$7)</f>
        <v>9.2555110247038357E-4</v>
      </c>
      <c r="AE367">
        <f>VLOOKUP($A367,raw[],31,FALSE)*(1+interactive!$C$7)</f>
        <v>4.8402385083757155E-4</v>
      </c>
      <c r="AF367">
        <f>VLOOKUP($A367,raw[],32,FALSE)*(1+interactive!$C$7)</f>
        <v>4.8372412702627675E-4</v>
      </c>
      <c r="AG367">
        <f>VLOOKUP($A367,raw[],33,FALSE)*(1+interactive!$C$7)</f>
        <v>1.1878667458321912E-3</v>
      </c>
      <c r="AH367">
        <f>VLOOKUP($A367,raw[],34,FALSE)*(1+interactive!$C$7)</f>
        <v>1.5830857016187641E-3</v>
      </c>
      <c r="AI367">
        <f>VLOOKUP($A367,raw[],35,FALSE)*(1+interactive!$C$7)</f>
        <v>1.8574062294458567E-3</v>
      </c>
      <c r="AJ367">
        <f>VLOOKUP($A367,raw[],36,FALSE)*(1+interactive!$C$7)</f>
        <v>2.2337703415762408E-3</v>
      </c>
      <c r="AK367">
        <f>VLOOKUP($A367,raw[],37,FALSE)*(1+interactive!$C$7)</f>
        <v>2.8341732152057592E-3</v>
      </c>
      <c r="AL367">
        <f>VLOOKUP($A367,raw[],38,FALSE)*(1+interactive!$C$7)</f>
        <v>3.6067830742343705E-3</v>
      </c>
      <c r="AM367">
        <f>VLOOKUP($A367,raw[],39,FALSE)*(1+interactive!$C$7)</f>
        <v>4.7435174085627167E-3</v>
      </c>
      <c r="AN367">
        <f>VLOOKUP($A367,raw[],40,FALSE)*(1+interactive!$C$7)</f>
        <v>6.6735942830029957E-3</v>
      </c>
      <c r="AO367">
        <f>VLOOKUP($A367,raw[],41,FALSE)*(1+interactive!$C$7)</f>
        <v>9.4949513811554524E-3</v>
      </c>
      <c r="AP367">
        <f>VLOOKUP($A367,raw[],42,FALSE)*(1+interactive!$C$7)</f>
        <v>1.367690861996898E-2</v>
      </c>
      <c r="AQ367">
        <f>VLOOKUP($A367,raw[],43,FALSE)*(1+interactive!$C$7)</f>
        <v>1.9976694075429284E-2</v>
      </c>
      <c r="AR367">
        <f>VLOOKUP($A367,raw[],44,FALSE)*(1+interactive!$C$7)</f>
        <v>2.8907905555558198E-2</v>
      </c>
      <c r="AS367">
        <f>VLOOKUP($A367,raw[],45,FALSE)*(1+interactive!$C$7)</f>
        <v>4.2407780221249462E-2</v>
      </c>
      <c r="AT367">
        <f>VLOOKUP($A367,raw[],46,FALSE)*(1+interactive!$C$7)</f>
        <v>6.904178821352519E-2</v>
      </c>
      <c r="AU367">
        <f>VLOOKUP($A367,raw[],47,FALSE)*(1+interactive!$C$7)</f>
        <v>9.736003705275012E-2</v>
      </c>
      <c r="AV367">
        <f>VLOOKUP($A367,raw[],48,FALSE)*(1+interactive!$C$7)</f>
        <v>0.1270800478901048</v>
      </c>
      <c r="AW367">
        <f>VLOOKUP($A367,raw[],49,FALSE)*(1+interactive!$C$7)</f>
        <v>0.15270474583406796</v>
      </c>
      <c r="AX367">
        <f>VLOOKUP($A367,raw[],50,FALSE)*(1+interactive!$C$7)</f>
        <v>77.861699999999999</v>
      </c>
    </row>
    <row r="368" spans="1:50" x14ac:dyDescent="0.25">
      <c r="A368" s="53" t="s">
        <v>404</v>
      </c>
      <c r="B368" s="54" t="s">
        <v>405</v>
      </c>
      <c r="C368" s="54">
        <v>562</v>
      </c>
      <c r="D368" s="54" t="s">
        <v>207</v>
      </c>
      <c r="E368" s="54" t="s">
        <v>235</v>
      </c>
      <c r="F368" s="54" t="s">
        <v>211</v>
      </c>
      <c r="G368" s="54" t="s">
        <v>198</v>
      </c>
      <c r="J368">
        <f>MIN(VLOOKUP($A368,raw[],10,FALSE)*(1+interactive!$C$7),0.999)</f>
        <v>0.61739999999999995</v>
      </c>
      <c r="K368">
        <f>MIN(VLOOKUP($A368,raw[],11,FALSE)*(1+interactive!$C$7),0.999)</f>
        <v>0</v>
      </c>
      <c r="L368">
        <f>MIN(VLOOKUP($A368,raw[],12,FALSE)*(1+interactive!$C$7),0.999)</f>
        <v>0.85050000000000014</v>
      </c>
      <c r="M368">
        <v>0.1346</v>
      </c>
      <c r="N368">
        <f>IFERROR(VLOOKUP($A368,[2]!hbe_prev[#Data],5,FALSE),0)</f>
        <v>0.41070000000000001</v>
      </c>
      <c r="O368">
        <f>VLOOKUP($F368,[2]!hbe_risk[#All],4,FALSE)</f>
        <v>0.74399999999999999</v>
      </c>
      <c r="P368">
        <f>VLOOKUP($F368,[2]!hbe_risk[#All],7,FALSE)</f>
        <v>0.13300000000000001</v>
      </c>
      <c r="Q368">
        <v>5.8695483146067406</v>
      </c>
      <c r="R368">
        <v>114.85534831460676</v>
      </c>
      <c r="S368">
        <v>145.24920071735454</v>
      </c>
      <c r="T368">
        <v>145.86014986549631</v>
      </c>
      <c r="U368">
        <v>145.57961493048944</v>
      </c>
      <c r="V368">
        <v>2.8756967584698345</v>
      </c>
      <c r="W368">
        <v>7.9471967584698344</v>
      </c>
      <c r="X368">
        <v>2.8663122115695638</v>
      </c>
      <c r="Y368">
        <v>7.9378122115695646</v>
      </c>
      <c r="Z368">
        <v>7.9327446500042225</v>
      </c>
      <c r="AA368">
        <v>2.8778624231391277</v>
      </c>
      <c r="AB368">
        <v>7.949362423139128</v>
      </c>
      <c r="AC368">
        <f>VLOOKUP($A368,raw[],29,FALSE)*(1+interactive!$C$7)</f>
        <v>4.8634046999999986E-2</v>
      </c>
      <c r="AD368">
        <f>VLOOKUP($A368,raw[],30,FALSE)*(1+interactive!$C$7)</f>
        <v>1.0552466757625034E-2</v>
      </c>
      <c r="AE368">
        <f>VLOOKUP($A368,raw[],31,FALSE)*(1+interactive!$C$7)</f>
        <v>2.3353548721143434E-3</v>
      </c>
      <c r="AF368">
        <f>VLOOKUP($A368,raw[],32,FALSE)*(1+interactive!$C$7)</f>
        <v>1.3975126757874877E-3</v>
      </c>
      <c r="AG368">
        <f>VLOOKUP($A368,raw[],33,FALSE)*(1+interactive!$C$7)</f>
        <v>2.3300716942091151E-3</v>
      </c>
      <c r="AH368">
        <f>VLOOKUP($A368,raw[],34,FALSE)*(1+interactive!$C$7)</f>
        <v>3.0456129224326633E-3</v>
      </c>
      <c r="AI368">
        <f>VLOOKUP($A368,raw[],35,FALSE)*(1+interactive!$C$7)</f>
        <v>3.8194152003484679E-3</v>
      </c>
      <c r="AJ368">
        <f>VLOOKUP($A368,raw[],36,FALSE)*(1+interactive!$C$7)</f>
        <v>4.0854931670074226E-3</v>
      </c>
      <c r="AK368">
        <f>VLOOKUP($A368,raw[],37,FALSE)*(1+interactive!$C$7)</f>
        <v>4.6968283896133287E-3</v>
      </c>
      <c r="AL368">
        <f>VLOOKUP($A368,raw[],38,FALSE)*(1+interactive!$C$7)</f>
        <v>5.6832319894283469E-3</v>
      </c>
      <c r="AM368">
        <f>VLOOKUP($A368,raw[],39,FALSE)*(1+interactive!$C$7)</f>
        <v>7.3109941430212801E-3</v>
      </c>
      <c r="AN368">
        <f>VLOOKUP($A368,raw[],40,FALSE)*(1+interactive!$C$7)</f>
        <v>1.055984771450909E-2</v>
      </c>
      <c r="AO368">
        <f>VLOOKUP($A368,raw[],41,FALSE)*(1+interactive!$C$7)</f>
        <v>1.5204379067438645E-2</v>
      </c>
      <c r="AP368">
        <f>VLOOKUP($A368,raw[],42,FALSE)*(1+interactive!$C$7)</f>
        <v>2.1547905535353431E-2</v>
      </c>
      <c r="AQ368">
        <f>VLOOKUP($A368,raw[],43,FALSE)*(1+interactive!$C$7)</f>
        <v>3.2587976004823264E-2</v>
      </c>
      <c r="AR368">
        <f>VLOOKUP($A368,raw[],44,FALSE)*(1+interactive!$C$7)</f>
        <v>5.3014225670050888E-2</v>
      </c>
      <c r="AS368">
        <f>VLOOKUP($A368,raw[],45,FALSE)*(1+interactive!$C$7)</f>
        <v>8.3358796286837664E-2</v>
      </c>
      <c r="AT368">
        <f>VLOOKUP($A368,raw[],46,FALSE)*(1+interactive!$C$7)</f>
        <v>0.12202506750429573</v>
      </c>
      <c r="AU368">
        <f>VLOOKUP($A368,raw[],47,FALSE)*(1+interactive!$C$7)</f>
        <v>0.15870013211775946</v>
      </c>
      <c r="AV368">
        <f>VLOOKUP($A368,raw[],48,FALSE)*(1+interactive!$C$7)</f>
        <v>0.18399737123583385</v>
      </c>
      <c r="AW368">
        <f>VLOOKUP($A368,raw[],49,FALSE)*(1+interactive!$C$7)</f>
        <v>0.19560070425905179</v>
      </c>
      <c r="AX368">
        <f>VLOOKUP($A368,raw[],50,FALSE)*(1+interactive!$C$7)</f>
        <v>64.888950000000008</v>
      </c>
    </row>
    <row r="369" spans="1:50" x14ac:dyDescent="0.25">
      <c r="A369" s="55" t="s">
        <v>406</v>
      </c>
      <c r="B369" s="56" t="s">
        <v>407</v>
      </c>
      <c r="C369" s="56">
        <v>566</v>
      </c>
      <c r="D369" s="56" t="s">
        <v>207</v>
      </c>
      <c r="E369" s="56" t="s">
        <v>235</v>
      </c>
      <c r="F369" s="56" t="s">
        <v>211</v>
      </c>
      <c r="G369" s="56" t="s">
        <v>212</v>
      </c>
      <c r="J369">
        <f>MIN(VLOOKUP($A369,raw[],10,FALSE)*(1+interactive!$C$7),0.999)</f>
        <v>0.41369999999999996</v>
      </c>
      <c r="K369">
        <f>MIN(VLOOKUP($A369,raw[],11,FALSE)*(1+interactive!$C$7),0.999)</f>
        <v>0</v>
      </c>
      <c r="L369">
        <f>MIN(VLOOKUP($A369,raw[],12,FALSE)*(1+interactive!$C$7),0.999)</f>
        <v>0.59849999999999992</v>
      </c>
      <c r="M369">
        <v>6.25E-2</v>
      </c>
      <c r="N369">
        <f>IFERROR(VLOOKUP($A369,[2]!hbe_prev[#Data],5,FALSE),0)</f>
        <v>0.41070000000000001</v>
      </c>
      <c r="O369">
        <f>VLOOKUP($F369,[2]!hbe_risk[#All],4,FALSE)</f>
        <v>0.74399999999999999</v>
      </c>
      <c r="P369">
        <f>VLOOKUP($F369,[2]!hbe_risk[#All],7,FALSE)</f>
        <v>0.13300000000000001</v>
      </c>
      <c r="Q369">
        <v>9.91079751037344</v>
      </c>
      <c r="R369">
        <v>118.89659751037345</v>
      </c>
      <c r="S369">
        <v>155.29237845433528</v>
      </c>
      <c r="T369">
        <v>159.02712163388944</v>
      </c>
      <c r="U369">
        <v>157.3122065082521</v>
      </c>
      <c r="V369">
        <v>2.1645806207275577</v>
      </c>
      <c r="W369">
        <v>7.2360806207275576</v>
      </c>
      <c r="X369">
        <v>2.1413372390221008</v>
      </c>
      <c r="Y369">
        <v>7.2128372390221012</v>
      </c>
      <c r="Z369">
        <v>7.1997640183177047</v>
      </c>
      <c r="AA369">
        <v>2.1699444780442017</v>
      </c>
      <c r="AB369">
        <v>7.241444478044202</v>
      </c>
      <c r="AC369">
        <f>VLOOKUP($A369,raw[],29,FALSE)*(1+interactive!$C$7)</f>
        <v>6.5264314500000059E-2</v>
      </c>
      <c r="AD369">
        <f>VLOOKUP($A369,raw[],30,FALSE)*(1+interactive!$C$7)</f>
        <v>1.1083045853780012E-2</v>
      </c>
      <c r="AE369">
        <f>VLOOKUP($A369,raw[],31,FALSE)*(1+interactive!$C$7)</f>
        <v>6.2056636556527189E-3</v>
      </c>
      <c r="AF369">
        <f>VLOOKUP($A369,raw[],32,FALSE)*(1+interactive!$C$7)</f>
        <v>3.376688896987729E-3</v>
      </c>
      <c r="AG369">
        <f>VLOOKUP($A369,raw[],33,FALSE)*(1+interactive!$C$7)</f>
        <v>5.3157757715819433E-3</v>
      </c>
      <c r="AH369">
        <f>VLOOKUP($A369,raw[],34,FALSE)*(1+interactive!$C$7)</f>
        <v>6.4114276843212229E-3</v>
      </c>
      <c r="AI369">
        <f>VLOOKUP($A369,raw[],35,FALSE)*(1+interactive!$C$7)</f>
        <v>7.0503930118557693E-3</v>
      </c>
      <c r="AJ369">
        <f>VLOOKUP($A369,raw[],36,FALSE)*(1+interactive!$C$7)</f>
        <v>7.3860782785339155E-3</v>
      </c>
      <c r="AK369">
        <f>VLOOKUP($A369,raw[],37,FALSE)*(1+interactive!$C$7)</f>
        <v>8.0870402994986136E-3</v>
      </c>
      <c r="AL369">
        <f>VLOOKUP($A369,raw[],38,FALSE)*(1+interactive!$C$7)</f>
        <v>9.1878116538381422E-3</v>
      </c>
      <c r="AM369">
        <f>VLOOKUP($A369,raw[],39,FALSE)*(1+interactive!$C$7)</f>
        <v>1.0638852659240389E-2</v>
      </c>
      <c r="AN369">
        <f>VLOOKUP($A369,raw[],40,FALSE)*(1+interactive!$C$7)</f>
        <v>1.4049752740381725E-2</v>
      </c>
      <c r="AO369">
        <f>VLOOKUP($A369,raw[],41,FALSE)*(1+interactive!$C$7)</f>
        <v>1.922903842073817E-2</v>
      </c>
      <c r="AP369">
        <f>VLOOKUP($A369,raw[],42,FALSE)*(1+interactive!$C$7)</f>
        <v>2.9592473551123877E-2</v>
      </c>
      <c r="AQ369">
        <f>VLOOKUP($A369,raw[],43,FALSE)*(1+interactive!$C$7)</f>
        <v>4.4531742602379673E-2</v>
      </c>
      <c r="AR369">
        <f>VLOOKUP($A369,raw[],44,FALSE)*(1+interactive!$C$7)</f>
        <v>6.8994272389426167E-2</v>
      </c>
      <c r="AS369">
        <f>VLOOKUP($A369,raw[],45,FALSE)*(1+interactive!$C$7)</f>
        <v>0.10174969103072433</v>
      </c>
      <c r="AT369">
        <f>VLOOKUP($A369,raw[],46,FALSE)*(1+interactive!$C$7)</f>
        <v>0.13925653004002383</v>
      </c>
      <c r="AU369">
        <f>VLOOKUP($A369,raw[],47,FALSE)*(1+interactive!$C$7)</f>
        <v>0.17066804141891234</v>
      </c>
      <c r="AV369">
        <f>VLOOKUP($A369,raw[],48,FALSE)*(1+interactive!$C$7)</f>
        <v>0.1899024811429979</v>
      </c>
      <c r="AW369">
        <f>VLOOKUP($A369,raw[],49,FALSE)*(1+interactive!$C$7)</f>
        <v>0.19572984161213169</v>
      </c>
      <c r="AX369">
        <f>VLOOKUP($A369,raw[],50,FALSE)*(1+interactive!$C$7)</f>
        <v>56.884800000000006</v>
      </c>
    </row>
    <row r="370" spans="1:50" x14ac:dyDescent="0.25">
      <c r="A370" s="53" t="s">
        <v>408</v>
      </c>
      <c r="B370" s="54" t="s">
        <v>409</v>
      </c>
      <c r="C370" s="54">
        <v>807</v>
      </c>
      <c r="D370" s="54" t="s">
        <v>201</v>
      </c>
      <c r="E370" s="54" t="s">
        <v>202</v>
      </c>
      <c r="F370" s="54" t="s">
        <v>203</v>
      </c>
      <c r="G370" s="54" t="s">
        <v>204</v>
      </c>
      <c r="J370">
        <f>MIN(VLOOKUP($A370,raw[],10,FALSE)*(1+interactive!$C$7),0.999)</f>
        <v>0.999</v>
      </c>
      <c r="K370">
        <f>MIN(VLOOKUP($A370,raw[],11,FALSE)*(1+interactive!$C$7),0.999)</f>
        <v>0.999</v>
      </c>
      <c r="L370">
        <f>MIN(VLOOKUP($A370,raw[],12,FALSE)*(1+interactive!$C$7),0.999)</f>
        <v>0.88200000000000001</v>
      </c>
      <c r="M370">
        <v>8.0600000000000005E-2</v>
      </c>
      <c r="N370">
        <f>IFERROR(VLOOKUP($A370,[2]!hbe_prev[#Data],5,FALSE),0)</f>
        <v>0.42849999999999999</v>
      </c>
      <c r="O370">
        <f>VLOOKUP($F370,[2]!hbe_risk[#All],4,FALSE)</f>
        <v>0.9</v>
      </c>
      <c r="P370">
        <f>VLOOKUP($F370,[2]!hbe_risk[#All],7,FALSE)</f>
        <v>0.3</v>
      </c>
      <c r="Q370">
        <v>23.236011389191201</v>
      </c>
      <c r="R370">
        <v>132.2218113891912</v>
      </c>
      <c r="S370">
        <v>208.82226995459442</v>
      </c>
      <c r="T370">
        <v>233.48214263649228</v>
      </c>
      <c r="U370">
        <v>222.15885034426938</v>
      </c>
      <c r="V370">
        <v>11.777270178246729</v>
      </c>
      <c r="W370">
        <v>16.050770178246729</v>
      </c>
      <c r="X370">
        <v>11.741425960411988</v>
      </c>
      <c r="Y370">
        <v>16.014925960411986</v>
      </c>
      <c r="Z370">
        <v>15.994552102926198</v>
      </c>
      <c r="AA370">
        <v>11.785541920823977</v>
      </c>
      <c r="AB370">
        <v>16.059041920823979</v>
      </c>
      <c r="AC370">
        <f>VLOOKUP($A370,raw[],29,FALSE)*(1+interactive!$C$7)</f>
        <v>1.1223764999999926E-2</v>
      </c>
      <c r="AD370">
        <f>VLOOKUP($A370,raw[],30,FALSE)*(1+interactive!$C$7)</f>
        <v>2.9894374942071432E-4</v>
      </c>
      <c r="AE370">
        <f>VLOOKUP($A370,raw[],31,FALSE)*(1+interactive!$C$7)</f>
        <v>1.4644772040641436E-4</v>
      </c>
      <c r="AF370">
        <f>VLOOKUP($A370,raw[],32,FALSE)*(1+interactive!$C$7)</f>
        <v>1.9445781244582054E-4</v>
      </c>
      <c r="AG370">
        <f>VLOOKUP($A370,raw[],33,FALSE)*(1+interactive!$C$7)</f>
        <v>3.0612159879504303E-4</v>
      </c>
      <c r="AH370">
        <f>VLOOKUP($A370,raw[],34,FALSE)*(1+interactive!$C$7)</f>
        <v>3.2939443045355225E-4</v>
      </c>
      <c r="AI370">
        <f>VLOOKUP($A370,raw[],35,FALSE)*(1+interactive!$C$7)</f>
        <v>4.9107607169644925E-4</v>
      </c>
      <c r="AJ370">
        <f>VLOOKUP($A370,raw[],36,FALSE)*(1+interactive!$C$7)</f>
        <v>5.8666428206749911E-4</v>
      </c>
      <c r="AK370">
        <f>VLOOKUP($A370,raw[],37,FALSE)*(1+interactive!$C$7)</f>
        <v>9.3562613166154923E-4</v>
      </c>
      <c r="AL370">
        <f>VLOOKUP($A370,raw[],38,FALSE)*(1+interactive!$C$7)</f>
        <v>1.7088150216703402E-3</v>
      </c>
      <c r="AM370">
        <f>VLOOKUP($A370,raw[],39,FALSE)*(1+interactive!$C$7)</f>
        <v>2.6393162646140044E-3</v>
      </c>
      <c r="AN370">
        <f>VLOOKUP($A370,raw[],40,FALSE)*(1+interactive!$C$7)</f>
        <v>4.9233961461122768E-3</v>
      </c>
      <c r="AO370">
        <f>VLOOKUP($A370,raw[],41,FALSE)*(1+interactive!$C$7)</f>
        <v>8.3691374832477548E-3</v>
      </c>
      <c r="AP370">
        <f>VLOOKUP($A370,raw[],42,FALSE)*(1+interactive!$C$7)</f>
        <v>1.3828995569468826E-2</v>
      </c>
      <c r="AQ370">
        <f>VLOOKUP($A370,raw[],43,FALSE)*(1+interactive!$C$7)</f>
        <v>2.1402531568139704E-2</v>
      </c>
      <c r="AR370">
        <f>VLOOKUP($A370,raw[],44,FALSE)*(1+interactive!$C$7)</f>
        <v>3.361912544912897E-2</v>
      </c>
      <c r="AS370">
        <f>VLOOKUP($A370,raw[],45,FALSE)*(1+interactive!$C$7)</f>
        <v>5.9658325729081384E-2</v>
      </c>
      <c r="AT370">
        <f>VLOOKUP($A370,raw[],46,FALSE)*(1+interactive!$C$7)</f>
        <v>9.6105397474416487E-2</v>
      </c>
      <c r="AU370">
        <f>VLOOKUP($A370,raw[],47,FALSE)*(1+interactive!$C$7)</f>
        <v>0.13620687662120384</v>
      </c>
      <c r="AV370">
        <f>VLOOKUP($A370,raw[],48,FALSE)*(1+interactive!$C$7)</f>
        <v>0.17509103800118414</v>
      </c>
      <c r="AW370">
        <f>VLOOKUP($A370,raw[],49,FALSE)*(1+interactive!$C$7)</f>
        <v>0.19555991184090768</v>
      </c>
      <c r="AX370">
        <f>VLOOKUP($A370,raw[],50,FALSE)*(1+interactive!$C$7)</f>
        <v>79.383150000000001</v>
      </c>
    </row>
    <row r="371" spans="1:50" x14ac:dyDescent="0.25">
      <c r="A371" s="55" t="s">
        <v>410</v>
      </c>
      <c r="B371" s="56" t="s">
        <v>411</v>
      </c>
      <c r="C371" s="56">
        <v>586</v>
      </c>
      <c r="D371" s="56" t="s">
        <v>196</v>
      </c>
      <c r="E371" s="56" t="s">
        <v>226</v>
      </c>
      <c r="F371" s="56" t="s">
        <v>226</v>
      </c>
      <c r="G371" s="56" t="s">
        <v>212</v>
      </c>
      <c r="J371">
        <f>MIN(VLOOKUP($A371,raw[],10,FALSE)*(1+interactive!$C$7),0.999)</f>
        <v>0.69510000000000005</v>
      </c>
      <c r="K371">
        <f>MIN(VLOOKUP($A371,raw[],11,FALSE)*(1+interactive!$C$7),0.999)</f>
        <v>0</v>
      </c>
      <c r="L371">
        <f>MIN(VLOOKUP($A371,raw[],12,FALSE)*(1+interactive!$C$7),0.999)</f>
        <v>0.80850000000000011</v>
      </c>
      <c r="M371">
        <v>3.3300000000000003E-2</v>
      </c>
      <c r="N371">
        <f>IFERROR(VLOOKUP($A371,[2]!hbe_prev[#Data],5,FALSE),0)</f>
        <v>0.35830000000000001</v>
      </c>
      <c r="O371">
        <f>VLOOKUP($F371,[2]!hbe_risk[#All],4,FALSE)</f>
        <v>0.9</v>
      </c>
      <c r="P371">
        <f>VLOOKUP($F371,[2]!hbe_risk[#All],7,FALSE)</f>
        <v>0.3</v>
      </c>
      <c r="Q371">
        <v>7.4591044585987305</v>
      </c>
      <c r="R371">
        <v>116.44490445859874</v>
      </c>
      <c r="S371">
        <v>150.23580828511695</v>
      </c>
      <c r="T371">
        <v>152.61480396848594</v>
      </c>
      <c r="U371">
        <v>151.52241943624551</v>
      </c>
      <c r="V371">
        <v>2.5152380856619945</v>
      </c>
      <c r="W371">
        <v>4.4155779197206719</v>
      </c>
      <c r="X371">
        <v>2.5011209438135142</v>
      </c>
      <c r="Y371">
        <v>4.4014607778721917</v>
      </c>
      <c r="Z371">
        <v>4.3928922026284667</v>
      </c>
      <c r="AA371">
        <v>2.5184958876270285</v>
      </c>
      <c r="AB371">
        <v>4.4188357216857064</v>
      </c>
      <c r="AC371">
        <f>VLOOKUP($A371,raw[],29,FALSE)*(1+interactive!$C$7)</f>
        <v>6.4400227499999962E-2</v>
      </c>
      <c r="AD371">
        <f>VLOOKUP($A371,raw[],30,FALSE)*(1+interactive!$C$7)</f>
        <v>3.7936031483814339E-3</v>
      </c>
      <c r="AE371">
        <f>VLOOKUP($A371,raw[],31,FALSE)*(1+interactive!$C$7)</f>
        <v>1.1150690452710593E-3</v>
      </c>
      <c r="AF371">
        <f>VLOOKUP($A371,raw[],32,FALSE)*(1+interactive!$C$7)</f>
        <v>7.1842002086396019E-4</v>
      </c>
      <c r="AG371">
        <f>VLOOKUP($A371,raw[],33,FALSE)*(1+interactive!$C$7)</f>
        <v>9.4642577808832075E-4</v>
      </c>
      <c r="AH371">
        <f>VLOOKUP($A371,raw[],34,FALSE)*(1+interactive!$C$7)</f>
        <v>1.2680931442002605E-3</v>
      </c>
      <c r="AI371">
        <f>VLOOKUP($A371,raw[],35,FALSE)*(1+interactive!$C$7)</f>
        <v>1.4150865514171729E-3</v>
      </c>
      <c r="AJ371">
        <f>VLOOKUP($A371,raw[],36,FALSE)*(1+interactive!$C$7)</f>
        <v>1.7783554963479496E-3</v>
      </c>
      <c r="AK371">
        <f>VLOOKUP($A371,raw[],37,FALSE)*(1+interactive!$C$7)</f>
        <v>2.37201597563336E-3</v>
      </c>
      <c r="AL371">
        <f>VLOOKUP($A371,raw[],38,FALSE)*(1+interactive!$C$7)</f>
        <v>3.3433648981504365E-3</v>
      </c>
      <c r="AM371">
        <f>VLOOKUP($A371,raw[],39,FALSE)*(1+interactive!$C$7)</f>
        <v>4.9296437868407237E-3</v>
      </c>
      <c r="AN371">
        <f>VLOOKUP($A371,raw[],40,FALSE)*(1+interactive!$C$7)</f>
        <v>7.5127547656911068E-3</v>
      </c>
      <c r="AO371">
        <f>VLOOKUP($A371,raw[],41,FALSE)*(1+interactive!$C$7)</f>
        <v>1.1637091909780331E-2</v>
      </c>
      <c r="AP371">
        <f>VLOOKUP($A371,raw[],42,FALSE)*(1+interactive!$C$7)</f>
        <v>1.8628526120419119E-2</v>
      </c>
      <c r="AQ371">
        <f>VLOOKUP($A371,raw[],43,FALSE)*(1+interactive!$C$7)</f>
        <v>2.9021238649259751E-2</v>
      </c>
      <c r="AR371">
        <f>VLOOKUP($A371,raw[],44,FALSE)*(1+interactive!$C$7)</f>
        <v>4.4277806492189549E-2</v>
      </c>
      <c r="AS371">
        <f>VLOOKUP($A371,raw[],45,FALSE)*(1+interactive!$C$7)</f>
        <v>6.70581995120276E-2</v>
      </c>
      <c r="AT371">
        <f>VLOOKUP($A371,raw[],46,FALSE)*(1+interactive!$C$7)</f>
        <v>9.9138582817684159E-2</v>
      </c>
      <c r="AU371">
        <f>VLOOKUP($A371,raw[],47,FALSE)*(1+interactive!$C$7)</f>
        <v>0.13863188325012804</v>
      </c>
      <c r="AV371">
        <f>VLOOKUP($A371,raw[],48,FALSE)*(1+interactive!$C$7)</f>
        <v>0.17178126405684202</v>
      </c>
      <c r="AW371">
        <f>VLOOKUP($A371,raw[],49,FALSE)*(1+interactive!$C$7)</f>
        <v>0.19023737618341166</v>
      </c>
      <c r="AX371">
        <f>VLOOKUP($A371,raw[],50,FALSE)*(1+interactive!$C$7)</f>
        <v>70.367850000000004</v>
      </c>
    </row>
    <row r="372" spans="1:50" x14ac:dyDescent="0.25">
      <c r="A372" s="53" t="s">
        <v>412</v>
      </c>
      <c r="B372" s="54" t="s">
        <v>413</v>
      </c>
      <c r="C372" s="54">
        <v>275</v>
      </c>
      <c r="D372" s="54" t="s">
        <v>196</v>
      </c>
      <c r="E372" s="54" t="s">
        <v>197</v>
      </c>
      <c r="F372" s="54" t="s">
        <v>197</v>
      </c>
      <c r="G372" s="54" t="s">
        <v>212</v>
      </c>
      <c r="J372">
        <f>MIN(VLOOKUP($A372,raw[],10,FALSE)*(1+interactive!$C$7),0.999)</f>
        <v>0.999</v>
      </c>
      <c r="K372">
        <f>MIN(VLOOKUP($A372,raw[],11,FALSE)*(1+interactive!$C$7),0.999)</f>
        <v>0.999</v>
      </c>
      <c r="L372">
        <f>MIN(VLOOKUP($A372,raw[],12,FALSE)*(1+interactive!$C$7),0.999)</f>
        <v>0.999</v>
      </c>
      <c r="M372">
        <v>0</v>
      </c>
      <c r="N372">
        <f>IFERROR(VLOOKUP($A372,[2]!hbe_prev[#Data],5,FALSE),0)</f>
        <v>0</v>
      </c>
      <c r="O372">
        <f>VLOOKUP($F372,[2]!hbe_risk[#All],4,FALSE)</f>
        <v>0.9</v>
      </c>
      <c r="P372">
        <f>VLOOKUP($F372,[2]!hbe_risk[#All],7,FALSE)</f>
        <v>0.3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f>VLOOKUP($A372,raw[],29,FALSE)*(1+interactive!$C$7)</f>
        <v>1.8333493500000062E-2</v>
      </c>
      <c r="AD372">
        <f>VLOOKUP($A372,raw[],30,FALSE)*(1+interactive!$C$7)</f>
        <v>7.7777557713120185E-4</v>
      </c>
      <c r="AE372">
        <f>VLOOKUP($A372,raw[],31,FALSE)*(1+interactive!$C$7)</f>
        <v>3.6304126408925647E-4</v>
      </c>
      <c r="AF372">
        <f>VLOOKUP($A372,raw[],32,FALSE)*(1+interactive!$C$7)</f>
        <v>3.043871760934072E-4</v>
      </c>
      <c r="AG372">
        <f>VLOOKUP($A372,raw[],33,FALSE)*(1+interactive!$C$7)</f>
        <v>5.6220080406564816E-4</v>
      </c>
      <c r="AH372">
        <f>VLOOKUP($A372,raw[],34,FALSE)*(1+interactive!$C$7)</f>
        <v>7.8587713560795177E-4</v>
      </c>
      <c r="AI372">
        <f>VLOOKUP($A372,raw[],35,FALSE)*(1+interactive!$C$7)</f>
        <v>8.4716979360521176E-4</v>
      </c>
      <c r="AJ372">
        <f>VLOOKUP($A372,raw[],36,FALSE)*(1+interactive!$C$7)</f>
        <v>9.9932650293776113E-4</v>
      </c>
      <c r="AK372">
        <f>VLOOKUP($A372,raw[],37,FALSE)*(1+interactive!$C$7)</f>
        <v>1.3356998771681531E-3</v>
      </c>
      <c r="AL372">
        <f>VLOOKUP($A372,raw[],38,FALSE)*(1+interactive!$C$7)</f>
        <v>2.0208929928033957E-3</v>
      </c>
      <c r="AM372">
        <f>VLOOKUP($A372,raw[],39,FALSE)*(1+interactive!$C$7)</f>
        <v>3.373602566345381E-3</v>
      </c>
      <c r="AN372">
        <f>VLOOKUP($A372,raw[],40,FALSE)*(1+interactive!$C$7)</f>
        <v>5.4799534004566991E-3</v>
      </c>
      <c r="AO372">
        <f>VLOOKUP($A372,raw[],41,FALSE)*(1+interactive!$C$7)</f>
        <v>9.0294380720136579E-3</v>
      </c>
      <c r="AP372">
        <f>VLOOKUP($A372,raw[],42,FALSE)*(1+interactive!$C$7)</f>
        <v>1.4424106704932039E-2</v>
      </c>
      <c r="AQ372">
        <f>VLOOKUP($A372,raw[],43,FALSE)*(1+interactive!$C$7)</f>
        <v>2.385603653397635E-2</v>
      </c>
      <c r="AR372">
        <f>VLOOKUP($A372,raw[],44,FALSE)*(1+interactive!$C$7)</f>
        <v>3.8996120809076787E-2</v>
      </c>
      <c r="AS372">
        <f>VLOOKUP($A372,raw[],45,FALSE)*(1+interactive!$C$7)</f>
        <v>6.1425810721154231E-2</v>
      </c>
      <c r="AT372">
        <f>VLOOKUP($A372,raw[],46,FALSE)*(1+interactive!$C$7)</f>
        <v>9.3868040908042391E-2</v>
      </c>
      <c r="AU372">
        <f>VLOOKUP($A372,raw[],47,FALSE)*(1+interactive!$C$7)</f>
        <v>0.13085606737825306</v>
      </c>
      <c r="AV372">
        <f>VLOOKUP($A372,raw[],48,FALSE)*(1+interactive!$C$7)</f>
        <v>0.16267174375891894</v>
      </c>
      <c r="AW372">
        <f>VLOOKUP($A372,raw[],49,FALSE)*(1+interactive!$C$7)</f>
        <v>0.18483485301367081</v>
      </c>
      <c r="AX372">
        <f>VLOOKUP($A372,raw[],50,FALSE)*(1+interactive!$C$7)</f>
        <v>77.506800000000013</v>
      </c>
    </row>
    <row r="373" spans="1:50" x14ac:dyDescent="0.25">
      <c r="A373" s="55" t="s">
        <v>414</v>
      </c>
      <c r="B373" s="56" t="s">
        <v>415</v>
      </c>
      <c r="C373" s="56">
        <v>598</v>
      </c>
      <c r="D373" s="56" t="s">
        <v>260</v>
      </c>
      <c r="E373" s="56" t="s">
        <v>309</v>
      </c>
      <c r="F373" s="56" t="s">
        <v>262</v>
      </c>
      <c r="G373" s="56" t="s">
        <v>212</v>
      </c>
      <c r="J373">
        <f>MIN(VLOOKUP($A373,raw[],10,FALSE)*(1+interactive!$C$7),0.999)</f>
        <v>0.57435000000000003</v>
      </c>
      <c r="K373">
        <f>MIN(VLOOKUP($A373,raw[],11,FALSE)*(1+interactive!$C$7),0.999)</f>
        <v>0.252</v>
      </c>
      <c r="L373">
        <f>MIN(VLOOKUP($A373,raw[],12,FALSE)*(1+interactive!$C$7),0.999)</f>
        <v>0.40950000000000003</v>
      </c>
      <c r="M373">
        <v>6.6100000000000006E-2</v>
      </c>
      <c r="N373">
        <f>IFERROR(VLOOKUP($A373,[2]!hbe_prev[#Data],5,FALSE),0)</f>
        <v>0.47889999999999999</v>
      </c>
      <c r="O373">
        <f>VLOOKUP($F373,[2]!hbe_risk[#All],4,FALSE)</f>
        <v>0.9</v>
      </c>
      <c r="P373">
        <f>VLOOKUP($F373,[2]!hbe_risk[#All],7,FALSE)</f>
        <v>0.3</v>
      </c>
      <c r="Q373">
        <v>12.517533333333331</v>
      </c>
      <c r="R373">
        <v>121.50333333333334</v>
      </c>
      <c r="S373">
        <v>162.52113300948417</v>
      </c>
      <c r="T373">
        <v>168.66147539428439</v>
      </c>
      <c r="U373">
        <v>165.84195996148748</v>
      </c>
      <c r="V373">
        <v>3.9623007569686428</v>
      </c>
      <c r="W373">
        <v>4.6238007569686426</v>
      </c>
      <c r="X373">
        <v>3.9324309003964926</v>
      </c>
      <c r="Y373">
        <v>4.5939309003964928</v>
      </c>
      <c r="Z373">
        <v>4.5775918335536065</v>
      </c>
      <c r="AA373">
        <v>3.9691938007929854</v>
      </c>
      <c r="AB373">
        <v>4.6306938007929856</v>
      </c>
      <c r="AC373">
        <f>VLOOKUP($A373,raw[],29,FALSE)*(1+interactive!$C$7)</f>
        <v>4.405847249999998E-2</v>
      </c>
      <c r="AD373">
        <f>VLOOKUP($A373,raw[],30,FALSE)*(1+interactive!$C$7)</f>
        <v>3.03119362347827E-3</v>
      </c>
      <c r="AE373">
        <f>VLOOKUP($A373,raw[],31,FALSE)*(1+interactive!$C$7)</f>
        <v>1.2297920578149789E-3</v>
      </c>
      <c r="AF373">
        <f>VLOOKUP($A373,raw[],32,FALSE)*(1+interactive!$C$7)</f>
        <v>9.7104510172090213E-4</v>
      </c>
      <c r="AG373">
        <f>VLOOKUP($A373,raw[],33,FALSE)*(1+interactive!$C$7)</f>
        <v>1.7595462507148725E-3</v>
      </c>
      <c r="AH373">
        <f>VLOOKUP($A373,raw[],34,FALSE)*(1+interactive!$C$7)</f>
        <v>2.3735883228267951E-3</v>
      </c>
      <c r="AI373">
        <f>VLOOKUP($A373,raw[],35,FALSE)*(1+interactive!$C$7)</f>
        <v>2.5794803963847886E-3</v>
      </c>
      <c r="AJ373">
        <f>VLOOKUP($A373,raw[],36,FALSE)*(1+interactive!$C$7)</f>
        <v>2.9988667000573816E-3</v>
      </c>
      <c r="AK373">
        <f>VLOOKUP($A373,raw[],37,FALSE)*(1+interactive!$C$7)</f>
        <v>3.8246633108025225E-3</v>
      </c>
      <c r="AL373">
        <f>VLOOKUP($A373,raw[],38,FALSE)*(1+interactive!$C$7)</f>
        <v>5.1034100160954792E-3</v>
      </c>
      <c r="AM373">
        <f>VLOOKUP($A373,raw[],39,FALSE)*(1+interactive!$C$7)</f>
        <v>7.2077630159116035E-3</v>
      </c>
      <c r="AN373">
        <f>VLOOKUP($A373,raw[],40,FALSE)*(1+interactive!$C$7)</f>
        <v>1.0489755547877224E-2</v>
      </c>
      <c r="AO373">
        <f>VLOOKUP($A373,raw[],41,FALSE)*(1+interactive!$C$7)</f>
        <v>1.5400901755609332E-2</v>
      </c>
      <c r="AP373">
        <f>VLOOKUP($A373,raw[],42,FALSE)*(1+interactive!$C$7)</f>
        <v>2.5488614353958279E-2</v>
      </c>
      <c r="AQ373">
        <f>VLOOKUP($A373,raw[],43,FALSE)*(1+interactive!$C$7)</f>
        <v>4.1881185408583425E-2</v>
      </c>
      <c r="AR373">
        <f>VLOOKUP($A373,raw[],44,FALSE)*(1+interactive!$C$7)</f>
        <v>6.5071687443200424E-2</v>
      </c>
      <c r="AS373">
        <f>VLOOKUP($A373,raw[],45,FALSE)*(1+interactive!$C$7)</f>
        <v>9.4105646333746379E-2</v>
      </c>
      <c r="AT373">
        <f>VLOOKUP($A373,raw[],46,FALSE)*(1+interactive!$C$7)</f>
        <v>0.12784274308655114</v>
      </c>
      <c r="AU373">
        <f>VLOOKUP($A373,raw[],47,FALSE)*(1+interactive!$C$7)</f>
        <v>0.1607844487902659</v>
      </c>
      <c r="AV373">
        <f>VLOOKUP($A373,raw[],48,FALSE)*(1+interactive!$C$7)</f>
        <v>0.18368851298036062</v>
      </c>
      <c r="AW373">
        <f>VLOOKUP($A373,raw[],49,FALSE)*(1+interactive!$C$7)</f>
        <v>0.19574218075663177</v>
      </c>
      <c r="AX373">
        <f>VLOOKUP($A373,raw[],50,FALSE)*(1+interactive!$C$7)</f>
        <v>67.358549999999994</v>
      </c>
    </row>
    <row r="374" spans="1:50" x14ac:dyDescent="0.25">
      <c r="A374" s="53" t="s">
        <v>416</v>
      </c>
      <c r="B374" s="54" t="s">
        <v>417</v>
      </c>
      <c r="C374" s="54">
        <v>600</v>
      </c>
      <c r="D374" s="54" t="s">
        <v>215</v>
      </c>
      <c r="E374" s="54" t="s">
        <v>248</v>
      </c>
      <c r="F374" s="54" t="s">
        <v>217</v>
      </c>
      <c r="G374" s="54" t="s">
        <v>204</v>
      </c>
      <c r="J374">
        <f>MIN(VLOOKUP($A374,raw[],10,FALSE)*(1+interactive!$C$7),0.999)</f>
        <v>0.97860000000000014</v>
      </c>
      <c r="K374">
        <f>MIN(VLOOKUP($A374,raw[],11,FALSE)*(1+interactive!$C$7),0.999)</f>
        <v>0</v>
      </c>
      <c r="L374">
        <f>MIN(VLOOKUP($A374,raw[],12,FALSE)*(1+interactive!$C$7),0.999)</f>
        <v>0.82950000000000013</v>
      </c>
      <c r="M374">
        <v>9.6000000000000002E-2</v>
      </c>
      <c r="N374">
        <f>IFERROR(VLOOKUP($A374,[2]!hbe_prev[#Data],5,FALSE),0)</f>
        <v>0.433</v>
      </c>
      <c r="O374">
        <f>VLOOKUP($F374,[2]!hbe_risk[#All],4,FALSE)</f>
        <v>0.9</v>
      </c>
      <c r="P374">
        <f>VLOOKUP($F374,[2]!hbe_risk[#All],7,FALSE)</f>
        <v>0.3</v>
      </c>
      <c r="Q374">
        <v>15.7220535080956</v>
      </c>
      <c r="R374">
        <v>124.70785350809561</v>
      </c>
      <c r="S374">
        <v>177.69299148207816</v>
      </c>
      <c r="T374">
        <v>190.06191517869414</v>
      </c>
      <c r="U374">
        <v>184.38236686294809</v>
      </c>
      <c r="V374">
        <v>8.7764027748571252</v>
      </c>
      <c r="W374">
        <v>8.797402774857126</v>
      </c>
      <c r="X374">
        <v>8.7459949792315168</v>
      </c>
      <c r="Y374">
        <v>8.7669949792315176</v>
      </c>
      <c r="Z374">
        <v>8.749636032680824</v>
      </c>
      <c r="AA374">
        <v>8.7834199584630355</v>
      </c>
      <c r="AB374">
        <v>8.8044199584630363</v>
      </c>
      <c r="AC374">
        <f>VLOOKUP($A374,raw[],29,FALSE)*(1+interactive!$C$7)</f>
        <v>1.9976155499999947E-2</v>
      </c>
      <c r="AD374">
        <f>VLOOKUP($A374,raw[],30,FALSE)*(1+interactive!$C$7)</f>
        <v>6.592395990401873E-4</v>
      </c>
      <c r="AE374">
        <f>VLOOKUP($A374,raw[],31,FALSE)*(1+interactive!$C$7)</f>
        <v>5.7916826893027835E-4</v>
      </c>
      <c r="AF374">
        <f>VLOOKUP($A374,raw[],32,FALSE)*(1+interactive!$C$7)</f>
        <v>4.7146081707474412E-4</v>
      </c>
      <c r="AG374">
        <f>VLOOKUP($A374,raw[],33,FALSE)*(1+interactive!$C$7)</f>
        <v>1.1044011379980467E-3</v>
      </c>
      <c r="AH374">
        <f>VLOOKUP($A374,raw[],34,FALSE)*(1+interactive!$C$7)</f>
        <v>1.6797931964436898E-3</v>
      </c>
      <c r="AI374">
        <f>VLOOKUP($A374,raw[],35,FALSE)*(1+interactive!$C$7)</f>
        <v>2.0468796893475488E-3</v>
      </c>
      <c r="AJ374">
        <f>VLOOKUP($A374,raw[],36,FALSE)*(1+interactive!$C$7)</f>
        <v>2.0848289430453683E-3</v>
      </c>
      <c r="AK374">
        <f>VLOOKUP($A374,raw[],37,FALSE)*(1+interactive!$C$7)</f>
        <v>2.4687142816846338E-3</v>
      </c>
      <c r="AL374">
        <f>VLOOKUP($A374,raw[],38,FALSE)*(1+interactive!$C$7)</f>
        <v>3.0219827186275883E-3</v>
      </c>
      <c r="AM374">
        <f>VLOOKUP($A374,raw[],39,FALSE)*(1+interactive!$C$7)</f>
        <v>4.411863782036984E-3</v>
      </c>
      <c r="AN374">
        <f>VLOOKUP($A374,raw[],40,FALSE)*(1+interactive!$C$7)</f>
        <v>6.4042733334096456E-3</v>
      </c>
      <c r="AO374">
        <f>VLOOKUP($A374,raw[],41,FALSE)*(1+interactive!$C$7)</f>
        <v>8.9608625956854454E-3</v>
      </c>
      <c r="AP374">
        <f>VLOOKUP($A374,raw[],42,FALSE)*(1+interactive!$C$7)</f>
        <v>1.3880028017965946E-2</v>
      </c>
      <c r="AQ374">
        <f>VLOOKUP($A374,raw[],43,FALSE)*(1+interactive!$C$7)</f>
        <v>2.0231394411421202E-2</v>
      </c>
      <c r="AR374">
        <f>VLOOKUP($A374,raw[],44,FALSE)*(1+interactive!$C$7)</f>
        <v>2.9089567185078994E-2</v>
      </c>
      <c r="AS374">
        <f>VLOOKUP($A374,raw[],45,FALSE)*(1+interactive!$C$7)</f>
        <v>4.0901654687201923E-2</v>
      </c>
      <c r="AT374">
        <f>VLOOKUP($A374,raw[],46,FALSE)*(1+interactive!$C$7)</f>
        <v>7.3392207369207194E-2</v>
      </c>
      <c r="AU374">
        <f>VLOOKUP($A374,raw[],47,FALSE)*(1+interactive!$C$7)</f>
        <v>0.10490435544868519</v>
      </c>
      <c r="AV374">
        <f>VLOOKUP($A374,raw[],48,FALSE)*(1+interactive!$C$7)</f>
        <v>0.13548066616516596</v>
      </c>
      <c r="AW374">
        <f>VLOOKUP($A374,raw[],49,FALSE)*(1+interactive!$C$7)</f>
        <v>0.16075847424453499</v>
      </c>
      <c r="AX374">
        <f>VLOOKUP($A374,raw[],50,FALSE)*(1+interactive!$C$7)</f>
        <v>77.78609999999999</v>
      </c>
    </row>
    <row r="375" spans="1:50" x14ac:dyDescent="0.25">
      <c r="A375" s="55" t="s">
        <v>418</v>
      </c>
      <c r="B375" s="56" t="s">
        <v>419</v>
      </c>
      <c r="C375" s="56">
        <v>604</v>
      </c>
      <c r="D375" s="56" t="s">
        <v>215</v>
      </c>
      <c r="E375" s="56" t="s">
        <v>240</v>
      </c>
      <c r="F375" s="56" t="s">
        <v>217</v>
      </c>
      <c r="G375" s="56" t="s">
        <v>204</v>
      </c>
      <c r="J375">
        <f>MIN(VLOOKUP($A375,raw[],10,FALSE)*(1+interactive!$C$7),0.999)</f>
        <v>0.95550000000000013</v>
      </c>
      <c r="K375">
        <f>MIN(VLOOKUP($A375,raw[],11,FALSE)*(1+interactive!$C$7),0.999)</f>
        <v>0.78750000000000009</v>
      </c>
      <c r="L375">
        <f>MIN(VLOOKUP($A375,raw[],12,FALSE)*(1+interactive!$C$7),0.999)</f>
        <v>0.75600000000000001</v>
      </c>
      <c r="M375">
        <v>1.3100000000000001E-2</v>
      </c>
      <c r="N375">
        <f>IFERROR(VLOOKUP($A375,[2]!hbe_prev[#Data],5,FALSE),0)</f>
        <v>0.43020000000000003</v>
      </c>
      <c r="O375">
        <f>VLOOKUP($F375,[2]!hbe_risk[#All],4,FALSE)</f>
        <v>0.9</v>
      </c>
      <c r="P375">
        <f>VLOOKUP($F375,[2]!hbe_risk[#All],7,FALSE)</f>
        <v>0.3</v>
      </c>
      <c r="Q375">
        <v>25.268881806178999</v>
      </c>
      <c r="R375">
        <v>134.25468180617901</v>
      </c>
      <c r="S375">
        <v>211.40077083568872</v>
      </c>
      <c r="T375">
        <v>236.3446251037432</v>
      </c>
      <c r="U375">
        <v>224.89093446976321</v>
      </c>
      <c r="V375">
        <v>6.7081337872711657</v>
      </c>
      <c r="W375">
        <v>6.7291337872711656</v>
      </c>
      <c r="X375">
        <v>6.6716549860806431</v>
      </c>
      <c r="Y375">
        <v>6.692654986080643</v>
      </c>
      <c r="Z375">
        <v>6.6723411385855718</v>
      </c>
      <c r="AA375">
        <v>6.7165519721612865</v>
      </c>
      <c r="AB375">
        <v>6.7375519721612864</v>
      </c>
      <c r="AC375">
        <f>VLOOKUP($A375,raw[],29,FALSE)*(1+interactive!$C$7)</f>
        <v>1.3426759500000015E-2</v>
      </c>
      <c r="AD375">
        <f>VLOOKUP($A375,raw[],30,FALSE)*(1+interactive!$C$7)</f>
        <v>9.1898555165335015E-4</v>
      </c>
      <c r="AE375">
        <f>VLOOKUP($A375,raw[],31,FALSE)*(1+interactive!$C$7)</f>
        <v>5.196993467326505E-4</v>
      </c>
      <c r="AF375">
        <f>VLOOKUP($A375,raw[],32,FALSE)*(1+interactive!$C$7)</f>
        <v>3.5268426491479884E-4</v>
      </c>
      <c r="AG375">
        <f>VLOOKUP($A375,raw[],33,FALSE)*(1+interactive!$C$7)</f>
        <v>8.3423264624480308E-4</v>
      </c>
      <c r="AH375">
        <f>VLOOKUP($A375,raw[],34,FALSE)*(1+interactive!$C$7)</f>
        <v>1.2393025676174282E-3</v>
      </c>
      <c r="AI375">
        <f>VLOOKUP($A375,raw[],35,FALSE)*(1+interactive!$C$7)</f>
        <v>1.6079807878475031E-3</v>
      </c>
      <c r="AJ375">
        <f>VLOOKUP($A375,raw[],36,FALSE)*(1+interactive!$C$7)</f>
        <v>1.7676069527859284E-3</v>
      </c>
      <c r="AK375">
        <f>VLOOKUP($A375,raw[],37,FALSE)*(1+interactive!$C$7)</f>
        <v>2.1137470717851872E-3</v>
      </c>
      <c r="AL375">
        <f>VLOOKUP($A375,raw[],38,FALSE)*(1+interactive!$C$7)</f>
        <v>2.6939064887440017E-3</v>
      </c>
      <c r="AM375">
        <f>VLOOKUP($A375,raw[],39,FALSE)*(1+interactive!$C$7)</f>
        <v>3.5935612215692763E-3</v>
      </c>
      <c r="AN375">
        <f>VLOOKUP($A375,raw[],40,FALSE)*(1+interactive!$C$7)</f>
        <v>4.9975000639995177E-3</v>
      </c>
      <c r="AO375">
        <f>VLOOKUP($A375,raw[],41,FALSE)*(1+interactive!$C$7)</f>
        <v>7.1320586307002031E-3</v>
      </c>
      <c r="AP375">
        <f>VLOOKUP($A375,raw[],42,FALSE)*(1+interactive!$C$7)</f>
        <v>1.075482940435377E-2</v>
      </c>
      <c r="AQ375">
        <f>VLOOKUP($A375,raw[],43,FALSE)*(1+interactive!$C$7)</f>
        <v>1.603789158604892E-2</v>
      </c>
      <c r="AR375">
        <f>VLOOKUP($A375,raw[],44,FALSE)*(1+interactive!$C$7)</f>
        <v>2.7057960046562624E-2</v>
      </c>
      <c r="AS375">
        <f>VLOOKUP($A375,raw[],45,FALSE)*(1+interactive!$C$7)</f>
        <v>4.187231319509372E-2</v>
      </c>
      <c r="AT375">
        <f>VLOOKUP($A375,raw[],46,FALSE)*(1+interactive!$C$7)</f>
        <v>6.5694086397326934E-2</v>
      </c>
      <c r="AU375">
        <f>VLOOKUP($A375,raw[],47,FALSE)*(1+interactive!$C$7)</f>
        <v>9.7817125060168778E-2</v>
      </c>
      <c r="AV375">
        <f>VLOOKUP($A375,raw[],48,FALSE)*(1+interactive!$C$7)</f>
        <v>0.12983467794754508</v>
      </c>
      <c r="AW375">
        <f>VLOOKUP($A375,raw[],49,FALSE)*(1+interactive!$C$7)</f>
        <v>0.15742495312577165</v>
      </c>
      <c r="AX375">
        <f>VLOOKUP($A375,raw[],50,FALSE)*(1+interactive!$C$7)</f>
        <v>80.229450000000014</v>
      </c>
    </row>
    <row r="376" spans="1:50" x14ac:dyDescent="0.25">
      <c r="A376" s="53" t="s">
        <v>420</v>
      </c>
      <c r="B376" s="54" t="s">
        <v>421</v>
      </c>
      <c r="C376" s="54">
        <v>608</v>
      </c>
      <c r="D376" s="54" t="s">
        <v>260</v>
      </c>
      <c r="E376" s="54" t="s">
        <v>261</v>
      </c>
      <c r="F376" s="54" t="s">
        <v>262</v>
      </c>
      <c r="G376" s="54" t="s">
        <v>212</v>
      </c>
      <c r="J376">
        <f>MIN(VLOOKUP($A376,raw[],10,FALSE)*(1+interactive!$C$7),0.999)</f>
        <v>0.81585000000000008</v>
      </c>
      <c r="K376">
        <f>MIN(VLOOKUP($A376,raw[],11,FALSE)*(1+interactive!$C$7),0.999)</f>
        <v>0.55650000000000011</v>
      </c>
      <c r="L376">
        <f>MIN(VLOOKUP($A376,raw[],12,FALSE)*(1+interactive!$C$7),0.999)</f>
        <v>0.74549999999999994</v>
      </c>
      <c r="M376">
        <v>3.8399999999999997E-2</v>
      </c>
      <c r="N376">
        <f>IFERROR(VLOOKUP($A376,[2]!hbe_prev[#Data],5,FALSE),0)</f>
        <v>0.4773</v>
      </c>
      <c r="O376">
        <f>VLOOKUP($F376,[2]!hbe_risk[#All],4,FALSE)</f>
        <v>0.9</v>
      </c>
      <c r="P376">
        <f>VLOOKUP($F376,[2]!hbe_risk[#All],7,FALSE)</f>
        <v>0.3</v>
      </c>
      <c r="Q376">
        <v>11.161843835616441</v>
      </c>
      <c r="R376">
        <v>120.14764383561645</v>
      </c>
      <c r="S376">
        <v>160.39399616911948</v>
      </c>
      <c r="T376">
        <v>166.13282717504134</v>
      </c>
      <c r="U376">
        <v>163.49767728055602</v>
      </c>
      <c r="V376">
        <v>3.0268236229721484</v>
      </c>
      <c r="W376">
        <v>3.6883236229721486</v>
      </c>
      <c r="X376">
        <v>2.9912719299156678</v>
      </c>
      <c r="Y376">
        <v>3.652771929915668</v>
      </c>
      <c r="Z376">
        <v>3.6334517747088633</v>
      </c>
      <c r="AA376">
        <v>3.0350278598313363</v>
      </c>
      <c r="AB376">
        <v>3.6965278598313365</v>
      </c>
      <c r="AC376">
        <f>VLOOKUP($A376,raw[],29,FALSE)*(1+interactive!$C$7)</f>
        <v>2.0638337999999968E-2</v>
      </c>
      <c r="AD376">
        <f>VLOOKUP($A376,raw[],30,FALSE)*(1+interactive!$C$7)</f>
        <v>2.1465544803824163E-3</v>
      </c>
      <c r="AE376">
        <f>VLOOKUP($A376,raw[],31,FALSE)*(1+interactive!$C$7)</f>
        <v>6.436360115665569E-4</v>
      </c>
      <c r="AF376">
        <f>VLOOKUP($A376,raw[],32,FALSE)*(1+interactive!$C$7)</f>
        <v>5.5867260014132159E-4</v>
      </c>
      <c r="AG376">
        <f>VLOOKUP($A376,raw[],33,FALSE)*(1+interactive!$C$7)</f>
        <v>1.1950531300706849E-3</v>
      </c>
      <c r="AH376">
        <f>VLOOKUP($A376,raw[],34,FALSE)*(1+interactive!$C$7)</f>
        <v>1.6716158278059919E-3</v>
      </c>
      <c r="AI376">
        <f>VLOOKUP($A376,raw[],35,FALSE)*(1+interactive!$C$7)</f>
        <v>1.826884382083029E-3</v>
      </c>
      <c r="AJ376">
        <f>VLOOKUP($A376,raw[],36,FALSE)*(1+interactive!$C$7)</f>
        <v>2.1801471394451923E-3</v>
      </c>
      <c r="AK376">
        <f>VLOOKUP($A376,raw[],37,FALSE)*(1+interactive!$C$7)</f>
        <v>2.8934391959445343E-3</v>
      </c>
      <c r="AL376">
        <f>VLOOKUP($A376,raw[],38,FALSE)*(1+interactive!$C$7)</f>
        <v>4.061991232646698E-3</v>
      </c>
      <c r="AM376">
        <f>VLOOKUP($A376,raw[],39,FALSE)*(1+interactive!$C$7)</f>
        <v>6.0182455659779097E-3</v>
      </c>
      <c r="AN376">
        <f>VLOOKUP($A376,raw[],40,FALSE)*(1+interactive!$C$7)</f>
        <v>9.0041804842055512E-3</v>
      </c>
      <c r="AO376">
        <f>VLOOKUP($A376,raw[],41,FALSE)*(1+interactive!$C$7)</f>
        <v>1.3434441287582026E-2</v>
      </c>
      <c r="AP376">
        <f>VLOOKUP($A376,raw[],42,FALSE)*(1+interactive!$C$7)</f>
        <v>1.8310575699432279E-2</v>
      </c>
      <c r="AQ376">
        <f>VLOOKUP($A376,raw[],43,FALSE)*(1+interactive!$C$7)</f>
        <v>2.4708956083751128E-2</v>
      </c>
      <c r="AR376">
        <f>VLOOKUP($A376,raw[],44,FALSE)*(1+interactive!$C$7)</f>
        <v>3.5444719476318963E-2</v>
      </c>
      <c r="AS376">
        <f>VLOOKUP($A376,raw[],45,FALSE)*(1+interactive!$C$7)</f>
        <v>5.4321709075467496E-2</v>
      </c>
      <c r="AT376">
        <f>VLOOKUP($A376,raw[],46,FALSE)*(1+interactive!$C$7)</f>
        <v>7.9794365327861591E-2</v>
      </c>
      <c r="AU376">
        <f>VLOOKUP($A376,raw[],47,FALSE)*(1+interactive!$C$7)</f>
        <v>0.10999647594111628</v>
      </c>
      <c r="AV376">
        <f>VLOOKUP($A376,raw[],48,FALSE)*(1+interactive!$C$7)</f>
        <v>0.13885622289473876</v>
      </c>
      <c r="AW376">
        <f>VLOOKUP($A376,raw[],49,FALSE)*(1+interactive!$C$7)</f>
        <v>0.16463104304132126</v>
      </c>
      <c r="AX376">
        <f>VLOOKUP($A376,raw[],50,FALSE)*(1+interactive!$C$7)</f>
        <v>74.586749999999995</v>
      </c>
    </row>
    <row r="377" spans="1:50" x14ac:dyDescent="0.25">
      <c r="A377" s="55" t="s">
        <v>422</v>
      </c>
      <c r="B377" s="56" t="s">
        <v>423</v>
      </c>
      <c r="C377" s="56">
        <v>642</v>
      </c>
      <c r="D377" s="56" t="s">
        <v>201</v>
      </c>
      <c r="E377" s="56" t="s">
        <v>202</v>
      </c>
      <c r="F377" s="56" t="s">
        <v>203</v>
      </c>
      <c r="G377" s="56" t="s">
        <v>204</v>
      </c>
      <c r="J377">
        <f>MIN(VLOOKUP($A377,raw[],10,FALSE)*(1+interactive!$C$7),0.999)</f>
        <v>0.99645000000000006</v>
      </c>
      <c r="K377">
        <f>MIN(VLOOKUP($A377,raw[],11,FALSE)*(1+interactive!$C$7),0.999)</f>
        <v>0.999</v>
      </c>
      <c r="L377">
        <f>MIN(VLOOKUP($A377,raw[],12,FALSE)*(1+interactive!$C$7),0.999)</f>
        <v>0.91349999999999998</v>
      </c>
      <c r="M377">
        <v>4.4699999999999997E-2</v>
      </c>
      <c r="N377">
        <f>IFERROR(VLOOKUP($A377,[2]!hbe_prev[#Data],5,FALSE),0)</f>
        <v>0.42849999999999999</v>
      </c>
      <c r="O377">
        <f>VLOOKUP($F377,[2]!hbe_risk[#All],4,FALSE)</f>
        <v>0.9</v>
      </c>
      <c r="P377">
        <f>VLOOKUP($F377,[2]!hbe_risk[#All],7,FALSE)</f>
        <v>0.3</v>
      </c>
      <c r="Q377">
        <v>32.896352263374496</v>
      </c>
      <c r="R377">
        <v>141.88215226337451</v>
      </c>
      <c r="S377">
        <v>253.94048812810053</v>
      </c>
      <c r="T377">
        <v>297.05494665079743</v>
      </c>
      <c r="U377">
        <v>277.25769862072991</v>
      </c>
      <c r="V377">
        <v>9.9597826121561273</v>
      </c>
      <c r="W377">
        <v>14.233282612156128</v>
      </c>
      <c r="X377">
        <v>9.8839869584309668</v>
      </c>
      <c r="Y377">
        <v>14.157486958430967</v>
      </c>
      <c r="Z377">
        <v>14.115943565455281</v>
      </c>
      <c r="AA377">
        <v>9.9772739168619324</v>
      </c>
      <c r="AB377">
        <v>14.250773916861933</v>
      </c>
      <c r="AC377">
        <f>VLOOKUP($A377,raw[],29,FALSE)*(1+interactive!$C$7)</f>
        <v>7.0184519999999901E-3</v>
      </c>
      <c r="AD377">
        <f>VLOOKUP($A377,raw[],30,FALSE)*(1+interactive!$C$7)</f>
        <v>3.1834325773710554E-4</v>
      </c>
      <c r="AE377">
        <f>VLOOKUP($A377,raw[],31,FALSE)*(1+interactive!$C$7)</f>
        <v>1.4962940693952795E-4</v>
      </c>
      <c r="AF377">
        <f>VLOOKUP($A377,raw[],32,FALSE)*(1+interactive!$C$7)</f>
        <v>2.0458284709961075E-4</v>
      </c>
      <c r="AG377">
        <f>VLOOKUP($A377,raw[],33,FALSE)*(1+interactive!$C$7)</f>
        <v>3.7920874231048008E-4</v>
      </c>
      <c r="AH377">
        <f>VLOOKUP($A377,raw[],34,FALSE)*(1+interactive!$C$7)</f>
        <v>4.9271677979517009E-4</v>
      </c>
      <c r="AI377">
        <f>VLOOKUP($A377,raw[],35,FALSE)*(1+interactive!$C$7)</f>
        <v>6.8378951808910923E-4</v>
      </c>
      <c r="AJ377">
        <f>VLOOKUP($A377,raw[],36,FALSE)*(1+interactive!$C$7)</f>
        <v>7.8254756719900031E-4</v>
      </c>
      <c r="AK377">
        <f>VLOOKUP($A377,raw[],37,FALSE)*(1+interactive!$C$7)</f>
        <v>1.2626091406555792E-3</v>
      </c>
      <c r="AL377">
        <f>VLOOKUP($A377,raw[],38,FALSE)*(1+interactive!$C$7)</f>
        <v>2.356641519909749E-3</v>
      </c>
      <c r="AM377">
        <f>VLOOKUP($A377,raw[],39,FALSE)*(1+interactive!$C$7)</f>
        <v>3.7139673608463765E-3</v>
      </c>
      <c r="AN377">
        <f>VLOOKUP($A377,raw[],40,FALSE)*(1+interactive!$C$7)</f>
        <v>6.6573697632187744E-3</v>
      </c>
      <c r="AO377">
        <f>VLOOKUP($A377,raw[],41,FALSE)*(1+interactive!$C$7)</f>
        <v>1.1168292730980739E-2</v>
      </c>
      <c r="AP377">
        <f>VLOOKUP($A377,raw[],42,FALSE)*(1+interactive!$C$7)</f>
        <v>1.612834392871175E-2</v>
      </c>
      <c r="AQ377">
        <f>VLOOKUP($A377,raw[],43,FALSE)*(1+interactive!$C$7)</f>
        <v>2.0966345575680733E-2</v>
      </c>
      <c r="AR377">
        <f>VLOOKUP($A377,raw[],44,FALSE)*(1+interactive!$C$7)</f>
        <v>3.0368320793221909E-2</v>
      </c>
      <c r="AS377">
        <f>VLOOKUP($A377,raw[],45,FALSE)*(1+interactive!$C$7)</f>
        <v>4.855983006970082E-2</v>
      </c>
      <c r="AT377">
        <f>VLOOKUP($A377,raw[],46,FALSE)*(1+interactive!$C$7)</f>
        <v>7.719790908925693E-2</v>
      </c>
      <c r="AU377">
        <f>VLOOKUP($A377,raw[],47,FALSE)*(1+interactive!$C$7)</f>
        <v>0.1140872377370121</v>
      </c>
      <c r="AV377">
        <f>VLOOKUP($A377,raw[],48,FALSE)*(1+interactive!$C$7)</f>
        <v>0.149963715098276</v>
      </c>
      <c r="AW377">
        <f>VLOOKUP($A377,raw[],49,FALSE)*(1+interactive!$C$7)</f>
        <v>0.1767863205967124</v>
      </c>
      <c r="AX377">
        <f>VLOOKUP($A377,raw[],50,FALSE)*(1+interactive!$C$7)</f>
        <v>79.618350000000007</v>
      </c>
    </row>
    <row r="378" spans="1:50" x14ac:dyDescent="0.25">
      <c r="A378" s="53" t="s">
        <v>424</v>
      </c>
      <c r="B378" s="54" t="s">
        <v>425</v>
      </c>
      <c r="C378" s="54">
        <v>643</v>
      </c>
      <c r="D378" s="54" t="s">
        <v>201</v>
      </c>
      <c r="E378" s="54" t="s">
        <v>229</v>
      </c>
      <c r="F378" s="54" t="s">
        <v>203</v>
      </c>
      <c r="G378" s="54" t="s">
        <v>204</v>
      </c>
      <c r="J378">
        <f>MIN(VLOOKUP($A378,raw[],10,FALSE)*(1+interactive!$C$7),0.999)</f>
        <v>0.999</v>
      </c>
      <c r="K378">
        <f>MIN(VLOOKUP($A378,raw[],11,FALSE)*(1+interactive!$C$7),0.999)</f>
        <v>0</v>
      </c>
      <c r="L378">
        <f>MIN(VLOOKUP($A378,raw[],12,FALSE)*(1+interactive!$C$7),0.999)</f>
        <v>0.999</v>
      </c>
      <c r="M378">
        <v>3.5499999999999997E-2</v>
      </c>
      <c r="N378">
        <f>IFERROR(VLOOKUP($A378,[2]!hbe_prev[#Data],5,FALSE),0)</f>
        <v>0.42969999999999997</v>
      </c>
      <c r="O378">
        <f>VLOOKUP($F378,[2]!hbe_risk[#All],4,FALSE)</f>
        <v>0.9</v>
      </c>
      <c r="P378">
        <f>VLOOKUP($F378,[2]!hbe_risk[#All],7,FALSE)</f>
        <v>0.3</v>
      </c>
      <c r="Q378">
        <v>45.5942844248341</v>
      </c>
      <c r="R378">
        <v>154.58008442483413</v>
      </c>
      <c r="S378">
        <v>310.59046790390164</v>
      </c>
      <c r="T378">
        <v>376.58043103536556</v>
      </c>
      <c r="U378">
        <v>346.27923481552068</v>
      </c>
      <c r="V378">
        <v>9.7590735912061302</v>
      </c>
      <c r="W378">
        <v>14.03257359120613</v>
      </c>
      <c r="X378">
        <v>9.6993320503206224</v>
      </c>
      <c r="Y378">
        <v>13.972832050320623</v>
      </c>
      <c r="Z378">
        <v>13.939935908430828</v>
      </c>
      <c r="AA378">
        <v>9.7728601006412461</v>
      </c>
      <c r="AB378">
        <v>14.046360100641246</v>
      </c>
      <c r="AC378">
        <f>VLOOKUP($A378,raw[],29,FALSE)*(1+interactive!$C$7)</f>
        <v>6.0464565000000296E-3</v>
      </c>
      <c r="AD378">
        <f>VLOOKUP($A378,raw[],30,FALSE)*(1+interactive!$C$7)</f>
        <v>3.5774496008498814E-4</v>
      </c>
      <c r="AE378">
        <f>VLOOKUP($A378,raw[],31,FALSE)*(1+interactive!$C$7)</f>
        <v>2.0700584018428213E-4</v>
      </c>
      <c r="AF378">
        <f>VLOOKUP($A378,raw[],32,FALSE)*(1+interactive!$C$7)</f>
        <v>2.7298092993022471E-4</v>
      </c>
      <c r="AG378">
        <f>VLOOKUP($A378,raw[],33,FALSE)*(1+interactive!$C$7)</f>
        <v>6.5764226295985642E-4</v>
      </c>
      <c r="AH378">
        <f>VLOOKUP($A378,raw[],34,FALSE)*(1+interactive!$C$7)</f>
        <v>1.1661859369565123E-3</v>
      </c>
      <c r="AI378">
        <f>VLOOKUP($A378,raw[],35,FALSE)*(1+interactive!$C$7)</f>
        <v>1.8728691953136306E-3</v>
      </c>
      <c r="AJ378">
        <f>VLOOKUP($A378,raw[],36,FALSE)*(1+interactive!$C$7)</f>
        <v>3.1430717674886437E-3</v>
      </c>
      <c r="AK378">
        <f>VLOOKUP($A378,raw[],37,FALSE)*(1+interactive!$C$7)</f>
        <v>4.6093032032654673E-3</v>
      </c>
      <c r="AL378">
        <f>VLOOKUP($A378,raw[],38,FALSE)*(1+interactive!$C$7)</f>
        <v>5.5311588229761529E-3</v>
      </c>
      <c r="AM378">
        <f>VLOOKUP($A378,raw[],39,FALSE)*(1+interactive!$C$7)</f>
        <v>6.796692394021967E-3</v>
      </c>
      <c r="AN378">
        <f>VLOOKUP($A378,raw[],40,FALSE)*(1+interactive!$C$7)</f>
        <v>9.2742136261744039E-3</v>
      </c>
      <c r="AO378">
        <f>VLOOKUP($A378,raw[],41,FALSE)*(1+interactive!$C$7)</f>
        <v>1.2947815628750636E-2</v>
      </c>
      <c r="AP378">
        <f>VLOOKUP($A378,raw[],42,FALSE)*(1+interactive!$C$7)</f>
        <v>1.862264817536869E-2</v>
      </c>
      <c r="AQ378">
        <f>VLOOKUP($A378,raw[],43,FALSE)*(1+interactive!$C$7)</f>
        <v>2.517794933955975E-2</v>
      </c>
      <c r="AR378">
        <f>VLOOKUP($A378,raw[],44,FALSE)*(1+interactive!$C$7)</f>
        <v>3.4732336754161791E-2</v>
      </c>
      <c r="AS378">
        <f>VLOOKUP($A378,raw[],45,FALSE)*(1+interactive!$C$7)</f>
        <v>5.2165040151178954E-2</v>
      </c>
      <c r="AT378">
        <f>VLOOKUP($A378,raw[],46,FALSE)*(1+interactive!$C$7)</f>
        <v>7.845871077585416E-2</v>
      </c>
      <c r="AU378">
        <f>VLOOKUP($A378,raw[],47,FALSE)*(1+interactive!$C$7)</f>
        <v>0.10570432653906629</v>
      </c>
      <c r="AV378">
        <f>VLOOKUP($A378,raw[],48,FALSE)*(1+interactive!$C$7)</f>
        <v>0.13830285190340175</v>
      </c>
      <c r="AW378">
        <f>VLOOKUP($A378,raw[],49,FALSE)*(1+interactive!$C$7)</f>
        <v>0.16643607731717763</v>
      </c>
      <c r="AX378">
        <f>VLOOKUP($A378,raw[],50,FALSE)*(1+interactive!$C$7)</f>
        <v>75.903450000000007</v>
      </c>
    </row>
    <row r="379" spans="1:50" x14ac:dyDescent="0.25">
      <c r="A379" s="55" t="s">
        <v>426</v>
      </c>
      <c r="B379" s="56" t="s">
        <v>427</v>
      </c>
      <c r="C379" s="56">
        <v>646</v>
      </c>
      <c r="D379" s="56" t="s">
        <v>207</v>
      </c>
      <c r="E379" s="56" t="s">
        <v>255</v>
      </c>
      <c r="F379" s="56" t="s">
        <v>211</v>
      </c>
      <c r="G379" s="56" t="s">
        <v>198</v>
      </c>
      <c r="J379">
        <f>MIN(VLOOKUP($A379,raw[],10,FALSE)*(1+interactive!$C$7),0.999)</f>
        <v>0.95235000000000003</v>
      </c>
      <c r="K379">
        <f>MIN(VLOOKUP($A379,raw[],11,FALSE)*(1+interactive!$C$7),0.999)</f>
        <v>0</v>
      </c>
      <c r="L379">
        <f>MIN(VLOOKUP($A379,raw[],12,FALSE)*(1+interactive!$C$7),0.999)</f>
        <v>0.95550000000000013</v>
      </c>
      <c r="M379">
        <v>2.7099999999999999E-2</v>
      </c>
      <c r="N379">
        <f>IFERROR(VLOOKUP($A379,[2]!hbe_prev[#Data],5,FALSE),0)</f>
        <v>0.39960000000000001</v>
      </c>
      <c r="O379">
        <f>VLOOKUP($F379,[2]!hbe_risk[#All],4,FALSE)</f>
        <v>0.74399999999999999</v>
      </c>
      <c r="P379">
        <f>VLOOKUP($F379,[2]!hbe_risk[#All],7,FALSE)</f>
        <v>0.13300000000000001</v>
      </c>
      <c r="Q379">
        <v>6.9838296296296303</v>
      </c>
      <c r="R379">
        <v>115.96962962962964</v>
      </c>
      <c r="S379">
        <v>147.95808870236351</v>
      </c>
      <c r="T379">
        <v>149.3989748889002</v>
      </c>
      <c r="U379">
        <v>148.73735040849652</v>
      </c>
      <c r="V379">
        <v>6.1509549953788092</v>
      </c>
      <c r="W379">
        <v>11.22245499537881</v>
      </c>
      <c r="X379">
        <v>6.1378693767607224</v>
      </c>
      <c r="Y379">
        <v>11.209369376760723</v>
      </c>
      <c r="Z379">
        <v>11.202375313044708</v>
      </c>
      <c r="AA379">
        <v>6.1539747535214451</v>
      </c>
      <c r="AB379">
        <v>11.225474753521446</v>
      </c>
      <c r="AC379">
        <f>VLOOKUP($A379,raw[],29,FALSE)*(1+interactive!$C$7)</f>
        <v>3.0654372000000079E-2</v>
      </c>
      <c r="AD379">
        <f>VLOOKUP($A379,raw[],30,FALSE)*(1+interactive!$C$7)</f>
        <v>2.4909484688053016E-3</v>
      </c>
      <c r="AE379">
        <f>VLOOKUP($A379,raw[],31,FALSE)*(1+interactive!$C$7)</f>
        <v>9.9582778815158102E-4</v>
      </c>
      <c r="AF379">
        <f>VLOOKUP($A379,raw[],32,FALSE)*(1+interactive!$C$7)</f>
        <v>7.7091027859474588E-4</v>
      </c>
      <c r="AG379">
        <f>VLOOKUP($A379,raw[],33,FALSE)*(1+interactive!$C$7)</f>
        <v>1.3471433721220184E-3</v>
      </c>
      <c r="AH379">
        <f>VLOOKUP($A379,raw[],34,FALSE)*(1+interactive!$C$7)</f>
        <v>2.0279120052268222E-3</v>
      </c>
      <c r="AI379">
        <f>VLOOKUP($A379,raw[],35,FALSE)*(1+interactive!$C$7)</f>
        <v>2.4482049791448727E-3</v>
      </c>
      <c r="AJ379">
        <f>VLOOKUP($A379,raw[],36,FALSE)*(1+interactive!$C$7)</f>
        <v>2.9457602370713061E-3</v>
      </c>
      <c r="AK379">
        <f>VLOOKUP($A379,raw[],37,FALSE)*(1+interactive!$C$7)</f>
        <v>3.6939413007960149E-3</v>
      </c>
      <c r="AL379">
        <f>VLOOKUP($A379,raw[],38,FALSE)*(1+interactive!$C$7)</f>
        <v>4.7426844855669422E-3</v>
      </c>
      <c r="AM379">
        <f>VLOOKUP($A379,raw[],39,FALSE)*(1+interactive!$C$7)</f>
        <v>6.1139704638213371E-3</v>
      </c>
      <c r="AN379">
        <f>VLOOKUP($A379,raw[],40,FALSE)*(1+interactive!$C$7)</f>
        <v>8.837210710149826E-3</v>
      </c>
      <c r="AO379">
        <f>VLOOKUP($A379,raw[],41,FALSE)*(1+interactive!$C$7)</f>
        <v>1.1905570264579857E-2</v>
      </c>
      <c r="AP379">
        <f>VLOOKUP($A379,raw[],42,FALSE)*(1+interactive!$C$7)</f>
        <v>1.7797746980497641E-2</v>
      </c>
      <c r="AQ379">
        <f>VLOOKUP($A379,raw[],43,FALSE)*(1+interactive!$C$7)</f>
        <v>2.7382773098479352E-2</v>
      </c>
      <c r="AR379">
        <f>VLOOKUP($A379,raw[],44,FALSE)*(1+interactive!$C$7)</f>
        <v>4.2356243392157364E-2</v>
      </c>
      <c r="AS379">
        <f>VLOOKUP($A379,raw[],45,FALSE)*(1+interactive!$C$7)</f>
        <v>6.5541076566441619E-2</v>
      </c>
      <c r="AT379">
        <f>VLOOKUP($A379,raw[],46,FALSE)*(1+interactive!$C$7)</f>
        <v>9.9793804988603949E-2</v>
      </c>
      <c r="AU379">
        <f>VLOOKUP($A379,raw[],47,FALSE)*(1+interactive!$C$7)</f>
        <v>0.14126396326921803</v>
      </c>
      <c r="AV379">
        <f>VLOOKUP($A379,raw[],48,FALSE)*(1+interactive!$C$7)</f>
        <v>0.18033380815689359</v>
      </c>
      <c r="AW379">
        <f>VLOOKUP($A379,raw[],49,FALSE)*(1+interactive!$C$7)</f>
        <v>0.19646060307566926</v>
      </c>
      <c r="AX379">
        <f>VLOOKUP($A379,raw[],50,FALSE)*(1+interactive!$C$7)</f>
        <v>71.85990000000001</v>
      </c>
    </row>
    <row r="380" spans="1:50" x14ac:dyDescent="0.25">
      <c r="A380" s="53" t="s">
        <v>428</v>
      </c>
      <c r="B380" s="54" t="s">
        <v>429</v>
      </c>
      <c r="C380" s="54">
        <v>662</v>
      </c>
      <c r="D380" s="54" t="s">
        <v>215</v>
      </c>
      <c r="E380" s="54" t="s">
        <v>232</v>
      </c>
      <c r="F380" s="54" t="s">
        <v>217</v>
      </c>
      <c r="G380" s="54" t="s">
        <v>204</v>
      </c>
      <c r="J380">
        <f>MIN(VLOOKUP($A380,raw[],10,FALSE)*(1+interactive!$C$7),0.999)</f>
        <v>0.999</v>
      </c>
      <c r="K380">
        <f>MIN(VLOOKUP($A380,raw[],11,FALSE)*(1+interactive!$C$7),0.999)</f>
        <v>0.90300000000000002</v>
      </c>
      <c r="L380">
        <f>MIN(VLOOKUP($A380,raw[],12,FALSE)*(1+interactive!$C$7),0.999)</f>
        <v>0.90300000000000002</v>
      </c>
      <c r="M380">
        <v>4.7E-2</v>
      </c>
      <c r="N380">
        <f>IFERROR(VLOOKUP($A380,[2]!hbe_prev[#Data],5,FALSE),0)</f>
        <v>0.43</v>
      </c>
      <c r="O380">
        <f>VLOOKUP($F380,[2]!hbe_risk[#All],4,FALSE)</f>
        <v>0.9</v>
      </c>
      <c r="P380">
        <f>VLOOKUP($F380,[2]!hbe_risk[#All],7,FALSE)</f>
        <v>0.3</v>
      </c>
      <c r="Q380">
        <v>34.976862195655301</v>
      </c>
      <c r="R380">
        <v>143.9626621956553</v>
      </c>
      <c r="S380">
        <v>252.64089661030837</v>
      </c>
      <c r="T380">
        <v>293.99613046666661</v>
      </c>
      <c r="U380">
        <v>275.00668121810952</v>
      </c>
      <c r="V380">
        <v>31.514899158312616</v>
      </c>
      <c r="W380">
        <v>31.535899158312617</v>
      </c>
      <c r="X380">
        <v>31.464460432172476</v>
      </c>
      <c r="Y380">
        <v>31.485460432172477</v>
      </c>
      <c r="Z380">
        <v>31.458708942477802</v>
      </c>
      <c r="AA380">
        <v>31.526538864344957</v>
      </c>
      <c r="AB380">
        <v>31.547538864344958</v>
      </c>
      <c r="AC380">
        <f>VLOOKUP($A380,raw[],29,FALSE)*(1+interactive!$C$7)</f>
        <v>1.3114941000000014E-2</v>
      </c>
      <c r="AD380">
        <f>VLOOKUP($A380,raw[],30,FALSE)*(1+interactive!$C$7)</f>
        <v>9.6928414102067588E-4</v>
      </c>
      <c r="AE380">
        <f>VLOOKUP($A380,raw[],31,FALSE)*(1+interactive!$C$7)</f>
        <v>3.5429407619163282E-4</v>
      </c>
      <c r="AF380">
        <f>VLOOKUP($A380,raw[],32,FALSE)*(1+interactive!$C$7)</f>
        <v>3.2914214399403326E-4</v>
      </c>
      <c r="AG380">
        <f>VLOOKUP($A380,raw[],33,FALSE)*(1+interactive!$C$7)</f>
        <v>7.7762395340663843E-4</v>
      </c>
      <c r="AH380">
        <f>VLOOKUP($A380,raw[],34,FALSE)*(1+interactive!$C$7)</f>
        <v>1.0609999372794764E-3</v>
      </c>
      <c r="AI380">
        <f>VLOOKUP($A380,raw[],35,FALSE)*(1+interactive!$C$7)</f>
        <v>1.1264154387034234E-3</v>
      </c>
      <c r="AJ380">
        <f>VLOOKUP($A380,raw[],36,FALSE)*(1+interactive!$C$7)</f>
        <v>1.3526802595224669E-3</v>
      </c>
      <c r="AK380">
        <f>VLOOKUP($A380,raw[],37,FALSE)*(1+interactive!$C$7)</f>
        <v>1.860717228947579E-3</v>
      </c>
      <c r="AL380">
        <f>VLOOKUP($A380,raw[],38,FALSE)*(1+interactive!$C$7)</f>
        <v>2.7492377476178689E-3</v>
      </c>
      <c r="AM380">
        <f>VLOOKUP($A380,raw[],39,FALSE)*(1+interactive!$C$7)</f>
        <v>4.3008484235198541E-3</v>
      </c>
      <c r="AN380">
        <f>VLOOKUP($A380,raw[],40,FALSE)*(1+interactive!$C$7)</f>
        <v>6.7539839874340892E-3</v>
      </c>
      <c r="AO380">
        <f>VLOOKUP($A380,raw[],41,FALSE)*(1+interactive!$C$7)</f>
        <v>1.0473548839332105E-2</v>
      </c>
      <c r="AP380">
        <f>VLOOKUP($A380,raw[],42,FALSE)*(1+interactive!$C$7)</f>
        <v>1.3216112054242713E-2</v>
      </c>
      <c r="AQ380">
        <f>VLOOKUP($A380,raw[],43,FALSE)*(1+interactive!$C$7)</f>
        <v>1.6874830616333686E-2</v>
      </c>
      <c r="AR380">
        <f>VLOOKUP($A380,raw[],44,FALSE)*(1+interactive!$C$7)</f>
        <v>2.4673985700019597E-2</v>
      </c>
      <c r="AS380">
        <f>VLOOKUP($A380,raw[],45,FALSE)*(1+interactive!$C$7)</f>
        <v>4.1255118641149287E-2</v>
      </c>
      <c r="AT380">
        <f>VLOOKUP($A380,raw[],46,FALSE)*(1+interactive!$C$7)</f>
        <v>6.5343643191350761E-2</v>
      </c>
      <c r="AU380">
        <f>VLOOKUP($A380,raw[],47,FALSE)*(1+interactive!$C$7)</f>
        <v>9.6651828296388381E-2</v>
      </c>
      <c r="AV380">
        <f>VLOOKUP($A380,raw[],48,FALSE)*(1+interactive!$C$7)</f>
        <v>0.12812321381809724</v>
      </c>
      <c r="AW380">
        <f>VLOOKUP($A380,raw[],49,FALSE)*(1+interactive!$C$7)</f>
        <v>0.15393380431120357</v>
      </c>
      <c r="AX380">
        <f>VLOOKUP($A380,raw[],50,FALSE)*(1+interactive!$C$7)</f>
        <v>79.791600000000003</v>
      </c>
    </row>
    <row r="381" spans="1:50" x14ac:dyDescent="0.25">
      <c r="A381" s="55" t="s">
        <v>430</v>
      </c>
      <c r="B381" s="56" t="s">
        <v>431</v>
      </c>
      <c r="C381" s="56">
        <v>670</v>
      </c>
      <c r="D381" s="56" t="s">
        <v>215</v>
      </c>
      <c r="E381" s="56" t="s">
        <v>232</v>
      </c>
      <c r="F381" s="56" t="s">
        <v>217</v>
      </c>
      <c r="G381" s="56" t="s">
        <v>204</v>
      </c>
      <c r="J381">
        <f>MIN(VLOOKUP($A381,raw[],10,FALSE)*(1+interactive!$C$7),0.999)</f>
        <v>0</v>
      </c>
      <c r="K381">
        <f>MIN(VLOOKUP($A381,raw[],11,FALSE)*(1+interactive!$C$7),0.999)</f>
        <v>0.999</v>
      </c>
      <c r="L381">
        <f>MIN(VLOOKUP($A381,raw[],12,FALSE)*(1+interactive!$C$7),0.999)</f>
        <v>0.999</v>
      </c>
      <c r="M381">
        <v>4.4800000000000006E-2</v>
      </c>
      <c r="N381">
        <f>IFERROR(VLOOKUP($A381,[2]!hbe_prev[#Data],5,FALSE),0)</f>
        <v>0.43</v>
      </c>
      <c r="O381">
        <f>VLOOKUP($F381,[2]!hbe_risk[#All],4,FALSE)</f>
        <v>0.9</v>
      </c>
      <c r="P381">
        <f>VLOOKUP($F381,[2]!hbe_risk[#All],7,FALSE)</f>
        <v>0.3</v>
      </c>
      <c r="Q381">
        <v>31.401039965600802</v>
      </c>
      <c r="R381">
        <v>140.38683996560081</v>
      </c>
      <c r="S381">
        <v>237.23008881114427</v>
      </c>
      <c r="T381">
        <v>272.42562632510692</v>
      </c>
      <c r="U381">
        <v>256.26457943758408</v>
      </c>
      <c r="V381">
        <v>34.132051957481394</v>
      </c>
      <c r="W381">
        <v>34.153051957481395</v>
      </c>
      <c r="X381">
        <v>34.091109148955248</v>
      </c>
      <c r="Y381">
        <v>34.112109148955248</v>
      </c>
      <c r="Z381">
        <v>34.090919917239994</v>
      </c>
      <c r="AA381">
        <v>34.141500297910504</v>
      </c>
      <c r="AB381">
        <v>34.162500297910505</v>
      </c>
      <c r="AC381">
        <f>VLOOKUP($A381,raw[],29,FALSE)*(1+interactive!$C$7)</f>
        <v>1.5396706500000031E-2</v>
      </c>
      <c r="AD381">
        <f>VLOOKUP($A381,raw[],30,FALSE)*(1+interactive!$C$7)</f>
        <v>3.5722175694966491E-4</v>
      </c>
      <c r="AE381">
        <f>VLOOKUP($A381,raw[],31,FALSE)*(1+interactive!$C$7)</f>
        <v>4.4769896222502542E-4</v>
      </c>
      <c r="AF381">
        <f>VLOOKUP($A381,raw[],32,FALSE)*(1+interactive!$C$7)</f>
        <v>4.3206543491592107E-4</v>
      </c>
      <c r="AG381">
        <f>VLOOKUP($A381,raw[],33,FALSE)*(1+interactive!$C$7)</f>
        <v>1.0483566625908982E-3</v>
      </c>
      <c r="AH381">
        <f>VLOOKUP($A381,raw[],34,FALSE)*(1+interactive!$C$7)</f>
        <v>1.4750764541849083E-3</v>
      </c>
      <c r="AI381">
        <f>VLOOKUP($A381,raw[],35,FALSE)*(1+interactive!$C$7)</f>
        <v>1.6074671838935495E-3</v>
      </c>
      <c r="AJ381">
        <f>VLOOKUP($A381,raw[],36,FALSE)*(1+interactive!$C$7)</f>
        <v>1.9157841862392664E-3</v>
      </c>
      <c r="AK381">
        <f>VLOOKUP($A381,raw[],37,FALSE)*(1+interactive!$C$7)</f>
        <v>2.5518550269312658E-3</v>
      </c>
      <c r="AL381">
        <f>VLOOKUP($A381,raw[],38,FALSE)*(1+interactive!$C$7)</f>
        <v>3.6451614165565155E-3</v>
      </c>
      <c r="AM381">
        <f>VLOOKUP($A381,raw[],39,FALSE)*(1+interactive!$C$7)</f>
        <v>5.4699162930085029E-3</v>
      </c>
      <c r="AN381">
        <f>VLOOKUP($A381,raw[],40,FALSE)*(1+interactive!$C$7)</f>
        <v>8.2427151119795899E-3</v>
      </c>
      <c r="AO381">
        <f>VLOOKUP($A381,raw[],41,FALSE)*(1+interactive!$C$7)</f>
        <v>1.239638384573174E-2</v>
      </c>
      <c r="AP381">
        <f>VLOOKUP($A381,raw[],42,FALSE)*(1+interactive!$C$7)</f>
        <v>1.7424882136101202E-2</v>
      </c>
      <c r="AQ381">
        <f>VLOOKUP($A381,raw[],43,FALSE)*(1+interactive!$C$7)</f>
        <v>2.436128683685642E-2</v>
      </c>
      <c r="AR381">
        <f>VLOOKUP($A381,raw[],44,FALSE)*(1+interactive!$C$7)</f>
        <v>3.6096043109741072E-2</v>
      </c>
      <c r="AS381">
        <f>VLOOKUP($A381,raw[],45,FALSE)*(1+interactive!$C$7)</f>
        <v>5.5869033584551163E-2</v>
      </c>
      <c r="AT381">
        <f>VLOOKUP($A381,raw[],46,FALSE)*(1+interactive!$C$7)</f>
        <v>8.3542506444369086E-2</v>
      </c>
      <c r="AU381">
        <f>VLOOKUP($A381,raw[],47,FALSE)*(1+interactive!$C$7)</f>
        <v>0.11767608616351675</v>
      </c>
      <c r="AV381">
        <f>VLOOKUP($A381,raw[],48,FALSE)*(1+interactive!$C$7)</f>
        <v>0.15088182105392789</v>
      </c>
      <c r="AW381">
        <f>VLOOKUP($A381,raw[],49,FALSE)*(1+interactive!$C$7)</f>
        <v>0.17717706780699219</v>
      </c>
      <c r="AX381">
        <f>VLOOKUP($A381,raw[],50,FALSE)*(1+interactive!$C$7)</f>
        <v>75.978000000000009</v>
      </c>
    </row>
    <row r="382" spans="1:50" x14ac:dyDescent="0.25">
      <c r="A382" s="53" t="s">
        <v>432</v>
      </c>
      <c r="B382" s="54" t="s">
        <v>433</v>
      </c>
      <c r="C382" s="54">
        <v>882</v>
      </c>
      <c r="D382" s="54" t="s">
        <v>260</v>
      </c>
      <c r="E382" s="54" t="s">
        <v>309</v>
      </c>
      <c r="F382" s="54" t="s">
        <v>262</v>
      </c>
      <c r="G382" s="54" t="s">
        <v>204</v>
      </c>
      <c r="J382">
        <f>MIN(VLOOKUP($A382,raw[],10,FALSE)*(1+interactive!$C$7),0.999)</f>
        <v>0.8599500000000001</v>
      </c>
      <c r="K382">
        <f>MIN(VLOOKUP($A382,raw[],11,FALSE)*(1+interactive!$C$7),0.999)</f>
        <v>0.82950000000000013</v>
      </c>
      <c r="L382">
        <f>MIN(VLOOKUP($A382,raw[],12,FALSE)*(1+interactive!$C$7),0.999)</f>
        <v>0.75600000000000001</v>
      </c>
      <c r="M382">
        <v>4.07E-2</v>
      </c>
      <c r="N382">
        <f>IFERROR(VLOOKUP($A382,[2]!hbe_prev[#Data],5,FALSE),0)</f>
        <v>0.47889999999999999</v>
      </c>
      <c r="O382">
        <f>VLOOKUP($F382,[2]!hbe_risk[#All],4,FALSE)</f>
        <v>0.9</v>
      </c>
      <c r="P382">
        <f>VLOOKUP($F382,[2]!hbe_risk[#All],7,FALSE)</f>
        <v>0.3</v>
      </c>
      <c r="Q382">
        <v>17.290076993166302</v>
      </c>
      <c r="R382">
        <v>126.27587699316631</v>
      </c>
      <c r="S382">
        <v>177.56665797764464</v>
      </c>
      <c r="T382">
        <v>189.05372808094464</v>
      </c>
      <c r="U382">
        <v>183.77910829523898</v>
      </c>
      <c r="V382">
        <v>8.4150106994484002</v>
      </c>
      <c r="W382">
        <v>9.0765106994484004</v>
      </c>
      <c r="X382">
        <v>8.3710488686611857</v>
      </c>
      <c r="Y382">
        <v>9.0325488686611859</v>
      </c>
      <c r="Z382">
        <v>9.0085741737684266</v>
      </c>
      <c r="AA382">
        <v>8.4251557373223722</v>
      </c>
      <c r="AB382">
        <v>9.0866557373223724</v>
      </c>
      <c r="AC382">
        <f>VLOOKUP($A382,raw[],29,FALSE)*(1+interactive!$C$7)</f>
        <v>1.4124515999999952E-2</v>
      </c>
      <c r="AD382">
        <f>VLOOKUP($A382,raw[],30,FALSE)*(1+interactive!$C$7)</f>
        <v>7.2715209176627156E-4</v>
      </c>
      <c r="AE382">
        <f>VLOOKUP($A382,raw[],31,FALSE)*(1+interactive!$C$7)</f>
        <v>2.8635803608817857E-4</v>
      </c>
      <c r="AF382">
        <f>VLOOKUP($A382,raw[],32,FALSE)*(1+interactive!$C$7)</f>
        <v>2.6110592069791095E-4</v>
      </c>
      <c r="AG382">
        <f>VLOOKUP($A382,raw[],33,FALSE)*(1+interactive!$C$7)</f>
        <v>6.0513896667924833E-4</v>
      </c>
      <c r="AH382">
        <f>VLOOKUP($A382,raw[],34,FALSE)*(1+interactive!$C$7)</f>
        <v>7.8627617005598061E-4</v>
      </c>
      <c r="AI382">
        <f>VLOOKUP($A382,raw[],35,FALSE)*(1+interactive!$C$7)</f>
        <v>8.0473621666191293E-4</v>
      </c>
      <c r="AJ382">
        <f>VLOOKUP($A382,raw[],36,FALSE)*(1+interactive!$C$7)</f>
        <v>9.6403011087892632E-4</v>
      </c>
      <c r="AK382">
        <f>VLOOKUP($A382,raw[],37,FALSE)*(1+interactive!$C$7)</f>
        <v>1.3499798845023015E-3</v>
      </c>
      <c r="AL382">
        <f>VLOOKUP($A382,raw[],38,FALSE)*(1+interactive!$C$7)</f>
        <v>2.0806158041911755E-3</v>
      </c>
      <c r="AM382">
        <f>VLOOKUP($A382,raw[],39,FALSE)*(1+interactive!$C$7)</f>
        <v>3.4282172183551607E-3</v>
      </c>
      <c r="AN382">
        <f>VLOOKUP($A382,raw[],40,FALSE)*(1+interactive!$C$7)</f>
        <v>5.5849036318055727E-3</v>
      </c>
      <c r="AO382">
        <f>VLOOKUP($A382,raw[],41,FALSE)*(1+interactive!$C$7)</f>
        <v>9.0337176023734013E-3</v>
      </c>
      <c r="AP382">
        <f>VLOOKUP($A382,raw[],42,FALSE)*(1+interactive!$C$7)</f>
        <v>1.597585839710872E-2</v>
      </c>
      <c r="AQ382">
        <f>VLOOKUP($A382,raw[],43,FALSE)*(1+interactive!$C$7)</f>
        <v>2.7788822459335446E-2</v>
      </c>
      <c r="AR382">
        <f>VLOOKUP($A382,raw[],44,FALSE)*(1+interactive!$C$7)</f>
        <v>4.5448167932826355E-2</v>
      </c>
      <c r="AS382">
        <f>VLOOKUP($A382,raw[],45,FALSE)*(1+interactive!$C$7)</f>
        <v>7.0890072003811089E-2</v>
      </c>
      <c r="AT382">
        <f>VLOOKUP($A382,raw[],46,FALSE)*(1+interactive!$C$7)</f>
        <v>0.1046553140341394</v>
      </c>
      <c r="AU382">
        <f>VLOOKUP($A382,raw[],47,FALSE)*(1+interactive!$C$7)</f>
        <v>0.14269179176559876</v>
      </c>
      <c r="AV382">
        <f>VLOOKUP($A382,raw[],48,FALSE)*(1+interactive!$C$7)</f>
        <v>0.17435614895547821</v>
      </c>
      <c r="AW382">
        <f>VLOOKUP($A382,raw[],49,FALSE)*(1+interactive!$C$7)</f>
        <v>0.19329810846794404</v>
      </c>
      <c r="AX382">
        <f>VLOOKUP($A382,raw[],50,FALSE)*(1+interactive!$C$7)</f>
        <v>76.766550000000009</v>
      </c>
    </row>
    <row r="383" spans="1:50" x14ac:dyDescent="0.25">
      <c r="A383" s="55" t="s">
        <v>434</v>
      </c>
      <c r="B383" s="56" t="s">
        <v>435</v>
      </c>
      <c r="C383" s="56">
        <v>678</v>
      </c>
      <c r="D383" s="56" t="s">
        <v>207</v>
      </c>
      <c r="E383" s="56" t="s">
        <v>235</v>
      </c>
      <c r="F383" s="56" t="s">
        <v>211</v>
      </c>
      <c r="G383" s="56" t="s">
        <v>212</v>
      </c>
      <c r="J383">
        <f>MIN(VLOOKUP($A383,raw[],10,FALSE)*(1+interactive!$C$7),0.999)</f>
        <v>0.95550000000000013</v>
      </c>
      <c r="K383">
        <f>MIN(VLOOKUP($A383,raw[],11,FALSE)*(1+interactive!$C$7),0.999)</f>
        <v>0.99749999999999994</v>
      </c>
      <c r="L383">
        <f>MIN(VLOOKUP($A383,raw[],12,FALSE)*(1+interactive!$C$7),0.999)</f>
        <v>0.99749999999999994</v>
      </c>
      <c r="M383">
        <v>0.2175</v>
      </c>
      <c r="N383">
        <f>IFERROR(VLOOKUP($A383,[2]!hbe_prev[#Data],5,FALSE),0)</f>
        <v>0</v>
      </c>
      <c r="O383">
        <f>VLOOKUP($F383,[2]!hbe_risk[#All],4,FALSE)</f>
        <v>0.74399999999999999</v>
      </c>
      <c r="P383">
        <f>VLOOKUP($F383,[2]!hbe_risk[#All],7,FALSE)</f>
        <v>0.13300000000000001</v>
      </c>
      <c r="Q383">
        <v>8.3901532595325996</v>
      </c>
      <c r="R383">
        <v>117.37595325953261</v>
      </c>
      <c r="S383">
        <v>151.18423909185657</v>
      </c>
      <c r="T383">
        <v>153.57228150172645</v>
      </c>
      <c r="U383">
        <v>152.47574290390025</v>
      </c>
      <c r="V383">
        <v>18.0967965092042</v>
      </c>
      <c r="W383">
        <v>23.1682965092042</v>
      </c>
      <c r="X383">
        <v>18.073938694733354</v>
      </c>
      <c r="Y383">
        <v>23.145438694733354</v>
      </c>
      <c r="Z383">
        <v>23.133290003301461</v>
      </c>
      <c r="AA383">
        <v>18.102071389466701</v>
      </c>
      <c r="AB383">
        <v>23.173571389466701</v>
      </c>
      <c r="AC383">
        <f>VLOOKUP($A383,raw[],29,FALSE)*(1+interactive!$C$7)</f>
        <v>2.7753547500000073E-2</v>
      </c>
      <c r="AD383">
        <f>VLOOKUP($A383,raw[],30,FALSE)*(1+interactive!$C$7)</f>
        <v>1.5959154062214396E-3</v>
      </c>
      <c r="AE383">
        <f>VLOOKUP($A383,raw[],31,FALSE)*(1+interactive!$C$7)</f>
        <v>6.2153896350049362E-4</v>
      </c>
      <c r="AF383">
        <f>VLOOKUP($A383,raw[],32,FALSE)*(1+interactive!$C$7)</f>
        <v>5.1862833994193846E-4</v>
      </c>
      <c r="AG383">
        <f>VLOOKUP($A383,raw[],33,FALSE)*(1+interactive!$C$7)</f>
        <v>1.0187658297866763E-3</v>
      </c>
      <c r="AH383">
        <f>VLOOKUP($A383,raw[],34,FALSE)*(1+interactive!$C$7)</f>
        <v>1.3361140997932106E-3</v>
      </c>
      <c r="AI383">
        <f>VLOOKUP($A383,raw[],35,FALSE)*(1+interactive!$C$7)</f>
        <v>1.4164407461552382E-3</v>
      </c>
      <c r="AJ383">
        <f>VLOOKUP($A383,raw[],36,FALSE)*(1+interactive!$C$7)</f>
        <v>1.6872894044648249E-3</v>
      </c>
      <c r="AK383">
        <f>VLOOKUP($A383,raw[],37,FALSE)*(1+interactive!$C$7)</f>
        <v>2.2704327512356238E-3</v>
      </c>
      <c r="AL383">
        <f>VLOOKUP($A383,raw[],38,FALSE)*(1+interactive!$C$7)</f>
        <v>3.2498656804114132E-3</v>
      </c>
      <c r="AM383">
        <f>VLOOKUP($A383,raw[],39,FALSE)*(1+interactive!$C$7)</f>
        <v>4.9735195532696402E-3</v>
      </c>
      <c r="AN383">
        <f>VLOOKUP($A383,raw[],40,FALSE)*(1+interactive!$C$7)</f>
        <v>7.6730632608609101E-3</v>
      </c>
      <c r="AO383">
        <f>VLOOKUP($A383,raw[],41,FALSE)*(1+interactive!$C$7)</f>
        <v>1.1864360478755396E-2</v>
      </c>
      <c r="AP383">
        <f>VLOOKUP($A383,raw[],42,FALSE)*(1+interactive!$C$7)</f>
        <v>1.8617499653816458E-2</v>
      </c>
      <c r="AQ383">
        <f>VLOOKUP($A383,raw[],43,FALSE)*(1+interactive!$C$7)</f>
        <v>2.9257652823621198E-2</v>
      </c>
      <c r="AR383">
        <f>VLOOKUP($A383,raw[],44,FALSE)*(1+interactive!$C$7)</f>
        <v>4.5778032157570106E-2</v>
      </c>
      <c r="AS383">
        <f>VLOOKUP($A383,raw[],45,FALSE)*(1+interactive!$C$7)</f>
        <v>6.97992862410175E-2</v>
      </c>
      <c r="AT383">
        <f>VLOOKUP($A383,raw[],46,FALSE)*(1+interactive!$C$7)</f>
        <v>0.10050287135006605</v>
      </c>
      <c r="AU383">
        <f>VLOOKUP($A383,raw[],47,FALSE)*(1+interactive!$C$7)</f>
        <v>0.13190497817650745</v>
      </c>
      <c r="AV383">
        <f>VLOOKUP($A383,raw[],48,FALSE)*(1+interactive!$C$7)</f>
        <v>0.1613277935081692</v>
      </c>
      <c r="AW383">
        <f>VLOOKUP($A383,raw[],49,FALSE)*(1+interactive!$C$7)</f>
        <v>0.18357825611912726</v>
      </c>
      <c r="AX383">
        <f>VLOOKUP($A383,raw[],50,FALSE)*(1+interactive!$C$7)</f>
        <v>73.55040000000001</v>
      </c>
    </row>
    <row r="384" spans="1:50" x14ac:dyDescent="0.25">
      <c r="A384" s="53" t="s">
        <v>436</v>
      </c>
      <c r="B384" s="54" t="s">
        <v>437</v>
      </c>
      <c r="C384" s="54">
        <v>686</v>
      </c>
      <c r="D384" s="54" t="s">
        <v>207</v>
      </c>
      <c r="E384" s="54" t="s">
        <v>235</v>
      </c>
      <c r="F384" s="54" t="s">
        <v>211</v>
      </c>
      <c r="G384" s="54" t="s">
        <v>212</v>
      </c>
      <c r="J384">
        <f>MIN(VLOOKUP($A384,raw[],10,FALSE)*(1+interactive!$C$7),0.999)</f>
        <v>0.85785000000000011</v>
      </c>
      <c r="K384">
        <f>MIN(VLOOKUP($A384,raw[],11,FALSE)*(1+interactive!$C$7),0.999)</f>
        <v>0.90300000000000002</v>
      </c>
      <c r="L384">
        <f>MIN(VLOOKUP($A384,raw[],12,FALSE)*(1+interactive!$C$7),0.999)</f>
        <v>0.96600000000000008</v>
      </c>
      <c r="M384">
        <v>8.0299999999999996E-2</v>
      </c>
      <c r="N384">
        <f>IFERROR(VLOOKUP($A384,[2]!hbe_prev[#Data],5,FALSE),0)</f>
        <v>0.41070000000000001</v>
      </c>
      <c r="O384">
        <f>VLOOKUP($F384,[2]!hbe_risk[#All],4,FALSE)</f>
        <v>0.74399999999999999</v>
      </c>
      <c r="P384">
        <f>VLOOKUP($F384,[2]!hbe_risk[#All],7,FALSE)</f>
        <v>0.13300000000000001</v>
      </c>
      <c r="Q384">
        <v>8.9447027590435297</v>
      </c>
      <c r="R384">
        <v>117.93050275904353</v>
      </c>
      <c r="S384">
        <v>153.08472595458142</v>
      </c>
      <c r="T384">
        <v>156.17328171994887</v>
      </c>
      <c r="U384">
        <v>154.75508219624419</v>
      </c>
      <c r="V384">
        <v>4.5293357160376981</v>
      </c>
      <c r="W384">
        <v>9.6008357160376985</v>
      </c>
      <c r="X384">
        <v>4.5132337743656263</v>
      </c>
      <c r="Y384">
        <v>9.5847337743656276</v>
      </c>
      <c r="Z384">
        <v>9.5758184515682014</v>
      </c>
      <c r="AA384">
        <v>4.5330515487312537</v>
      </c>
      <c r="AB384">
        <v>9.6045515487312549</v>
      </c>
      <c r="AC384">
        <f>VLOOKUP($A384,raw[],29,FALSE)*(1+interactive!$C$7)</f>
        <v>3.4392330000000068E-2</v>
      </c>
      <c r="AD384">
        <f>VLOOKUP($A384,raw[],30,FALSE)*(1+interactive!$C$7)</f>
        <v>3.2229399850337778E-3</v>
      </c>
      <c r="AE384">
        <f>VLOOKUP($A384,raw[],31,FALSE)*(1+interactive!$C$7)</f>
        <v>1.2987881162526778E-3</v>
      </c>
      <c r="AF384">
        <f>VLOOKUP($A384,raw[],32,FALSE)*(1+interactive!$C$7)</f>
        <v>9.0851787584198191E-4</v>
      </c>
      <c r="AG384">
        <f>VLOOKUP($A384,raw[],33,FALSE)*(1+interactive!$C$7)</f>
        <v>1.4143000155137971E-3</v>
      </c>
      <c r="AH384">
        <f>VLOOKUP($A384,raw[],34,FALSE)*(1+interactive!$C$7)</f>
        <v>2.0564883430451066E-3</v>
      </c>
      <c r="AI384">
        <f>VLOOKUP($A384,raw[],35,FALSE)*(1+interactive!$C$7)</f>
        <v>2.2328935651304495E-3</v>
      </c>
      <c r="AJ384">
        <f>VLOOKUP($A384,raw[],36,FALSE)*(1+interactive!$C$7)</f>
        <v>2.6055243985349027E-3</v>
      </c>
      <c r="AK384">
        <f>VLOOKUP($A384,raw[],37,FALSE)*(1+interactive!$C$7)</f>
        <v>3.1215167190386654E-3</v>
      </c>
      <c r="AL384">
        <f>VLOOKUP($A384,raw[],38,FALSE)*(1+interactive!$C$7)</f>
        <v>4.12633762500649E-3</v>
      </c>
      <c r="AM384">
        <f>VLOOKUP($A384,raw[],39,FALSE)*(1+interactive!$C$7)</f>
        <v>5.5062289209261593E-3</v>
      </c>
      <c r="AN384">
        <f>VLOOKUP($A384,raw[],40,FALSE)*(1+interactive!$C$7)</f>
        <v>8.1049984575067915E-3</v>
      </c>
      <c r="AO384">
        <f>VLOOKUP($A384,raw[],41,FALSE)*(1+interactive!$C$7)</f>
        <v>1.1854822153972135E-2</v>
      </c>
      <c r="AP384">
        <f>VLOOKUP($A384,raw[],42,FALSE)*(1+interactive!$C$7)</f>
        <v>1.859985381845012E-2</v>
      </c>
      <c r="AQ384">
        <f>VLOOKUP($A384,raw[],43,FALSE)*(1+interactive!$C$7)</f>
        <v>2.9389379173103674E-2</v>
      </c>
      <c r="AR384">
        <f>VLOOKUP($A384,raw[],44,FALSE)*(1+interactive!$C$7)</f>
        <v>4.886433058745672E-2</v>
      </c>
      <c r="AS384">
        <f>VLOOKUP($A384,raw[],45,FALSE)*(1+interactive!$C$7)</f>
        <v>7.8486788847091066E-2</v>
      </c>
      <c r="AT384">
        <f>VLOOKUP($A384,raw[],46,FALSE)*(1+interactive!$C$7)</f>
        <v>0.11708919332428845</v>
      </c>
      <c r="AU384">
        <f>VLOOKUP($A384,raw[],47,FALSE)*(1+interactive!$C$7)</f>
        <v>0.15477375025316387</v>
      </c>
      <c r="AV384">
        <f>VLOOKUP($A384,raw[],48,FALSE)*(1+interactive!$C$7)</f>
        <v>0.18220875108332996</v>
      </c>
      <c r="AW384">
        <f>VLOOKUP($A384,raw[],49,FALSE)*(1+interactive!$C$7)</f>
        <v>0.19580971762463714</v>
      </c>
      <c r="AX384">
        <f>VLOOKUP($A384,raw[],50,FALSE)*(1+interactive!$C$7)</f>
        <v>70.843500000000006</v>
      </c>
    </row>
    <row r="385" spans="1:50" x14ac:dyDescent="0.25">
      <c r="A385" s="55" t="s">
        <v>438</v>
      </c>
      <c r="B385" s="56" t="s">
        <v>439</v>
      </c>
      <c r="C385" s="56">
        <v>688</v>
      </c>
      <c r="D385" s="56" t="s">
        <v>201</v>
      </c>
      <c r="E385" s="56" t="s">
        <v>202</v>
      </c>
      <c r="F385" s="56" t="s">
        <v>203</v>
      </c>
      <c r="G385" s="56" t="s">
        <v>204</v>
      </c>
      <c r="J385">
        <f>MIN(VLOOKUP($A385,raw[],10,FALSE)*(1+interactive!$C$7),0.999)</f>
        <v>0.999</v>
      </c>
      <c r="K385">
        <f>MIN(VLOOKUP($A385,raw[],11,FALSE)*(1+interactive!$C$7),0.999)</f>
        <v>0.999</v>
      </c>
      <c r="L385">
        <f>MIN(VLOOKUP($A385,raw[],12,FALSE)*(1+interactive!$C$7),0.999)</f>
        <v>0.91349999999999998</v>
      </c>
      <c r="M385">
        <v>1.7000000000000001E-2</v>
      </c>
      <c r="N385">
        <f>IFERROR(VLOOKUP($A385,[2]!hbe_prev[#Data],5,FALSE),0)</f>
        <v>0.42849999999999999</v>
      </c>
      <c r="O385">
        <f>VLOOKUP($F385,[2]!hbe_risk[#All],4,FALSE)</f>
        <v>0.9</v>
      </c>
      <c r="P385">
        <f>VLOOKUP($F385,[2]!hbe_risk[#All],7,FALSE)</f>
        <v>0.3</v>
      </c>
      <c r="Q385">
        <v>23.791993633369898</v>
      </c>
      <c r="R385">
        <v>132.77779363336992</v>
      </c>
      <c r="S385">
        <v>215.81079983525706</v>
      </c>
      <c r="T385">
        <v>243.81858873702376</v>
      </c>
      <c r="U385">
        <v>230.95800408257074</v>
      </c>
      <c r="V385">
        <v>11.655350900938448</v>
      </c>
      <c r="W385">
        <v>15.928850900938448</v>
      </c>
      <c r="X385">
        <v>11.609481117759145</v>
      </c>
      <c r="Y385">
        <v>15.882981117759146</v>
      </c>
      <c r="Z385">
        <v>15.857503357233144</v>
      </c>
      <c r="AA385">
        <v>11.665936235518288</v>
      </c>
      <c r="AB385">
        <v>15.939436235518288</v>
      </c>
      <c r="AC385">
        <f>VLOOKUP($A385,raw[],29,FALSE)*(1+interactive!$C$7)</f>
        <v>5.1445064999999382E-3</v>
      </c>
      <c r="AD385">
        <f>VLOOKUP($A385,raw[],30,FALSE)*(1+interactive!$C$7)</f>
        <v>1.7938151009014202E-4</v>
      </c>
      <c r="AE385">
        <f>VLOOKUP($A385,raw[],31,FALSE)*(1+interactive!$C$7)</f>
        <v>1.051794529649897E-4</v>
      </c>
      <c r="AF385">
        <f>VLOOKUP($A385,raw[],32,FALSE)*(1+interactive!$C$7)</f>
        <v>1.2283846304301146E-4</v>
      </c>
      <c r="AG385">
        <f>VLOOKUP($A385,raw[],33,FALSE)*(1+interactive!$C$7)</f>
        <v>3.1685583986913187E-4</v>
      </c>
      <c r="AH385">
        <f>VLOOKUP($A385,raw[],34,FALSE)*(1+interactive!$C$7)</f>
        <v>4.3605433533571699E-4</v>
      </c>
      <c r="AI385">
        <f>VLOOKUP($A385,raw[],35,FALSE)*(1+interactive!$C$7)</f>
        <v>5.6046665030145149E-4</v>
      </c>
      <c r="AJ385">
        <f>VLOOKUP($A385,raw[],36,FALSE)*(1+interactive!$C$7)</f>
        <v>8.1010334601713297E-4</v>
      </c>
      <c r="AK385">
        <f>VLOOKUP($A385,raw[],37,FALSE)*(1+interactive!$C$7)</f>
        <v>1.1326869250180495E-3</v>
      </c>
      <c r="AL385">
        <f>VLOOKUP($A385,raw[],38,FALSE)*(1+interactive!$C$7)</f>
        <v>1.9082847229071991E-3</v>
      </c>
      <c r="AM385">
        <f>VLOOKUP($A385,raw[],39,FALSE)*(1+interactive!$C$7)</f>
        <v>3.3497813565546639E-3</v>
      </c>
      <c r="AN385">
        <f>VLOOKUP($A385,raw[],40,FALSE)*(1+interactive!$C$7)</f>
        <v>5.8953489645004187E-3</v>
      </c>
      <c r="AO385">
        <f>VLOOKUP($A385,raw[],41,FALSE)*(1+interactive!$C$7)</f>
        <v>9.6207296791513339E-3</v>
      </c>
      <c r="AP385">
        <f>VLOOKUP($A385,raw[],42,FALSE)*(1+interactive!$C$7)</f>
        <v>1.4900944359094047E-2</v>
      </c>
      <c r="AQ385">
        <f>VLOOKUP($A385,raw[],43,FALSE)*(1+interactive!$C$7)</f>
        <v>2.1925944238728286E-2</v>
      </c>
      <c r="AR385">
        <f>VLOOKUP($A385,raw[],44,FALSE)*(1+interactive!$C$7)</f>
        <v>3.3407250295843446E-2</v>
      </c>
      <c r="AS385">
        <f>VLOOKUP($A385,raw[],45,FALSE)*(1+interactive!$C$7)</f>
        <v>5.6172443973619035E-2</v>
      </c>
      <c r="AT385">
        <f>VLOOKUP($A385,raw[],46,FALSE)*(1+interactive!$C$7)</f>
        <v>9.0087643450804777E-2</v>
      </c>
      <c r="AU385">
        <f>VLOOKUP($A385,raw[],47,FALSE)*(1+interactive!$C$7)</f>
        <v>0.1284591426736531</v>
      </c>
      <c r="AV385">
        <f>VLOOKUP($A385,raw[],48,FALSE)*(1+interactive!$C$7)</f>
        <v>0.16832574869781952</v>
      </c>
      <c r="AW385">
        <f>VLOOKUP($A385,raw[],49,FALSE)*(1+interactive!$C$7)</f>
        <v>0.19165542775910896</v>
      </c>
      <c r="AX385">
        <f>VLOOKUP($A385,raw[],50,FALSE)*(1+interactive!$C$7)</f>
        <v>79.560600000000008</v>
      </c>
    </row>
    <row r="386" spans="1:50" x14ac:dyDescent="0.25">
      <c r="A386" s="53" t="s">
        <v>440</v>
      </c>
      <c r="B386" s="54" t="s">
        <v>441</v>
      </c>
      <c r="C386" s="54">
        <v>694</v>
      </c>
      <c r="D386" s="54" t="s">
        <v>207</v>
      </c>
      <c r="E386" s="54" t="s">
        <v>235</v>
      </c>
      <c r="F386" s="54" t="s">
        <v>211</v>
      </c>
      <c r="G386" s="54" t="s">
        <v>198</v>
      </c>
      <c r="J386">
        <f>MIN(VLOOKUP($A386,raw[],10,FALSE)*(1+interactive!$C$7),0.999)</f>
        <v>0.87570000000000014</v>
      </c>
      <c r="K386">
        <f>MIN(VLOOKUP($A386,raw[],11,FALSE)*(1+interactive!$C$7),0.999)</f>
        <v>0</v>
      </c>
      <c r="L386">
        <f>MIN(VLOOKUP($A386,raw[],12,FALSE)*(1+interactive!$C$7),0.999)</f>
        <v>0.95550000000000013</v>
      </c>
      <c r="M386">
        <v>9.0200000000000002E-2</v>
      </c>
      <c r="N386">
        <f>IFERROR(VLOOKUP($A386,[2]!hbe_prev[#Data],5,FALSE),0)</f>
        <v>0.41070000000000001</v>
      </c>
      <c r="O386">
        <f>VLOOKUP($F386,[2]!hbe_risk[#All],4,FALSE)</f>
        <v>0.74399999999999999</v>
      </c>
      <c r="P386">
        <f>VLOOKUP($F386,[2]!hbe_risk[#All],7,FALSE)</f>
        <v>0.13300000000000001</v>
      </c>
      <c r="Q386">
        <v>6.3704244897959201</v>
      </c>
      <c r="R386">
        <v>115.35622448979593</v>
      </c>
      <c r="S386">
        <v>146.4957404910611</v>
      </c>
      <c r="T386">
        <v>147.49478148043281</v>
      </c>
      <c r="U386">
        <v>147.03604297514963</v>
      </c>
      <c r="V386">
        <v>5.0376594749833163</v>
      </c>
      <c r="W386">
        <v>10.109159474983317</v>
      </c>
      <c r="X386">
        <v>5.029304744818381</v>
      </c>
      <c r="Y386">
        <v>10.100804744818381</v>
      </c>
      <c r="Z386">
        <v>10.096338954931337</v>
      </c>
      <c r="AA386">
        <v>5.0395874896367632</v>
      </c>
      <c r="AB386">
        <v>10.111087489636763</v>
      </c>
      <c r="AC386">
        <f>VLOOKUP($A386,raw[],29,FALSE)*(1+interactive!$C$7)</f>
        <v>8.4831589499999943E-2</v>
      </c>
      <c r="AD386">
        <f>VLOOKUP($A386,raw[],30,FALSE)*(1+interactive!$C$7)</f>
        <v>8.4516667234003015E-3</v>
      </c>
      <c r="AE386">
        <f>VLOOKUP($A386,raw[],31,FALSE)*(1+interactive!$C$7)</f>
        <v>3.7388400699392417E-3</v>
      </c>
      <c r="AF386">
        <f>VLOOKUP($A386,raw[],32,FALSE)*(1+interactive!$C$7)</f>
        <v>2.7470184874054835E-3</v>
      </c>
      <c r="AG386">
        <f>VLOOKUP($A386,raw[],33,FALSE)*(1+interactive!$C$7)</f>
        <v>4.5205002319840034E-3</v>
      </c>
      <c r="AH386">
        <f>VLOOKUP($A386,raw[],34,FALSE)*(1+interactive!$C$7)</f>
        <v>6.2916332594958411E-3</v>
      </c>
      <c r="AI386">
        <f>VLOOKUP($A386,raw[],35,FALSE)*(1+interactive!$C$7)</f>
        <v>6.9076282621046235E-3</v>
      </c>
      <c r="AJ386">
        <f>VLOOKUP($A386,raw[],36,FALSE)*(1+interactive!$C$7)</f>
        <v>7.5964884663196359E-3</v>
      </c>
      <c r="AK386">
        <f>VLOOKUP($A386,raw[],37,FALSE)*(1+interactive!$C$7)</f>
        <v>8.7679876868459322E-3</v>
      </c>
      <c r="AL386">
        <f>VLOOKUP($A386,raw[],38,FALSE)*(1+interactive!$C$7)</f>
        <v>1.037911429004715E-2</v>
      </c>
      <c r="AM386">
        <f>VLOOKUP($A386,raw[],39,FALSE)*(1+interactive!$C$7)</f>
        <v>1.273048011527878E-2</v>
      </c>
      <c r="AN386">
        <f>VLOOKUP($A386,raw[],40,FALSE)*(1+interactive!$C$7)</f>
        <v>1.6663069383855963E-2</v>
      </c>
      <c r="AO386">
        <f>VLOOKUP($A386,raw[],41,FALSE)*(1+interactive!$C$7)</f>
        <v>2.2161625678344572E-2</v>
      </c>
      <c r="AP386">
        <f>VLOOKUP($A386,raw[],42,FALSE)*(1+interactive!$C$7)</f>
        <v>3.1209962661911509E-2</v>
      </c>
      <c r="AQ386">
        <f>VLOOKUP($A386,raw[],43,FALSE)*(1+interactive!$C$7)</f>
        <v>4.4152899442848309E-2</v>
      </c>
      <c r="AR386">
        <f>VLOOKUP($A386,raw[],44,FALSE)*(1+interactive!$C$7)</f>
        <v>6.358063905180604E-2</v>
      </c>
      <c r="AS386">
        <f>VLOOKUP($A386,raw[],45,FALSE)*(1+interactive!$C$7)</f>
        <v>8.8790774238259151E-2</v>
      </c>
      <c r="AT386">
        <f>VLOOKUP($A386,raw[],46,FALSE)*(1+interactive!$C$7)</f>
        <v>0.11839918341948198</v>
      </c>
      <c r="AU386">
        <f>VLOOKUP($A386,raw[],47,FALSE)*(1+interactive!$C$7)</f>
        <v>0.1454700730911484</v>
      </c>
      <c r="AV386">
        <f>VLOOKUP($A386,raw[],48,FALSE)*(1+interactive!$C$7)</f>
        <v>0.1691242760572092</v>
      </c>
      <c r="AW386">
        <f>VLOOKUP($A386,raw[],49,FALSE)*(1+interactive!$C$7)</f>
        <v>0.18744508083651304</v>
      </c>
      <c r="AX386">
        <f>VLOOKUP($A386,raw[],50,FALSE)*(1+interactive!$C$7)</f>
        <v>56.769300000000008</v>
      </c>
    </row>
    <row r="387" spans="1:50" x14ac:dyDescent="0.25">
      <c r="A387" s="55" t="s">
        <v>442</v>
      </c>
      <c r="B387" s="56" t="s">
        <v>443</v>
      </c>
      <c r="C387" s="56">
        <v>90</v>
      </c>
      <c r="D387" s="56" t="s">
        <v>260</v>
      </c>
      <c r="E387" s="56" t="s">
        <v>309</v>
      </c>
      <c r="F387" s="56" t="s">
        <v>262</v>
      </c>
      <c r="G387" s="56" t="s">
        <v>212</v>
      </c>
      <c r="J387">
        <f>MIN(VLOOKUP($A387,raw[],10,FALSE)*(1+interactive!$C$7),0.999)</f>
        <v>0.88724999999999998</v>
      </c>
      <c r="K387">
        <f>MIN(VLOOKUP($A387,raw[],11,FALSE)*(1+interactive!$C$7),0.999)</f>
        <v>0.73499999999999999</v>
      </c>
      <c r="L387">
        <f>MIN(VLOOKUP($A387,raw[],12,FALSE)*(1+interactive!$C$7),0.999)</f>
        <v>0.98699999999999999</v>
      </c>
      <c r="M387">
        <v>9.8699999999999996E-2</v>
      </c>
      <c r="N387">
        <f>IFERROR(VLOOKUP($A387,[2]!hbe_prev[#Data],5,FALSE),0)</f>
        <v>0.47889999999999999</v>
      </c>
      <c r="O387">
        <f>VLOOKUP($F387,[2]!hbe_risk[#All],4,FALSE)</f>
        <v>0.9</v>
      </c>
      <c r="P387">
        <f>VLOOKUP($F387,[2]!hbe_risk[#All],7,FALSE)</f>
        <v>0.3</v>
      </c>
      <c r="Q387">
        <v>14.291971842808101</v>
      </c>
      <c r="R387">
        <v>123.27777184280811</v>
      </c>
      <c r="S387">
        <v>166.87826187672783</v>
      </c>
      <c r="T387">
        <v>174.36280432475519</v>
      </c>
      <c r="U387">
        <v>170.92606063569406</v>
      </c>
      <c r="V387">
        <v>10.710214957022375</v>
      </c>
      <c r="W387">
        <v>11.371714957022375</v>
      </c>
      <c r="X387">
        <v>10.686092803874415</v>
      </c>
      <c r="Y387">
        <v>11.347592803874415</v>
      </c>
      <c r="Z387">
        <v>11.334575119732301</v>
      </c>
      <c r="AA387">
        <v>10.715781607748827</v>
      </c>
      <c r="AB387">
        <v>11.377281607748827</v>
      </c>
      <c r="AC387">
        <f>VLOOKUP($A387,raw[],29,FALSE)*(1+interactive!$C$7)</f>
        <v>1.6229230500000035E-2</v>
      </c>
      <c r="AD387">
        <f>VLOOKUP($A387,raw[],30,FALSE)*(1+interactive!$C$7)</f>
        <v>1.2443122249163193E-3</v>
      </c>
      <c r="AE387">
        <f>VLOOKUP($A387,raw[],31,FALSE)*(1+interactive!$C$7)</f>
        <v>4.5629744691734041E-4</v>
      </c>
      <c r="AF387">
        <f>VLOOKUP($A387,raw[],32,FALSE)*(1+interactive!$C$7)</f>
        <v>4.2022874003769446E-4</v>
      </c>
      <c r="AG387">
        <f>VLOOKUP($A387,raw[],33,FALSE)*(1+interactive!$C$7)</f>
        <v>9.2228905097233211E-4</v>
      </c>
      <c r="AH387">
        <f>VLOOKUP($A387,raw[],34,FALSE)*(1+interactive!$C$7)</f>
        <v>1.2088475142922807E-3</v>
      </c>
      <c r="AI387">
        <f>VLOOKUP($A387,raw[],35,FALSE)*(1+interactive!$C$7)</f>
        <v>1.2753409204484928E-3</v>
      </c>
      <c r="AJ387">
        <f>VLOOKUP($A387,raw[],36,FALSE)*(1+interactive!$C$7)</f>
        <v>1.5157014503602878E-3</v>
      </c>
      <c r="AK387">
        <f>VLOOKUP($A387,raw[],37,FALSE)*(1+interactive!$C$7)</f>
        <v>2.0411594068359081E-3</v>
      </c>
      <c r="AL387">
        <f>VLOOKUP($A387,raw[],38,FALSE)*(1+interactive!$C$7)</f>
        <v>2.9399242636781904E-3</v>
      </c>
      <c r="AM387">
        <f>VLOOKUP($A387,raw[],39,FALSE)*(1+interactive!$C$7)</f>
        <v>4.5300171336931329E-3</v>
      </c>
      <c r="AN387">
        <f>VLOOKUP($A387,raw[],40,FALSE)*(1+interactive!$C$7)</f>
        <v>7.0420555956551834E-3</v>
      </c>
      <c r="AO387">
        <f>VLOOKUP($A387,raw[],41,FALSE)*(1+interactive!$C$7)</f>
        <v>1.0991901334473569E-2</v>
      </c>
      <c r="AP387">
        <f>VLOOKUP($A387,raw[],42,FALSE)*(1+interactive!$C$7)</f>
        <v>1.6377557805654478E-2</v>
      </c>
      <c r="AQ387">
        <f>VLOOKUP($A387,raw[],43,FALSE)*(1+interactive!$C$7)</f>
        <v>2.4149197855496258E-2</v>
      </c>
      <c r="AR387">
        <f>VLOOKUP($A387,raw[],44,FALSE)*(1+interactive!$C$7)</f>
        <v>3.6998324226869488E-2</v>
      </c>
      <c r="AS387">
        <f>VLOOKUP($A387,raw[],45,FALSE)*(1+interactive!$C$7)</f>
        <v>5.849661623626868E-2</v>
      </c>
      <c r="AT387">
        <f>VLOOKUP($A387,raw[],46,FALSE)*(1+interactive!$C$7)</f>
        <v>8.7462737463654031E-2</v>
      </c>
      <c r="AU387">
        <f>VLOOKUP($A387,raw[],47,FALSE)*(1+interactive!$C$7)</f>
        <v>0.12229021769035453</v>
      </c>
      <c r="AV387">
        <f>VLOOKUP($A387,raw[],48,FALSE)*(1+interactive!$C$7)</f>
        <v>0.15431252735191409</v>
      </c>
      <c r="AW387">
        <f>VLOOKUP($A387,raw[],49,FALSE)*(1+interactive!$C$7)</f>
        <v>0.17872070277059268</v>
      </c>
      <c r="AX387">
        <f>VLOOKUP($A387,raw[],50,FALSE)*(1+interactive!$C$7)</f>
        <v>76.411649999999995</v>
      </c>
    </row>
    <row r="388" spans="1:50" x14ac:dyDescent="0.25">
      <c r="A388" s="53" t="s">
        <v>444</v>
      </c>
      <c r="B388" s="54" t="s">
        <v>445</v>
      </c>
      <c r="C388" s="54">
        <v>706</v>
      </c>
      <c r="D388" s="54" t="s">
        <v>196</v>
      </c>
      <c r="E388" s="54" t="s">
        <v>255</v>
      </c>
      <c r="F388" s="54" t="s">
        <v>211</v>
      </c>
      <c r="G388" s="54" t="s">
        <v>198</v>
      </c>
      <c r="J388">
        <f>MIN(VLOOKUP($A388,raw[],10,FALSE)*(1+interactive!$C$7),0.999)</f>
        <v>0.21734999999999999</v>
      </c>
      <c r="K388">
        <f>MIN(VLOOKUP($A388,raw[],11,FALSE)*(1+interactive!$C$7),0.999)</f>
        <v>0</v>
      </c>
      <c r="L388">
        <f>MIN(VLOOKUP($A388,raw[],12,FALSE)*(1+interactive!$C$7),0.999)</f>
        <v>0.441</v>
      </c>
      <c r="M388">
        <v>0.1454</v>
      </c>
      <c r="N388">
        <f>IFERROR(VLOOKUP($A388,[2]!hbe_prev[#Data],5,FALSE),0)</f>
        <v>0.39960000000000001</v>
      </c>
      <c r="O388">
        <f>VLOOKUP($F388,[2]!hbe_risk[#All],4,FALSE)</f>
        <v>0.74399999999999999</v>
      </c>
      <c r="P388">
        <f>VLOOKUP($F388,[2]!hbe_risk[#All],7,FALSE)</f>
        <v>0.13300000000000001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1.784288205263834</v>
      </c>
      <c r="W388">
        <v>6.8557882052638348</v>
      </c>
      <c r="X388">
        <v>1.7790630098007361</v>
      </c>
      <c r="Y388">
        <v>6.8505630098007364</v>
      </c>
      <c r="Z388">
        <v>6.8477163443377238</v>
      </c>
      <c r="AA388">
        <v>1.7854940196014719</v>
      </c>
      <c r="AB388">
        <v>6.8569940196014727</v>
      </c>
      <c r="AC388">
        <f>VLOOKUP($A388,raw[],29,FALSE)*(1+interactive!$C$7)</f>
        <v>7.2789884999999957E-2</v>
      </c>
      <c r="AD388">
        <f>VLOOKUP($A388,raw[],30,FALSE)*(1+interactive!$C$7)</f>
        <v>1.2906997040754159E-2</v>
      </c>
      <c r="AE388">
        <f>VLOOKUP($A388,raw[],31,FALSE)*(1+interactive!$C$7)</f>
        <v>4.256786580954507E-3</v>
      </c>
      <c r="AF388">
        <f>VLOOKUP($A388,raw[],32,FALSE)*(1+interactive!$C$7)</f>
        <v>3.0590347296089852E-3</v>
      </c>
      <c r="AG388">
        <f>VLOOKUP($A388,raw[],33,FALSE)*(1+interactive!$C$7)</f>
        <v>3.2525777414439379E-3</v>
      </c>
      <c r="AH388">
        <f>VLOOKUP($A388,raw[],34,FALSE)*(1+interactive!$C$7)</f>
        <v>4.2784650913780566E-3</v>
      </c>
      <c r="AI388">
        <f>VLOOKUP($A388,raw[],35,FALSE)*(1+interactive!$C$7)</f>
        <v>5.1737639647431357E-3</v>
      </c>
      <c r="AJ388">
        <f>VLOOKUP($A388,raw[],36,FALSE)*(1+interactive!$C$7)</f>
        <v>6.0928047942315142E-3</v>
      </c>
      <c r="AK388">
        <f>VLOOKUP($A388,raw[],37,FALSE)*(1+interactive!$C$7)</f>
        <v>7.4957744596755903E-3</v>
      </c>
      <c r="AL388">
        <f>VLOOKUP($A388,raw[],38,FALSE)*(1+interactive!$C$7)</f>
        <v>8.5061696006223705E-3</v>
      </c>
      <c r="AM388">
        <f>VLOOKUP($A388,raw[],39,FALSE)*(1+interactive!$C$7)</f>
        <v>9.7983286323064262E-3</v>
      </c>
      <c r="AN388">
        <f>VLOOKUP($A388,raw[],40,FALSE)*(1+interactive!$C$7)</f>
        <v>1.2171325587940618E-2</v>
      </c>
      <c r="AO388">
        <f>VLOOKUP($A388,raw[],41,FALSE)*(1+interactive!$C$7)</f>
        <v>1.6305806380872694E-2</v>
      </c>
      <c r="AP388">
        <f>VLOOKUP($A388,raw[],42,FALSE)*(1+interactive!$C$7)</f>
        <v>2.3535424293891837E-2</v>
      </c>
      <c r="AQ388">
        <f>VLOOKUP($A388,raw[],43,FALSE)*(1+interactive!$C$7)</f>
        <v>3.5233548910453827E-2</v>
      </c>
      <c r="AR388">
        <f>VLOOKUP($A388,raw[],44,FALSE)*(1+interactive!$C$7)</f>
        <v>5.2947229416409246E-2</v>
      </c>
      <c r="AS388">
        <f>VLOOKUP($A388,raw[],45,FALSE)*(1+interactive!$C$7)</f>
        <v>7.7401138879670525E-2</v>
      </c>
      <c r="AT388">
        <f>VLOOKUP($A388,raw[],46,FALSE)*(1+interactive!$C$7)</f>
        <v>0.10743559202287832</v>
      </c>
      <c r="AU388">
        <f>VLOOKUP($A388,raw[],47,FALSE)*(1+interactive!$C$7)</f>
        <v>0.13869881855098729</v>
      </c>
      <c r="AV388">
        <f>VLOOKUP($A388,raw[],48,FALSE)*(1+interactive!$C$7)</f>
        <v>0.16592720278338602</v>
      </c>
      <c r="AW388">
        <f>VLOOKUP($A388,raw[],49,FALSE)*(1+interactive!$C$7)</f>
        <v>0.18436709774762539</v>
      </c>
      <c r="AX388">
        <f>VLOOKUP($A388,raw[],50,FALSE)*(1+interactive!$C$7)</f>
        <v>59.788050000000005</v>
      </c>
    </row>
    <row r="389" spans="1:50" x14ac:dyDescent="0.25">
      <c r="A389" s="55" t="s">
        <v>446</v>
      </c>
      <c r="B389" s="56" t="s">
        <v>447</v>
      </c>
      <c r="C389" s="56">
        <v>710</v>
      </c>
      <c r="D389" s="56" t="s">
        <v>207</v>
      </c>
      <c r="E389" s="56" t="s">
        <v>245</v>
      </c>
      <c r="F389" s="56" t="s">
        <v>211</v>
      </c>
      <c r="G389" s="56" t="s">
        <v>204</v>
      </c>
      <c r="J389">
        <f>MIN(VLOOKUP($A389,raw[],10,FALSE)*(1+interactive!$C$7),0.999)</f>
        <v>0.999</v>
      </c>
      <c r="K389">
        <f>MIN(VLOOKUP($A389,raw[],11,FALSE)*(1+interactive!$C$7),0.999)</f>
        <v>0</v>
      </c>
      <c r="L389">
        <f>MIN(VLOOKUP($A389,raw[],12,FALSE)*(1+interactive!$C$7),0.999)</f>
        <v>0.88200000000000001</v>
      </c>
      <c r="M389">
        <v>9.8699999999999996E-2</v>
      </c>
      <c r="N389">
        <f>IFERROR(VLOOKUP($A389,[2]!hbe_prev[#Data],5,FALSE),0)</f>
        <v>0.3679</v>
      </c>
      <c r="O389">
        <f>VLOOKUP($F389,[2]!hbe_risk[#All],4,FALSE)</f>
        <v>0.74399999999999999</v>
      </c>
      <c r="P389">
        <f>VLOOKUP($F389,[2]!hbe_risk[#All],7,FALSE)</f>
        <v>0.13300000000000001</v>
      </c>
      <c r="Q389">
        <v>33.8631346613546</v>
      </c>
      <c r="R389">
        <v>142.84893466135463</v>
      </c>
      <c r="S389">
        <v>236.31099622749818</v>
      </c>
      <c r="T389">
        <v>269.74674393890837</v>
      </c>
      <c r="U389">
        <v>254.39375533149988</v>
      </c>
      <c r="V389">
        <v>5.1363228023950844</v>
      </c>
      <c r="W389">
        <v>10.207822802395086</v>
      </c>
      <c r="X389">
        <v>5.1022194082179775</v>
      </c>
      <c r="Y389">
        <v>10.173719408217977</v>
      </c>
      <c r="Z389">
        <v>10.154439296142208</v>
      </c>
      <c r="AA389">
        <v>5.1441928164359547</v>
      </c>
      <c r="AB389">
        <v>10.215692816435954</v>
      </c>
      <c r="AC389">
        <f>VLOOKUP($A389,raw[],29,FALSE)*(1+interactive!$C$7)</f>
        <v>2.8606199999999939E-2</v>
      </c>
      <c r="AD389">
        <f>VLOOKUP($A389,raw[],30,FALSE)*(1+interactive!$C$7)</f>
        <v>2.2162985887519871E-3</v>
      </c>
      <c r="AE389">
        <f>VLOOKUP($A389,raw[],31,FALSE)*(1+interactive!$C$7)</f>
        <v>9.4688471010382226E-4</v>
      </c>
      <c r="AF389">
        <f>VLOOKUP($A389,raw[],32,FALSE)*(1+interactive!$C$7)</f>
        <v>7.912667595840403E-4</v>
      </c>
      <c r="AG389">
        <f>VLOOKUP($A389,raw[],33,FALSE)*(1+interactive!$C$7)</f>
        <v>1.3459613185123713E-3</v>
      </c>
      <c r="AH389">
        <f>VLOOKUP($A389,raw[],34,FALSE)*(1+interactive!$C$7)</f>
        <v>2.4006147815552798E-3</v>
      </c>
      <c r="AI389">
        <f>VLOOKUP($A389,raw[],35,FALSE)*(1+interactive!$C$7)</f>
        <v>4.0183005192001272E-3</v>
      </c>
      <c r="AJ389">
        <f>VLOOKUP($A389,raw[],36,FALSE)*(1+interactive!$C$7)</f>
        <v>5.8643878156156119E-3</v>
      </c>
      <c r="AK389">
        <f>VLOOKUP($A389,raw[],37,FALSE)*(1+interactive!$C$7)</f>
        <v>8.5270908134880488E-3</v>
      </c>
      <c r="AL389">
        <f>VLOOKUP($A389,raw[],38,FALSE)*(1+interactive!$C$7)</f>
        <v>1.0266067652798527E-2</v>
      </c>
      <c r="AM389">
        <f>VLOOKUP($A389,raw[],39,FALSE)*(1+interactive!$C$7)</f>
        <v>1.2304175486549256E-2</v>
      </c>
      <c r="AN389">
        <f>VLOOKUP($A389,raw[],40,FALSE)*(1+interactive!$C$7)</f>
        <v>1.4934540254836134E-2</v>
      </c>
      <c r="AO389">
        <f>VLOOKUP($A389,raw[],41,FALSE)*(1+interactive!$C$7)</f>
        <v>1.8188427398020967E-2</v>
      </c>
      <c r="AP389">
        <f>VLOOKUP($A389,raw[],42,FALSE)*(1+interactive!$C$7)</f>
        <v>2.4086398569404636E-2</v>
      </c>
      <c r="AQ389">
        <f>VLOOKUP($A389,raw[],43,FALSE)*(1+interactive!$C$7)</f>
        <v>3.3869117629657247E-2</v>
      </c>
      <c r="AR389">
        <f>VLOOKUP($A389,raw[],44,FALSE)*(1+interactive!$C$7)</f>
        <v>4.9334354700535717E-2</v>
      </c>
      <c r="AS389">
        <f>VLOOKUP($A389,raw[],45,FALSE)*(1+interactive!$C$7)</f>
        <v>7.2290709623683586E-2</v>
      </c>
      <c r="AT389">
        <f>VLOOKUP($A389,raw[],46,FALSE)*(1+interactive!$C$7)</f>
        <v>0.10795071348991744</v>
      </c>
      <c r="AU389">
        <f>VLOOKUP($A389,raw[],47,FALSE)*(1+interactive!$C$7)</f>
        <v>0.15085278205046967</v>
      </c>
      <c r="AV389">
        <f>VLOOKUP($A389,raw[],48,FALSE)*(1+interactive!$C$7)</f>
        <v>0.18455128490027262</v>
      </c>
      <c r="AW389">
        <f>VLOOKUP($A389,raw[],49,FALSE)*(1+interactive!$C$7)</f>
        <v>0.19669053317647764</v>
      </c>
      <c r="AX389">
        <f>VLOOKUP($A389,raw[],50,FALSE)*(1+interactive!$C$7)</f>
        <v>66.795749999999998</v>
      </c>
    </row>
    <row r="390" spans="1:50" x14ac:dyDescent="0.25">
      <c r="A390" s="53" t="s">
        <v>448</v>
      </c>
      <c r="B390" s="54" t="s">
        <v>449</v>
      </c>
      <c r="C390" s="54">
        <v>728</v>
      </c>
      <c r="D390" s="54" t="s">
        <v>207</v>
      </c>
      <c r="E390" s="54" t="s">
        <v>255</v>
      </c>
      <c r="F390" s="54" t="s">
        <v>211</v>
      </c>
      <c r="G390" s="54" t="s">
        <v>198</v>
      </c>
      <c r="J390">
        <f>MIN(VLOOKUP($A390,raw[],10,FALSE)*(1+interactive!$C$7),0.999)</f>
        <v>0.12075000000000001</v>
      </c>
      <c r="K390">
        <f>MIN(VLOOKUP($A390,raw[],11,FALSE)*(1+interactive!$C$7),0.999)</f>
        <v>0</v>
      </c>
      <c r="L390">
        <f>MIN(VLOOKUP($A390,raw[],12,FALSE)*(1+interactive!$C$7),0.999)</f>
        <v>0.51449999999999996</v>
      </c>
      <c r="M390">
        <v>0.20550000000000002</v>
      </c>
      <c r="N390">
        <f>IFERROR(VLOOKUP($A390,[2]!hbe_prev[#Data],5,FALSE),0)</f>
        <v>0.39960000000000001</v>
      </c>
      <c r="O390">
        <f>VLOOKUP($F390,[2]!hbe_risk[#All],4,FALSE)</f>
        <v>0.74399999999999999</v>
      </c>
      <c r="P390">
        <f>VLOOKUP($F390,[2]!hbe_risk[#All],7,FALSE)</f>
        <v>0.13300000000000001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f>VLOOKUP($A390,raw[],29,FALSE)*(1+interactive!$C$7)</f>
        <v>6.7610739000000031E-2</v>
      </c>
      <c r="AD390">
        <f>VLOOKUP($A390,raw[],30,FALSE)*(1+interactive!$C$7)</f>
        <v>9.5840298673114353E-3</v>
      </c>
      <c r="AE390">
        <f>VLOOKUP($A390,raw[],31,FALSE)*(1+interactive!$C$7)</f>
        <v>3.9527582247868955E-3</v>
      </c>
      <c r="AF390">
        <f>VLOOKUP($A390,raw[],32,FALSE)*(1+interactive!$C$7)</f>
        <v>2.4015954567371892E-3</v>
      </c>
      <c r="AG390">
        <f>VLOOKUP($A390,raw[],33,FALSE)*(1+interactive!$C$7)</f>
        <v>3.0969968380762645E-3</v>
      </c>
      <c r="AH390">
        <f>VLOOKUP($A390,raw[],34,FALSE)*(1+interactive!$C$7)</f>
        <v>4.2832464488702735E-3</v>
      </c>
      <c r="AI390">
        <f>VLOOKUP($A390,raw[],35,FALSE)*(1+interactive!$C$7)</f>
        <v>5.7682938288829639E-3</v>
      </c>
      <c r="AJ390">
        <f>VLOOKUP($A390,raw[],36,FALSE)*(1+interactive!$C$7)</f>
        <v>7.3340173421793031E-3</v>
      </c>
      <c r="AK390">
        <f>VLOOKUP($A390,raw[],37,FALSE)*(1+interactive!$C$7)</f>
        <v>9.3831486731590797E-3</v>
      </c>
      <c r="AL390">
        <f>VLOOKUP($A390,raw[],38,FALSE)*(1+interactive!$C$7)</f>
        <v>1.026194369894568E-2</v>
      </c>
      <c r="AM390">
        <f>VLOOKUP($A390,raw[],39,FALSE)*(1+interactive!$C$7)</f>
        <v>1.138141827364437E-2</v>
      </c>
      <c r="AN390">
        <f>VLOOKUP($A390,raw[],40,FALSE)*(1+interactive!$C$7)</f>
        <v>1.3429355540567749E-2</v>
      </c>
      <c r="AO390">
        <f>VLOOKUP($A390,raw[],41,FALSE)*(1+interactive!$C$7)</f>
        <v>1.6589504716475852E-2</v>
      </c>
      <c r="AP390">
        <f>VLOOKUP($A390,raw[],42,FALSE)*(1+interactive!$C$7)</f>
        <v>2.3611610608705202E-2</v>
      </c>
      <c r="AQ390">
        <f>VLOOKUP($A390,raw[],43,FALSE)*(1+interactive!$C$7)</f>
        <v>3.3485066060526009E-2</v>
      </c>
      <c r="AR390">
        <f>VLOOKUP($A390,raw[],44,FALSE)*(1+interactive!$C$7)</f>
        <v>5.0657441272133598E-2</v>
      </c>
      <c r="AS390">
        <f>VLOOKUP($A390,raw[],45,FALSE)*(1+interactive!$C$7)</f>
        <v>7.4571241111907174E-2</v>
      </c>
      <c r="AT390">
        <f>VLOOKUP($A390,raw[],46,FALSE)*(1+interactive!$C$7)</f>
        <v>0.10598698143463851</v>
      </c>
      <c r="AU390">
        <f>VLOOKUP($A390,raw[],47,FALSE)*(1+interactive!$C$7)</f>
        <v>0.13803261548744403</v>
      </c>
      <c r="AV390">
        <f>VLOOKUP($A390,raw[],48,FALSE)*(1+interactive!$C$7)</f>
        <v>0.16512736638233153</v>
      </c>
      <c r="AW390">
        <f>VLOOKUP($A390,raw[],49,FALSE)*(1+interactive!$C$7)</f>
        <v>0.18424284045335393</v>
      </c>
      <c r="AX390">
        <f>VLOOKUP($A390,raw[],50,FALSE)*(1+interactive!$C$7)</f>
        <v>60.296250000000001</v>
      </c>
    </row>
    <row r="391" spans="1:50" x14ac:dyDescent="0.25">
      <c r="A391" s="55" t="s">
        <v>450</v>
      </c>
      <c r="B391" s="56" t="s">
        <v>451</v>
      </c>
      <c r="C391" s="56">
        <v>144</v>
      </c>
      <c r="D391" s="56" t="s">
        <v>225</v>
      </c>
      <c r="E391" s="56" t="s">
        <v>261</v>
      </c>
      <c r="F391" s="56" t="s">
        <v>262</v>
      </c>
      <c r="G391" s="56" t="s">
        <v>204</v>
      </c>
      <c r="J391">
        <f>MIN(VLOOKUP($A391,raw[],10,FALSE)*(1+interactive!$C$7),0.999)</f>
        <v>0.999</v>
      </c>
      <c r="K391">
        <f>MIN(VLOOKUP($A391,raw[],11,FALSE)*(1+interactive!$C$7),0.999)</f>
        <v>0</v>
      </c>
      <c r="L391">
        <f>MIN(VLOOKUP($A391,raw[],12,FALSE)*(1+interactive!$C$7),0.999)</f>
        <v>0.999</v>
      </c>
      <c r="M391">
        <v>2.6000000000000002E-2</v>
      </c>
      <c r="N391">
        <f>IFERROR(VLOOKUP($A391,[2]!hbe_prev[#Data],5,FALSE),0)</f>
        <v>0.47729999999999995</v>
      </c>
      <c r="O391">
        <f>VLOOKUP($F391,[2]!hbe_risk[#All],4,FALSE)</f>
        <v>0.9</v>
      </c>
      <c r="P391">
        <f>VLOOKUP($F391,[2]!hbe_risk[#All],7,FALSE)</f>
        <v>0.3</v>
      </c>
      <c r="Q391">
        <v>11.57326077348066</v>
      </c>
      <c r="R391">
        <v>120.55906077348067</v>
      </c>
      <c r="S391">
        <v>163.07501190088223</v>
      </c>
      <c r="T391">
        <v>169.99508975394613</v>
      </c>
      <c r="U391">
        <v>166.81753627563066</v>
      </c>
      <c r="V391">
        <v>9.2440501575315981</v>
      </c>
      <c r="W391">
        <v>9.9055501575315983</v>
      </c>
      <c r="X391">
        <v>9.2026643627760532</v>
      </c>
      <c r="Y391">
        <v>9.8641643627760534</v>
      </c>
      <c r="Z391">
        <v>9.8404922479749448</v>
      </c>
      <c r="AA391">
        <v>9.2536007255521078</v>
      </c>
      <c r="AB391">
        <v>9.915100725552108</v>
      </c>
      <c r="AC391">
        <f>VLOOKUP($A391,raw[],29,FALSE)*(1+interactive!$C$7)</f>
        <v>7.9519544999999778E-3</v>
      </c>
      <c r="AD391">
        <f>VLOOKUP($A391,raw[],30,FALSE)*(1+interactive!$C$7)</f>
        <v>2.6985670307081198E-4</v>
      </c>
      <c r="AE391">
        <f>VLOOKUP($A391,raw[],31,FALSE)*(1+interactive!$C$7)</f>
        <v>3.1190748634110491E-4</v>
      </c>
      <c r="AF391">
        <f>VLOOKUP($A391,raw[],32,FALSE)*(1+interactive!$C$7)</f>
        <v>3.0492337084786996E-4</v>
      </c>
      <c r="AG391">
        <f>VLOOKUP($A391,raw[],33,FALSE)*(1+interactive!$C$7)</f>
        <v>5.8265483493439077E-4</v>
      </c>
      <c r="AH391">
        <f>VLOOKUP($A391,raw[],34,FALSE)*(1+interactive!$C$7)</f>
        <v>8.2836920569008359E-4</v>
      </c>
      <c r="AI391">
        <f>VLOOKUP($A391,raw[],35,FALSE)*(1+interactive!$C$7)</f>
        <v>9.0603243615311512E-4</v>
      </c>
      <c r="AJ391">
        <f>VLOOKUP($A391,raw[],36,FALSE)*(1+interactive!$C$7)</f>
        <v>1.0370179061018395E-3</v>
      </c>
      <c r="AK391">
        <f>VLOOKUP($A391,raw[],37,FALSE)*(1+interactive!$C$7)</f>
        <v>1.4917336690235914E-3</v>
      </c>
      <c r="AL391">
        <f>VLOOKUP($A391,raw[],38,FALSE)*(1+interactive!$C$7)</f>
        <v>2.1839892109599729E-3</v>
      </c>
      <c r="AM391">
        <f>VLOOKUP($A391,raw[],39,FALSE)*(1+interactive!$C$7)</f>
        <v>3.3678526633927016E-3</v>
      </c>
      <c r="AN391">
        <f>VLOOKUP($A391,raw[],40,FALSE)*(1+interactive!$C$7)</f>
        <v>5.1579409835322146E-3</v>
      </c>
      <c r="AO391">
        <f>VLOOKUP($A391,raw[],41,FALSE)*(1+interactive!$C$7)</f>
        <v>7.3246016074776368E-3</v>
      </c>
      <c r="AP391">
        <f>VLOOKUP($A391,raw[],42,FALSE)*(1+interactive!$C$7)</f>
        <v>1.0494002050422375E-2</v>
      </c>
      <c r="AQ391">
        <f>VLOOKUP($A391,raw[],43,FALSE)*(1+interactive!$C$7)</f>
        <v>1.8379359136768188E-2</v>
      </c>
      <c r="AR391">
        <f>VLOOKUP($A391,raw[],44,FALSE)*(1+interactive!$C$7)</f>
        <v>3.3030790305563426E-2</v>
      </c>
      <c r="AS391">
        <f>VLOOKUP($A391,raw[],45,FALSE)*(1+interactive!$C$7)</f>
        <v>4.5284177478041823E-2</v>
      </c>
      <c r="AT391">
        <f>VLOOKUP($A391,raw[],46,FALSE)*(1+interactive!$C$7)</f>
        <v>7.3438631715630406E-2</v>
      </c>
      <c r="AU391">
        <f>VLOOKUP($A391,raw[],47,FALSE)*(1+interactive!$C$7)</f>
        <v>0.11199340061476418</v>
      </c>
      <c r="AV391">
        <f>VLOOKUP($A391,raw[],48,FALSE)*(1+interactive!$C$7)</f>
        <v>0.15143565190961059</v>
      </c>
      <c r="AW391">
        <f>VLOOKUP($A391,raw[],49,FALSE)*(1+interactive!$C$7)</f>
        <v>0.18033015405119185</v>
      </c>
      <c r="AX391">
        <f>VLOOKUP($A391,raw[],50,FALSE)*(1+interactive!$C$7)</f>
        <v>80.561250000000001</v>
      </c>
    </row>
    <row r="392" spans="1:50" x14ac:dyDescent="0.25">
      <c r="A392" s="53" t="s">
        <v>452</v>
      </c>
      <c r="B392" s="54" t="s">
        <v>453</v>
      </c>
      <c r="C392" s="54">
        <v>729</v>
      </c>
      <c r="D392" s="54" t="s">
        <v>196</v>
      </c>
      <c r="E392" s="54" t="s">
        <v>255</v>
      </c>
      <c r="F392" s="54" t="s">
        <v>211</v>
      </c>
      <c r="G392" s="54" t="s">
        <v>212</v>
      </c>
      <c r="J392">
        <f>MIN(VLOOKUP($A392,raw[],10,FALSE)*(1+interactive!$C$7),0.999)</f>
        <v>0.29085</v>
      </c>
      <c r="K392">
        <f>MIN(VLOOKUP($A392,raw[],11,FALSE)*(1+interactive!$C$7),0.999)</f>
        <v>0</v>
      </c>
      <c r="L392">
        <f>MIN(VLOOKUP($A392,raw[],12,FALSE)*(1+interactive!$C$7),0.999)</f>
        <v>0.94500000000000006</v>
      </c>
      <c r="M392">
        <v>8.4000000000000005E-2</v>
      </c>
      <c r="N392">
        <f>IFERROR(VLOOKUP($A392,[2]!hbe_prev[#Data],5,FALSE),0)</f>
        <v>0.39960000000000001</v>
      </c>
      <c r="O392">
        <f>VLOOKUP($F392,[2]!hbe_risk[#All],4,FALSE)</f>
        <v>0.74399999999999999</v>
      </c>
      <c r="P392">
        <f>VLOOKUP($F392,[2]!hbe_risk[#All],7,FALSE)</f>
        <v>0.13300000000000001</v>
      </c>
      <c r="Q392">
        <v>9.7478873406966891</v>
      </c>
      <c r="R392">
        <v>118.7336873406967</v>
      </c>
      <c r="S392">
        <v>156.31296086452286</v>
      </c>
      <c r="T392">
        <v>160.66367056747271</v>
      </c>
      <c r="U392">
        <v>158.66591663416571</v>
      </c>
      <c r="V392">
        <v>4.5778479770433069</v>
      </c>
      <c r="W392">
        <v>9.6493479770433073</v>
      </c>
      <c r="X392">
        <v>4.5677187459549273</v>
      </c>
      <c r="Y392">
        <v>9.6392187459549277</v>
      </c>
      <c r="Z392">
        <v>9.6335520956238518</v>
      </c>
      <c r="AA392">
        <v>4.5801854919098552</v>
      </c>
      <c r="AB392">
        <v>9.6516854919098556</v>
      </c>
      <c r="AC392">
        <f>VLOOKUP($A392,raw[],29,FALSE)*(1+interactive!$C$7)</f>
        <v>4.501859250000001E-2</v>
      </c>
      <c r="AD392">
        <f>VLOOKUP($A392,raw[],30,FALSE)*(1+interactive!$C$7)</f>
        <v>5.7864877962928917E-3</v>
      </c>
      <c r="AE392">
        <f>VLOOKUP($A392,raw[],31,FALSE)*(1+interactive!$C$7)</f>
        <v>2.2750208217927515E-3</v>
      </c>
      <c r="AF392">
        <f>VLOOKUP($A392,raw[],32,FALSE)*(1+interactive!$C$7)</f>
        <v>1.7078683314977387E-3</v>
      </c>
      <c r="AG392">
        <f>VLOOKUP($A392,raw[],33,FALSE)*(1+interactive!$C$7)</f>
        <v>2.014662459337528E-3</v>
      </c>
      <c r="AH392">
        <f>VLOOKUP($A392,raw[],34,FALSE)*(1+interactive!$C$7)</f>
        <v>2.7008311181251077E-3</v>
      </c>
      <c r="AI392">
        <f>VLOOKUP($A392,raw[],35,FALSE)*(1+interactive!$C$7)</f>
        <v>3.2065527480574577E-3</v>
      </c>
      <c r="AJ392">
        <f>VLOOKUP($A392,raw[],36,FALSE)*(1+interactive!$C$7)</f>
        <v>3.7238305856888902E-3</v>
      </c>
      <c r="AK392">
        <f>VLOOKUP($A392,raw[],37,FALSE)*(1+interactive!$C$7)</f>
        <v>4.690870921800777E-3</v>
      </c>
      <c r="AL392">
        <f>VLOOKUP($A392,raw[],38,FALSE)*(1+interactive!$C$7)</f>
        <v>5.6815244081905511E-3</v>
      </c>
      <c r="AM392">
        <f>VLOOKUP($A392,raw[],39,FALSE)*(1+interactive!$C$7)</f>
        <v>6.9546985827998046E-3</v>
      </c>
      <c r="AN392">
        <f>VLOOKUP($A392,raw[],40,FALSE)*(1+interactive!$C$7)</f>
        <v>9.2742884245818041E-3</v>
      </c>
      <c r="AO392">
        <f>VLOOKUP($A392,raw[],41,FALSE)*(1+interactive!$C$7)</f>
        <v>1.2519252615699639E-2</v>
      </c>
      <c r="AP392">
        <f>VLOOKUP($A392,raw[],42,FALSE)*(1+interactive!$C$7)</f>
        <v>1.8413794780652783E-2</v>
      </c>
      <c r="AQ392">
        <f>VLOOKUP($A392,raw[],43,FALSE)*(1+interactive!$C$7)</f>
        <v>2.878004443238389E-2</v>
      </c>
      <c r="AR392">
        <f>VLOOKUP($A392,raw[],44,FALSE)*(1+interactive!$C$7)</f>
        <v>4.470969949560679E-2</v>
      </c>
      <c r="AS392">
        <f>VLOOKUP($A392,raw[],45,FALSE)*(1+interactive!$C$7)</f>
        <v>6.7020845843525523E-2</v>
      </c>
      <c r="AT392">
        <f>VLOOKUP($A392,raw[],46,FALSE)*(1+interactive!$C$7)</f>
        <v>9.6661564150910817E-2</v>
      </c>
      <c r="AU392">
        <f>VLOOKUP($A392,raw[],47,FALSE)*(1+interactive!$C$7)</f>
        <v>0.12777696452902904</v>
      </c>
      <c r="AV392">
        <f>VLOOKUP($A392,raw[],48,FALSE)*(1+interactive!$C$7)</f>
        <v>0.1556047938930811</v>
      </c>
      <c r="AW392">
        <f>VLOOKUP($A392,raw[],49,FALSE)*(1+interactive!$C$7)</f>
        <v>0.17624935615569085</v>
      </c>
      <c r="AX392">
        <f>VLOOKUP($A392,raw[],50,FALSE)*(1+interactive!$C$7)</f>
        <v>68.195399999999992</v>
      </c>
    </row>
    <row r="393" spans="1:50" x14ac:dyDescent="0.25">
      <c r="A393" s="55" t="s">
        <v>454</v>
      </c>
      <c r="B393" s="56" t="s">
        <v>455</v>
      </c>
      <c r="C393" s="56">
        <v>740</v>
      </c>
      <c r="D393" s="56" t="s">
        <v>215</v>
      </c>
      <c r="E393" s="56" t="s">
        <v>232</v>
      </c>
      <c r="F393" s="56" t="s">
        <v>217</v>
      </c>
      <c r="G393" s="56" t="s">
        <v>204</v>
      </c>
      <c r="J393">
        <f>MIN(VLOOKUP($A393,raw[],10,FALSE)*(1+interactive!$C$7),0.999)</f>
        <v>0.97545000000000004</v>
      </c>
      <c r="K393">
        <f>MIN(VLOOKUP($A393,raw[],11,FALSE)*(1+interactive!$C$7),0.999)</f>
        <v>0.82950000000000013</v>
      </c>
      <c r="L393">
        <f>MIN(VLOOKUP($A393,raw[],12,FALSE)*(1+interactive!$C$7),0.999)</f>
        <v>0.53550000000000009</v>
      </c>
      <c r="M393">
        <v>4.8799999999999996E-2</v>
      </c>
      <c r="N393">
        <f>IFERROR(VLOOKUP($A393,[2]!hbe_prev[#Data],5,FALSE),0)</f>
        <v>0.43</v>
      </c>
      <c r="O393">
        <f>VLOOKUP($F393,[2]!hbe_risk[#All],4,FALSE)</f>
        <v>0.9</v>
      </c>
      <c r="P393">
        <f>VLOOKUP($F393,[2]!hbe_risk[#All],7,FALSE)</f>
        <v>0.3</v>
      </c>
      <c r="Q393">
        <v>23.724038674514901</v>
      </c>
      <c r="R393">
        <v>132.70983867451491</v>
      </c>
      <c r="S393">
        <v>204.70772778635339</v>
      </c>
      <c r="T393">
        <v>226.97212393275456</v>
      </c>
      <c r="U393">
        <v>216.74878383170829</v>
      </c>
      <c r="V393">
        <v>18.265099761224281</v>
      </c>
      <c r="W393">
        <v>18.286099761224282</v>
      </c>
      <c r="X393">
        <v>18.236094626882362</v>
      </c>
      <c r="Y393">
        <v>18.257094626882363</v>
      </c>
      <c r="Z393">
        <v>18.241123121500902</v>
      </c>
      <c r="AA393">
        <v>18.271793253764724</v>
      </c>
      <c r="AB393">
        <v>18.292793253764724</v>
      </c>
      <c r="AC393">
        <f>VLOOKUP($A393,raw[],29,FALSE)*(1+interactive!$C$7)</f>
        <v>1.8371366999999948E-2</v>
      </c>
      <c r="AD393">
        <f>VLOOKUP($A393,raw[],30,FALSE)*(1+interactive!$C$7)</f>
        <v>5.5348698212218128E-4</v>
      </c>
      <c r="AE393">
        <f>VLOOKUP($A393,raw[],31,FALSE)*(1+interactive!$C$7)</f>
        <v>5.7846867333960668E-4</v>
      </c>
      <c r="AF393">
        <f>VLOOKUP($A393,raw[],32,FALSE)*(1+interactive!$C$7)</f>
        <v>3.3118890600516054E-4</v>
      </c>
      <c r="AG393">
        <f>VLOOKUP($A393,raw[],33,FALSE)*(1+interactive!$C$7)</f>
        <v>6.0395139609980707E-4</v>
      </c>
      <c r="AH393">
        <f>VLOOKUP($A393,raw[],34,FALSE)*(1+interactive!$C$7)</f>
        <v>1.2334334382935244E-3</v>
      </c>
      <c r="AI393">
        <f>VLOOKUP($A393,raw[],35,FALSE)*(1+interactive!$C$7)</f>
        <v>1.9910084127090048E-3</v>
      </c>
      <c r="AJ393">
        <f>VLOOKUP($A393,raw[],36,FALSE)*(1+interactive!$C$7)</f>
        <v>2.6970697975910191E-3</v>
      </c>
      <c r="AK393">
        <f>VLOOKUP($A393,raw[],37,FALSE)*(1+interactive!$C$7)</f>
        <v>3.3766058241579988E-3</v>
      </c>
      <c r="AL393">
        <f>VLOOKUP($A393,raw[],38,FALSE)*(1+interactive!$C$7)</f>
        <v>4.1309305998209287E-3</v>
      </c>
      <c r="AM393">
        <f>VLOOKUP($A393,raw[],39,FALSE)*(1+interactive!$C$7)</f>
        <v>5.3094321041114298E-3</v>
      </c>
      <c r="AN393">
        <f>VLOOKUP($A393,raw[],40,FALSE)*(1+interactive!$C$7)</f>
        <v>7.6941617681486607E-3</v>
      </c>
      <c r="AO393">
        <f>VLOOKUP($A393,raw[],41,FALSE)*(1+interactive!$C$7)</f>
        <v>1.1925245100141316E-2</v>
      </c>
      <c r="AP393">
        <f>VLOOKUP($A393,raw[],42,FALSE)*(1+interactive!$C$7)</f>
        <v>1.8412374234507929E-2</v>
      </c>
      <c r="AQ393">
        <f>VLOOKUP($A393,raw[],43,FALSE)*(1+interactive!$C$7)</f>
        <v>2.7795866569855308E-2</v>
      </c>
      <c r="AR393">
        <f>VLOOKUP($A393,raw[],44,FALSE)*(1+interactive!$C$7)</f>
        <v>4.1160395805510237E-2</v>
      </c>
      <c r="AS393">
        <f>VLOOKUP($A393,raw[],45,FALSE)*(1+interactive!$C$7)</f>
        <v>5.9642984510163831E-2</v>
      </c>
      <c r="AT393">
        <f>VLOOKUP($A393,raw[],46,FALSE)*(1+interactive!$C$7)</f>
        <v>8.3804937834456056E-2</v>
      </c>
      <c r="AU393">
        <f>VLOOKUP($A393,raw[],47,FALSE)*(1+interactive!$C$7)</f>
        <v>0.11195017439742516</v>
      </c>
      <c r="AV393">
        <f>VLOOKUP($A393,raw[],48,FALSE)*(1+interactive!$C$7)</f>
        <v>0.14054328098589122</v>
      </c>
      <c r="AW393">
        <f>VLOOKUP($A393,raw[],49,FALSE)*(1+interactive!$C$7)</f>
        <v>0.1654472611384466</v>
      </c>
      <c r="AX393">
        <f>VLOOKUP($A393,raw[],50,FALSE)*(1+interactive!$C$7)</f>
        <v>75.062399999999997</v>
      </c>
    </row>
    <row r="394" spans="1:50" x14ac:dyDescent="0.25">
      <c r="A394" s="53" t="s">
        <v>456</v>
      </c>
      <c r="B394" s="54" t="s">
        <v>457</v>
      </c>
      <c r="C394" s="54">
        <v>760</v>
      </c>
      <c r="D394" s="54" t="s">
        <v>196</v>
      </c>
      <c r="E394" s="54" t="s">
        <v>197</v>
      </c>
      <c r="F394" s="54" t="s">
        <v>197</v>
      </c>
      <c r="G394" s="54" t="s">
        <v>198</v>
      </c>
      <c r="J394">
        <f>MIN(VLOOKUP($A394,raw[],10,FALSE)*(1+interactive!$C$7),0.999)</f>
        <v>0.82110000000000005</v>
      </c>
      <c r="K394">
        <f>MIN(VLOOKUP($A394,raw[],11,FALSE)*(1+interactive!$C$7),0.999)</f>
        <v>0</v>
      </c>
      <c r="L394">
        <f>MIN(VLOOKUP($A394,raw[],12,FALSE)*(1+interactive!$C$7),0.999)</f>
        <v>0.51449999999999996</v>
      </c>
      <c r="M394">
        <v>2.46E-2</v>
      </c>
      <c r="N394">
        <f>IFERROR(VLOOKUP($A394,[2]!hbe_prev[#Data],5,FALSE),0)</f>
        <v>0.37619999999999998</v>
      </c>
      <c r="O394">
        <f>VLOOKUP($F394,[2]!hbe_risk[#All],4,FALSE)</f>
        <v>0.9</v>
      </c>
      <c r="P394">
        <f>VLOOKUP($F394,[2]!hbe_risk[#All],7,FALSE)</f>
        <v>0.3</v>
      </c>
      <c r="Q394">
        <v>18.4758172721479</v>
      </c>
      <c r="R394">
        <v>127.4616172721479</v>
      </c>
      <c r="S394">
        <v>185.10468700476665</v>
      </c>
      <c r="T394">
        <v>199.89790138169292</v>
      </c>
      <c r="U394">
        <v>193.10517002852524</v>
      </c>
      <c r="V394">
        <v>2.6599477050275215</v>
      </c>
      <c r="W394">
        <v>3.1639477050275215</v>
      </c>
      <c r="X394">
        <v>2.6363999062220804</v>
      </c>
      <c r="Y394">
        <v>3.1403999062220804</v>
      </c>
      <c r="Z394">
        <v>3.126656182701641</v>
      </c>
      <c r="AA394">
        <v>2.6653818124441617</v>
      </c>
      <c r="AB394">
        <v>3.1693818124441617</v>
      </c>
      <c r="AC394">
        <f>VLOOKUP($A394,raw[],29,FALSE)*(1+interactive!$C$7)</f>
        <v>1.6321021500000019E-2</v>
      </c>
      <c r="AD394">
        <f>VLOOKUP($A394,raw[],30,FALSE)*(1+interactive!$C$7)</f>
        <v>5.9457230584474008E-4</v>
      </c>
      <c r="AE394">
        <f>VLOOKUP($A394,raw[],31,FALSE)*(1+interactive!$C$7)</f>
        <v>3.7231133508392654E-4</v>
      </c>
      <c r="AF394">
        <f>VLOOKUP($A394,raw[],32,FALSE)*(1+interactive!$C$7)</f>
        <v>3.3189505185058889E-4</v>
      </c>
      <c r="AG394">
        <f>VLOOKUP($A394,raw[],33,FALSE)*(1+interactive!$C$7)</f>
        <v>2.2550427309636308E-3</v>
      </c>
      <c r="AH394">
        <f>VLOOKUP($A394,raw[],34,FALSE)*(1+interactive!$C$7)</f>
        <v>3.2909142421129289E-3</v>
      </c>
      <c r="AI394">
        <f>VLOOKUP($A394,raw[],35,FALSE)*(1+interactive!$C$7)</f>
        <v>4.8811839491137267E-3</v>
      </c>
      <c r="AJ394">
        <f>VLOOKUP($A394,raw[],36,FALSE)*(1+interactive!$C$7)</f>
        <v>4.1932358571168385E-3</v>
      </c>
      <c r="AK394">
        <f>VLOOKUP($A394,raw[],37,FALSE)*(1+interactive!$C$7)</f>
        <v>2.8568133535646677E-3</v>
      </c>
      <c r="AL394">
        <f>VLOOKUP($A394,raw[],38,FALSE)*(1+interactive!$C$7)</f>
        <v>2.8583233015923681E-3</v>
      </c>
      <c r="AM394">
        <f>VLOOKUP($A394,raw[],39,FALSE)*(1+interactive!$C$7)</f>
        <v>4.2693574561719801E-3</v>
      </c>
      <c r="AN394">
        <f>VLOOKUP($A394,raw[],40,FALSE)*(1+interactive!$C$7)</f>
        <v>6.9541385979065831E-3</v>
      </c>
      <c r="AO394">
        <f>VLOOKUP($A394,raw[],41,FALSE)*(1+interactive!$C$7)</f>
        <v>8.5161682514391396E-3</v>
      </c>
      <c r="AP394">
        <f>VLOOKUP($A394,raw[],42,FALSE)*(1+interactive!$C$7)</f>
        <v>1.366296456727493E-2</v>
      </c>
      <c r="AQ394">
        <f>VLOOKUP($A394,raw[],43,FALSE)*(1+interactive!$C$7)</f>
        <v>2.2653173044982673E-2</v>
      </c>
      <c r="AR394">
        <f>VLOOKUP($A394,raw[],44,FALSE)*(1+interactive!$C$7)</f>
        <v>3.7272474862667791E-2</v>
      </c>
      <c r="AS394">
        <f>VLOOKUP($A394,raw[],45,FALSE)*(1+interactive!$C$7)</f>
        <v>5.4760644806118496E-2</v>
      </c>
      <c r="AT394">
        <f>VLOOKUP($A394,raw[],46,FALSE)*(1+interactive!$C$7)</f>
        <v>8.6875391871879828E-2</v>
      </c>
      <c r="AU394">
        <f>VLOOKUP($A394,raw[],47,FALSE)*(1+interactive!$C$7)</f>
        <v>0.12335531144691679</v>
      </c>
      <c r="AV394">
        <f>VLOOKUP($A394,raw[],48,FALSE)*(1+interactive!$C$7)</f>
        <v>0.15828556870058197</v>
      </c>
      <c r="AW394">
        <f>VLOOKUP($A394,raw[],49,FALSE)*(1+interactive!$C$7)</f>
        <v>0.18155357760825275</v>
      </c>
      <c r="AX394">
        <f>VLOOKUP($A394,raw[],50,FALSE)*(1+interactive!$C$7)</f>
        <v>74.885999999999996</v>
      </c>
    </row>
    <row r="395" spans="1:50" x14ac:dyDescent="0.25">
      <c r="A395" s="55" t="s">
        <v>458</v>
      </c>
      <c r="B395" s="56" t="s">
        <v>459</v>
      </c>
      <c r="C395" s="56">
        <v>762</v>
      </c>
      <c r="D395" s="56" t="s">
        <v>201</v>
      </c>
      <c r="E395" s="56" t="s">
        <v>220</v>
      </c>
      <c r="F395" s="56" t="s">
        <v>203</v>
      </c>
      <c r="G395" s="56" t="s">
        <v>198</v>
      </c>
      <c r="J395">
        <f>MIN(VLOOKUP($A395,raw[],10,FALSE)*(1+interactive!$C$7),0.999)</f>
        <v>0.92610000000000003</v>
      </c>
      <c r="K395">
        <f>MIN(VLOOKUP($A395,raw[],11,FALSE)*(1+interactive!$C$7),0.999)</f>
        <v>0.999</v>
      </c>
      <c r="L395">
        <f>MIN(VLOOKUP($A395,raw[],12,FALSE)*(1+interactive!$C$7),0.999)</f>
        <v>0.999</v>
      </c>
      <c r="M395">
        <v>5.8600000000000006E-2</v>
      </c>
      <c r="N395">
        <f>IFERROR(VLOOKUP($A395,[2]!hbe_prev[#Data],5,FALSE),0)</f>
        <v>0.43079999999999996</v>
      </c>
      <c r="O395">
        <f>VLOOKUP($F395,[2]!hbe_risk[#All],4,FALSE)</f>
        <v>0.9</v>
      </c>
      <c r="P395">
        <f>VLOOKUP($F395,[2]!hbe_risk[#All],7,FALSE)</f>
        <v>0.3</v>
      </c>
      <c r="Q395">
        <v>8.0443734104046207</v>
      </c>
      <c r="R395">
        <v>117.03017341040463</v>
      </c>
      <c r="S395">
        <v>150.57083411728371</v>
      </c>
      <c r="T395">
        <v>152.81958700316471</v>
      </c>
      <c r="U395">
        <v>151.78700721054872</v>
      </c>
      <c r="V395">
        <v>6.3700085689468793</v>
      </c>
      <c r="W395">
        <v>10.64350856894688</v>
      </c>
      <c r="X395">
        <v>6.3603650035568986</v>
      </c>
      <c r="Y395">
        <v>10.633865003556899</v>
      </c>
      <c r="Z395">
        <v>10.628359984897195</v>
      </c>
      <c r="AA395">
        <v>6.3722340071137982</v>
      </c>
      <c r="AB395">
        <v>10.645734007113798</v>
      </c>
      <c r="AC395">
        <f>VLOOKUP($A395,raw[],29,FALSE)*(1+interactive!$C$7)</f>
        <v>3.0739002000000053E-2</v>
      </c>
      <c r="AD395">
        <f>VLOOKUP($A395,raw[],30,FALSE)*(1+interactive!$C$7)</f>
        <v>8.146053933969766E-4</v>
      </c>
      <c r="AE395">
        <f>VLOOKUP($A395,raw[],31,FALSE)*(1+interactive!$C$7)</f>
        <v>2.0111306836170293E-4</v>
      </c>
      <c r="AF395">
        <f>VLOOKUP($A395,raw[],32,FALSE)*(1+interactive!$C$7)</f>
        <v>2.103485013672831E-4</v>
      </c>
      <c r="AG395">
        <f>VLOOKUP($A395,raw[],33,FALSE)*(1+interactive!$C$7)</f>
        <v>3.48576832137598E-4</v>
      </c>
      <c r="AH395">
        <f>VLOOKUP($A395,raw[],34,FALSE)*(1+interactive!$C$7)</f>
        <v>5.363655507820013E-4</v>
      </c>
      <c r="AI395">
        <f>VLOOKUP($A395,raw[],35,FALSE)*(1+interactive!$C$7)</f>
        <v>8.9840572406592496E-4</v>
      </c>
      <c r="AJ395">
        <f>VLOOKUP($A395,raw[],36,FALSE)*(1+interactive!$C$7)</f>
        <v>1.3809468733470809E-3</v>
      </c>
      <c r="AK395">
        <f>VLOOKUP($A395,raw[],37,FALSE)*(1+interactive!$C$7)</f>
        <v>2.1127202667968726E-3</v>
      </c>
      <c r="AL395">
        <f>VLOOKUP($A395,raw[],38,FALSE)*(1+interactive!$C$7)</f>
        <v>2.6797949890995489E-3</v>
      </c>
      <c r="AM395">
        <f>VLOOKUP($A395,raw[],39,FALSE)*(1+interactive!$C$7)</f>
        <v>3.8215524932911668E-3</v>
      </c>
      <c r="AN395">
        <f>VLOOKUP($A395,raw[],40,FALSE)*(1+interactive!$C$7)</f>
        <v>6.2848753165892085E-3</v>
      </c>
      <c r="AO395">
        <f>VLOOKUP($A395,raw[],41,FALSE)*(1+interactive!$C$7)</f>
        <v>1.1188973903740103E-2</v>
      </c>
      <c r="AP395">
        <f>VLOOKUP($A395,raw[],42,FALSE)*(1+interactive!$C$7)</f>
        <v>1.9322771786814449E-2</v>
      </c>
      <c r="AQ395">
        <f>VLOOKUP($A395,raw[],43,FALSE)*(1+interactive!$C$7)</f>
        <v>3.027648826426697E-2</v>
      </c>
      <c r="AR395">
        <f>VLOOKUP($A395,raw[],44,FALSE)*(1+interactive!$C$7)</f>
        <v>4.9993099388046178E-2</v>
      </c>
      <c r="AS395">
        <f>VLOOKUP($A395,raw[],45,FALSE)*(1+interactive!$C$7)</f>
        <v>7.7598678114881289E-2</v>
      </c>
      <c r="AT395">
        <f>VLOOKUP($A395,raw[],46,FALSE)*(1+interactive!$C$7)</f>
        <v>0.1109403770688054</v>
      </c>
      <c r="AU395">
        <f>VLOOKUP($A395,raw[],47,FALSE)*(1+interactive!$C$7)</f>
        <v>0.14401976232239924</v>
      </c>
      <c r="AV395">
        <f>VLOOKUP($A395,raw[],48,FALSE)*(1+interactive!$C$7)</f>
        <v>0.1726566196803698</v>
      </c>
      <c r="AW395">
        <f>VLOOKUP($A395,raw[],49,FALSE)*(1+interactive!$C$7)</f>
        <v>0.1913699596897393</v>
      </c>
      <c r="AX395">
        <f>VLOOKUP($A395,raw[],50,FALSE)*(1+interactive!$C$7)</f>
        <v>74.308499999999995</v>
      </c>
    </row>
    <row r="396" spans="1:50" x14ac:dyDescent="0.25">
      <c r="A396" s="53" t="s">
        <v>460</v>
      </c>
      <c r="B396" s="54" t="s">
        <v>461</v>
      </c>
      <c r="C396" s="54">
        <v>834</v>
      </c>
      <c r="D396" s="54" t="s">
        <v>207</v>
      </c>
      <c r="E396" s="54" t="s">
        <v>255</v>
      </c>
      <c r="F396" s="54" t="s">
        <v>211</v>
      </c>
      <c r="G396" s="54" t="s">
        <v>198</v>
      </c>
      <c r="J396">
        <f>MIN(VLOOKUP($A396,raw[],10,FALSE)*(1+interactive!$C$7),0.999)</f>
        <v>0.6573</v>
      </c>
      <c r="K396">
        <f>MIN(VLOOKUP($A396,raw[],11,FALSE)*(1+interactive!$C$7),0.999)</f>
        <v>0</v>
      </c>
      <c r="L396">
        <f>MIN(VLOOKUP($A396,raw[],12,FALSE)*(1+interactive!$C$7),0.999)</f>
        <v>0.90300000000000002</v>
      </c>
      <c r="M396">
        <v>4.8799999999999996E-2</v>
      </c>
      <c r="N396">
        <f>IFERROR(VLOOKUP($A396,[2]!hbe_prev[#Data],5,FALSE),0)</f>
        <v>0.39960000000000001</v>
      </c>
      <c r="O396">
        <f>VLOOKUP($F396,[2]!hbe_risk[#All],4,FALSE)</f>
        <v>0.74399999999999999</v>
      </c>
      <c r="P396">
        <f>VLOOKUP($F396,[2]!hbe_risk[#All],7,FALSE)</f>
        <v>0.13300000000000001</v>
      </c>
      <c r="Q396">
        <v>6.9526269662921303</v>
      </c>
      <c r="R396">
        <v>115.93842696629214</v>
      </c>
      <c r="S396">
        <v>147.76003279197857</v>
      </c>
      <c r="T396">
        <v>149.11407769513951</v>
      </c>
      <c r="U396">
        <v>148.49232889647112</v>
      </c>
      <c r="V396">
        <v>5.2505609536740296</v>
      </c>
      <c r="W396">
        <v>10.322060953674029</v>
      </c>
      <c r="X396">
        <v>5.2391662503029126</v>
      </c>
      <c r="Y396">
        <v>10.310666250302912</v>
      </c>
      <c r="Z396">
        <v>10.304615854700398</v>
      </c>
      <c r="AA396">
        <v>5.2531905006058262</v>
      </c>
      <c r="AB396">
        <v>10.324690500605826</v>
      </c>
      <c r="AC396">
        <f>VLOOKUP($A396,raw[],29,FALSE)*(1+interactive!$C$7)</f>
        <v>4.3274752499999992E-2</v>
      </c>
      <c r="AD396">
        <f>VLOOKUP($A396,raw[],30,FALSE)*(1+interactive!$C$7)</f>
        <v>4.196694006623705E-3</v>
      </c>
      <c r="AE396">
        <f>VLOOKUP($A396,raw[],31,FALSE)*(1+interactive!$C$7)</f>
        <v>1.6477407645676043E-3</v>
      </c>
      <c r="AF396">
        <f>VLOOKUP($A396,raw[],32,FALSE)*(1+interactive!$C$7)</f>
        <v>1.1668901151419644E-3</v>
      </c>
      <c r="AG396">
        <f>VLOOKUP($A396,raw[],33,FALSE)*(1+interactive!$C$7)</f>
        <v>1.8662148762369182E-3</v>
      </c>
      <c r="AH396">
        <f>VLOOKUP($A396,raw[],34,FALSE)*(1+interactive!$C$7)</f>
        <v>2.699390450381717E-3</v>
      </c>
      <c r="AI396">
        <f>VLOOKUP($A396,raw[],35,FALSE)*(1+interactive!$C$7)</f>
        <v>3.1311192857966237E-3</v>
      </c>
      <c r="AJ396">
        <f>VLOOKUP($A396,raw[],36,FALSE)*(1+interactive!$C$7)</f>
        <v>3.6724357051874665E-3</v>
      </c>
      <c r="AK396">
        <f>VLOOKUP($A396,raw[],37,FALSE)*(1+interactive!$C$7)</f>
        <v>4.4880135504277918E-3</v>
      </c>
      <c r="AL396">
        <f>VLOOKUP($A396,raw[],38,FALSE)*(1+interactive!$C$7)</f>
        <v>5.6805157010169456E-3</v>
      </c>
      <c r="AM396">
        <f>VLOOKUP($A396,raw[],39,FALSE)*(1+interactive!$C$7)</f>
        <v>7.1601354095088979E-3</v>
      </c>
      <c r="AN396">
        <f>VLOOKUP($A396,raw[],40,FALSE)*(1+interactive!$C$7)</f>
        <v>1.0145028989737064E-2</v>
      </c>
      <c r="AO396">
        <f>VLOOKUP($A396,raw[],41,FALSE)*(1+interactive!$C$7)</f>
        <v>1.361971620622853E-2</v>
      </c>
      <c r="AP396">
        <f>VLOOKUP($A396,raw[],42,FALSE)*(1+interactive!$C$7)</f>
        <v>2.0511006647375048E-2</v>
      </c>
      <c r="AQ396">
        <f>VLOOKUP($A396,raw[],43,FALSE)*(1+interactive!$C$7)</f>
        <v>3.1710837248348514E-2</v>
      </c>
      <c r="AR396">
        <f>VLOOKUP($A396,raw[],44,FALSE)*(1+interactive!$C$7)</f>
        <v>4.9302638158889502E-2</v>
      </c>
      <c r="AS396">
        <f>VLOOKUP($A396,raw[],45,FALSE)*(1+interactive!$C$7)</f>
        <v>7.5466522919631934E-2</v>
      </c>
      <c r="AT396">
        <f>VLOOKUP($A396,raw[],46,FALSE)*(1+interactive!$C$7)</f>
        <v>0.1123328387871995</v>
      </c>
      <c r="AU396">
        <f>VLOOKUP($A396,raw[],47,FALSE)*(1+interactive!$C$7)</f>
        <v>0.15424640561807276</v>
      </c>
      <c r="AV396">
        <f>VLOOKUP($A396,raw[],48,FALSE)*(1+interactive!$C$7)</f>
        <v>0.18884488568208707</v>
      </c>
      <c r="AW396">
        <f>VLOOKUP($A396,raw[],49,FALSE)*(1+interactive!$C$7)</f>
        <v>0.19933884498058171</v>
      </c>
      <c r="AX396">
        <f>VLOOKUP($A396,raw[],50,FALSE)*(1+interactive!$C$7)</f>
        <v>68.084100000000007</v>
      </c>
    </row>
    <row r="397" spans="1:50" x14ac:dyDescent="0.25">
      <c r="A397" s="55" t="s">
        <v>462</v>
      </c>
      <c r="B397" s="56" t="s">
        <v>463</v>
      </c>
      <c r="C397" s="56">
        <v>764</v>
      </c>
      <c r="D397" s="56" t="s">
        <v>225</v>
      </c>
      <c r="E397" s="56" t="s">
        <v>261</v>
      </c>
      <c r="F397" s="56" t="s">
        <v>262</v>
      </c>
      <c r="G397" s="56" t="s">
        <v>204</v>
      </c>
      <c r="J397">
        <f>MIN(VLOOKUP($A397,raw[],10,FALSE)*(1+interactive!$C$7),0.999)</f>
        <v>0.999</v>
      </c>
      <c r="K397">
        <f>MIN(VLOOKUP($A397,raw[],11,FALSE)*(1+interactive!$C$7),0.999)</f>
        <v>0.999</v>
      </c>
      <c r="L397">
        <f>MIN(VLOOKUP($A397,raw[],12,FALSE)*(1+interactive!$C$7),0.999)</f>
        <v>0.999</v>
      </c>
      <c r="M397">
        <v>3.1699999999999999E-2</v>
      </c>
      <c r="N397">
        <f>IFERROR(VLOOKUP($A397,[2]!hbe_prev[#Data],5,FALSE),0)</f>
        <v>0.47729999999999995</v>
      </c>
      <c r="O397">
        <f>VLOOKUP($F397,[2]!hbe_risk[#All],4,FALSE)</f>
        <v>0.9</v>
      </c>
      <c r="P397">
        <f>VLOOKUP($F397,[2]!hbe_risk[#All],7,FALSE)</f>
        <v>0.3</v>
      </c>
      <c r="Q397">
        <v>18.939337083768102</v>
      </c>
      <c r="R397">
        <v>127.92513708376811</v>
      </c>
      <c r="S397">
        <v>190.15987962235428</v>
      </c>
      <c r="T397">
        <v>207.34289921055327</v>
      </c>
      <c r="U397">
        <v>199.45281981841609</v>
      </c>
      <c r="V397">
        <v>9.4302260436598999</v>
      </c>
      <c r="W397">
        <v>10.0917260436599</v>
      </c>
      <c r="X397">
        <v>9.3885408516744278</v>
      </c>
      <c r="Y397">
        <v>10.050040851674428</v>
      </c>
      <c r="Z397">
        <v>10.027572223208905</v>
      </c>
      <c r="AA397">
        <v>9.4398457033488548</v>
      </c>
      <c r="AB397">
        <v>10.101345703348855</v>
      </c>
      <c r="AC397">
        <f>VLOOKUP($A397,raw[],29,FALSE)*(1+interactive!$C$7)</f>
        <v>8.1419205000000227E-3</v>
      </c>
      <c r="AD397">
        <f>VLOOKUP($A397,raw[],30,FALSE)*(1+interactive!$C$7)</f>
        <v>3.2944848775826708E-4</v>
      </c>
      <c r="AE397">
        <f>VLOOKUP($A397,raw[],31,FALSE)*(1+interactive!$C$7)</f>
        <v>2.7837383085827422E-4</v>
      </c>
      <c r="AF397">
        <f>VLOOKUP($A397,raw[],32,FALSE)*(1+interactive!$C$7)</f>
        <v>4.3332041140043944E-4</v>
      </c>
      <c r="AG397">
        <f>VLOOKUP($A397,raw[],33,FALSE)*(1+interactive!$C$7)</f>
        <v>1.1293644707260986E-3</v>
      </c>
      <c r="AH397">
        <f>VLOOKUP($A397,raw[],34,FALSE)*(1+interactive!$C$7)</f>
        <v>1.0821935070727073E-3</v>
      </c>
      <c r="AI397">
        <f>VLOOKUP($A397,raw[],35,FALSE)*(1+interactive!$C$7)</f>
        <v>1.1874840071217391E-3</v>
      </c>
      <c r="AJ397">
        <f>VLOOKUP($A397,raw[],36,FALSE)*(1+interactive!$C$7)</f>
        <v>1.6897122070438299E-3</v>
      </c>
      <c r="AK397">
        <f>VLOOKUP($A397,raw[],37,FALSE)*(1+interactive!$C$7)</f>
        <v>2.5668091053516391E-3</v>
      </c>
      <c r="AL397">
        <f>VLOOKUP($A397,raw[],38,FALSE)*(1+interactive!$C$7)</f>
        <v>3.5126631594236987E-3</v>
      </c>
      <c r="AM397">
        <f>VLOOKUP($A397,raw[],39,FALSE)*(1+interactive!$C$7)</f>
        <v>4.5801376992109198E-3</v>
      </c>
      <c r="AN397">
        <f>VLOOKUP($A397,raw[],40,FALSE)*(1+interactive!$C$7)</f>
        <v>6.0444061730401694E-3</v>
      </c>
      <c r="AO397">
        <f>VLOOKUP($A397,raw[],41,FALSE)*(1+interactive!$C$7)</f>
        <v>8.0831955395526123E-3</v>
      </c>
      <c r="AP397">
        <f>VLOOKUP($A397,raw[],42,FALSE)*(1+interactive!$C$7)</f>
        <v>1.1711229425023133E-2</v>
      </c>
      <c r="AQ397">
        <f>VLOOKUP($A397,raw[],43,FALSE)*(1+interactive!$C$7)</f>
        <v>1.6290316472665076E-2</v>
      </c>
      <c r="AR397">
        <f>VLOOKUP($A397,raw[],44,FALSE)*(1+interactive!$C$7)</f>
        <v>2.5349339026536105E-2</v>
      </c>
      <c r="AS397">
        <f>VLOOKUP($A397,raw[],45,FALSE)*(1+interactive!$C$7)</f>
        <v>4.0151849402773915E-2</v>
      </c>
      <c r="AT397">
        <f>VLOOKUP($A397,raw[],46,FALSE)*(1+interactive!$C$7)</f>
        <v>6.103447828658333E-2</v>
      </c>
      <c r="AU397">
        <f>VLOOKUP($A397,raw[],47,FALSE)*(1+interactive!$C$7)</f>
        <v>8.8696338663652535E-2</v>
      </c>
      <c r="AV397">
        <f>VLOOKUP($A397,raw[],48,FALSE)*(1+interactive!$C$7)</f>
        <v>0.11915515419200368</v>
      </c>
      <c r="AW397">
        <f>VLOOKUP($A397,raw[],49,FALSE)*(1+interactive!$C$7)</f>
        <v>0.14762673947774813</v>
      </c>
      <c r="AX397">
        <f>VLOOKUP($A397,raw[],50,FALSE)*(1+interactive!$C$7)</f>
        <v>80.673599999999993</v>
      </c>
    </row>
    <row r="398" spans="1:50" x14ac:dyDescent="0.25">
      <c r="A398" s="53" t="s">
        <v>464</v>
      </c>
      <c r="B398" s="54" t="s">
        <v>465</v>
      </c>
      <c r="C398" s="54">
        <v>626</v>
      </c>
      <c r="D398" s="54" t="s">
        <v>225</v>
      </c>
      <c r="E398" s="54" t="s">
        <v>261</v>
      </c>
      <c r="F398" s="54" t="s">
        <v>262</v>
      </c>
      <c r="G398" s="54" t="s">
        <v>212</v>
      </c>
      <c r="J398">
        <f>MIN(VLOOKUP($A398,raw[],10,FALSE)*(1+interactive!$C$7),0.999)</f>
        <v>0.50924999999999998</v>
      </c>
      <c r="K398">
        <f>MIN(VLOOKUP($A398,raw[],11,FALSE)*(1+interactive!$C$7),0.999)</f>
        <v>0.75600000000000001</v>
      </c>
      <c r="L398">
        <f>MIN(VLOOKUP($A398,raw[],12,FALSE)*(1+interactive!$C$7),0.999)</f>
        <v>0.90300000000000002</v>
      </c>
      <c r="M398">
        <v>6.0700000000000004E-2</v>
      </c>
      <c r="N398">
        <f>IFERROR(VLOOKUP($A398,[2]!hbe_prev[#Data],5,FALSE),0)</f>
        <v>0.47729999999999995</v>
      </c>
      <c r="O398">
        <f>VLOOKUP($F398,[2]!hbe_risk[#All],4,FALSE)</f>
        <v>0.9</v>
      </c>
      <c r="P398">
        <f>VLOOKUP($F398,[2]!hbe_risk[#All],7,FALSE)</f>
        <v>0.3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7.8789578137190572</v>
      </c>
      <c r="W398">
        <v>8.5404578137190565</v>
      </c>
      <c r="X398">
        <v>7.8627787248105143</v>
      </c>
      <c r="Y398">
        <v>8.5242787248105145</v>
      </c>
      <c r="Z398">
        <v>8.5150528943574084</v>
      </c>
      <c r="AA398">
        <v>7.8826914496210287</v>
      </c>
      <c r="AB398">
        <v>8.5441914496210281</v>
      </c>
      <c r="AC398">
        <f>VLOOKUP($A398,raw[],29,FALSE)*(1+interactive!$C$7)</f>
        <v>3.9220954499999974E-2</v>
      </c>
      <c r="AD398">
        <f>VLOOKUP($A398,raw[],30,FALSE)*(1+interactive!$C$7)</f>
        <v>2.5638510206927559E-3</v>
      </c>
      <c r="AE398">
        <f>VLOOKUP($A398,raw[],31,FALSE)*(1+interactive!$C$7)</f>
        <v>7.8798535725077285E-4</v>
      </c>
      <c r="AF398">
        <f>VLOOKUP($A398,raw[],32,FALSE)*(1+interactive!$C$7)</f>
        <v>6.0888366394973054E-4</v>
      </c>
      <c r="AG398">
        <f>VLOOKUP($A398,raw[],33,FALSE)*(1+interactive!$C$7)</f>
        <v>1.0496184284337858E-3</v>
      </c>
      <c r="AH398">
        <f>VLOOKUP($A398,raw[],34,FALSE)*(1+interactive!$C$7)</f>
        <v>1.3241496652141257E-3</v>
      </c>
      <c r="AI398">
        <f>VLOOKUP($A398,raw[],35,FALSE)*(1+interactive!$C$7)</f>
        <v>1.2644788139660938E-3</v>
      </c>
      <c r="AJ398">
        <f>VLOOKUP($A398,raw[],36,FALSE)*(1+interactive!$C$7)</f>
        <v>1.4063501518021204E-3</v>
      </c>
      <c r="AK398">
        <f>VLOOKUP($A398,raw[],37,FALSE)*(1+interactive!$C$7)</f>
        <v>1.8370173726497642E-3</v>
      </c>
      <c r="AL398">
        <f>VLOOKUP($A398,raw[],38,FALSE)*(1+interactive!$C$7)</f>
        <v>2.6425698031158746E-3</v>
      </c>
      <c r="AM398">
        <f>VLOOKUP($A398,raw[],39,FALSE)*(1+interactive!$C$7)</f>
        <v>4.2088551208562903E-3</v>
      </c>
      <c r="AN398">
        <f>VLOOKUP($A398,raw[],40,FALSE)*(1+interactive!$C$7)</f>
        <v>6.9056182402854925E-3</v>
      </c>
      <c r="AO398">
        <f>VLOOKUP($A398,raw[],41,FALSE)*(1+interactive!$C$7)</f>
        <v>1.1840526556369949E-2</v>
      </c>
      <c r="AP398">
        <f>VLOOKUP($A398,raw[],42,FALSE)*(1+interactive!$C$7)</f>
        <v>1.9002846145813657E-2</v>
      </c>
      <c r="AQ398">
        <f>VLOOKUP($A398,raw[],43,FALSE)*(1+interactive!$C$7)</f>
        <v>3.0204594275904897E-2</v>
      </c>
      <c r="AR398">
        <f>VLOOKUP($A398,raw[],44,FALSE)*(1+interactive!$C$7)</f>
        <v>4.7898170104014398E-2</v>
      </c>
      <c r="AS398">
        <f>VLOOKUP($A398,raw[],45,FALSE)*(1+interactive!$C$7)</f>
        <v>7.3564634916089236E-2</v>
      </c>
      <c r="AT398">
        <f>VLOOKUP($A398,raw[],46,FALSE)*(1+interactive!$C$7)</f>
        <v>0.10511155068601673</v>
      </c>
      <c r="AU398">
        <f>VLOOKUP($A398,raw[],47,FALSE)*(1+interactive!$C$7)</f>
        <v>0.13933486124914579</v>
      </c>
      <c r="AV398">
        <f>VLOOKUP($A398,raw[],48,FALSE)*(1+interactive!$C$7)</f>
        <v>0.16727135549032718</v>
      </c>
      <c r="AW398">
        <f>VLOOKUP($A398,raw[],49,FALSE)*(1+interactive!$C$7)</f>
        <v>0.18687092370569863</v>
      </c>
      <c r="AX398">
        <f>VLOOKUP($A398,raw[],50,FALSE)*(1+interactive!$C$7)</f>
        <v>72.610650000000007</v>
      </c>
    </row>
    <row r="399" spans="1:50" x14ac:dyDescent="0.25">
      <c r="A399" s="55" t="s">
        <v>466</v>
      </c>
      <c r="B399" s="56" t="s">
        <v>467</v>
      </c>
      <c r="C399" s="56">
        <v>768</v>
      </c>
      <c r="D399" s="56" t="s">
        <v>207</v>
      </c>
      <c r="E399" s="56" t="s">
        <v>235</v>
      </c>
      <c r="F399" s="56" t="s">
        <v>211</v>
      </c>
      <c r="G399" s="56" t="s">
        <v>198</v>
      </c>
      <c r="J399">
        <f>MIN(VLOOKUP($A399,raw[],10,FALSE)*(1+interactive!$C$7),0.999)</f>
        <v>0.84000000000000008</v>
      </c>
      <c r="K399">
        <f>MIN(VLOOKUP($A399,raw[],11,FALSE)*(1+interactive!$C$7),0.999)</f>
        <v>0</v>
      </c>
      <c r="L399">
        <f>MIN(VLOOKUP($A399,raw[],12,FALSE)*(1+interactive!$C$7),0.999)</f>
        <v>0.86099999999999999</v>
      </c>
      <c r="M399">
        <v>0.14610000000000001</v>
      </c>
      <c r="N399">
        <f>IFERROR(VLOOKUP($A399,[2]!hbe_prev[#Data],5,FALSE),0)</f>
        <v>0.41070000000000001</v>
      </c>
      <c r="O399">
        <f>VLOOKUP($F399,[2]!hbe_risk[#All],4,FALSE)</f>
        <v>0.74399999999999999</v>
      </c>
      <c r="P399">
        <f>VLOOKUP($F399,[2]!hbe_risk[#All],7,FALSE)</f>
        <v>0.13300000000000001</v>
      </c>
      <c r="Q399">
        <v>6.3227385656292299</v>
      </c>
      <c r="R399">
        <v>115.30853856562925</v>
      </c>
      <c r="S399">
        <v>146.35918152425722</v>
      </c>
      <c r="T399">
        <v>147.31196720115111</v>
      </c>
      <c r="U399">
        <v>146.874468157645</v>
      </c>
      <c r="V399">
        <v>4.8467924730694794</v>
      </c>
      <c r="W399">
        <v>9.9182924730694797</v>
      </c>
      <c r="X399">
        <v>4.8316001920383336</v>
      </c>
      <c r="Y399">
        <v>9.9031001920383339</v>
      </c>
      <c r="Z399">
        <v>9.8948505121360384</v>
      </c>
      <c r="AA399">
        <v>4.8502983840766669</v>
      </c>
      <c r="AB399">
        <v>9.9217983840766664</v>
      </c>
      <c r="AC399">
        <f>VLOOKUP($A399,raw[],29,FALSE)*(1+interactive!$C$7)</f>
        <v>5.2181041500000074E-2</v>
      </c>
      <c r="AD399">
        <f>VLOOKUP($A399,raw[],30,FALSE)*(1+interactive!$C$7)</f>
        <v>7.1062857353496539E-3</v>
      </c>
      <c r="AE399">
        <f>VLOOKUP($A399,raw[],31,FALSE)*(1+interactive!$C$7)</f>
        <v>3.2495120257947613E-3</v>
      </c>
      <c r="AF399">
        <f>VLOOKUP($A399,raw[],32,FALSE)*(1+interactive!$C$7)</f>
        <v>1.9018587183679549E-3</v>
      </c>
      <c r="AG399">
        <f>VLOOKUP($A399,raw[],33,FALSE)*(1+interactive!$C$7)</f>
        <v>2.9044530854527889E-3</v>
      </c>
      <c r="AH399">
        <f>VLOOKUP($A399,raw[],34,FALSE)*(1+interactive!$C$7)</f>
        <v>4.0566853686809295E-3</v>
      </c>
      <c r="AI399">
        <f>VLOOKUP($A399,raw[],35,FALSE)*(1+interactive!$C$7)</f>
        <v>4.3130451395077124E-3</v>
      </c>
      <c r="AJ399">
        <f>VLOOKUP($A399,raw[],36,FALSE)*(1+interactive!$C$7)</f>
        <v>4.7195825330234959E-3</v>
      </c>
      <c r="AK399">
        <f>VLOOKUP($A399,raw[],37,FALSE)*(1+interactive!$C$7)</f>
        <v>5.3660789664378107E-3</v>
      </c>
      <c r="AL399">
        <f>VLOOKUP($A399,raw[],38,FALSE)*(1+interactive!$C$7)</f>
        <v>6.5204945819310797E-3</v>
      </c>
      <c r="AM399">
        <f>VLOOKUP($A399,raw[],39,FALSE)*(1+interactive!$C$7)</f>
        <v>8.0653621666472546E-3</v>
      </c>
      <c r="AN399">
        <f>VLOOKUP($A399,raw[],40,FALSE)*(1+interactive!$C$7)</f>
        <v>1.1219568067823987E-2</v>
      </c>
      <c r="AO399">
        <f>VLOOKUP($A399,raw[],41,FALSE)*(1+interactive!$C$7)</f>
        <v>1.5866601707778698E-2</v>
      </c>
      <c r="AP399">
        <f>VLOOKUP($A399,raw[],42,FALSE)*(1+interactive!$C$7)</f>
        <v>2.456964127452399E-2</v>
      </c>
      <c r="AQ399">
        <f>VLOOKUP($A399,raw[],43,FALSE)*(1+interactive!$C$7)</f>
        <v>3.7635594000322257E-2</v>
      </c>
      <c r="AR399">
        <f>VLOOKUP($A399,raw[],44,FALSE)*(1+interactive!$C$7)</f>
        <v>5.9815114166494321E-2</v>
      </c>
      <c r="AS399">
        <f>VLOOKUP($A399,raw[],45,FALSE)*(1+interactive!$C$7)</f>
        <v>9.1196917910823794E-2</v>
      </c>
      <c r="AT399">
        <f>VLOOKUP($A399,raw[],46,FALSE)*(1+interactive!$C$7)</f>
        <v>0.12916269213311854</v>
      </c>
      <c r="AU399">
        <f>VLOOKUP($A399,raw[],47,FALSE)*(1+interactive!$C$7)</f>
        <v>0.16339425922731182</v>
      </c>
      <c r="AV399">
        <f>VLOOKUP($A399,raw[],48,FALSE)*(1+interactive!$C$7)</f>
        <v>0.18667504558638601</v>
      </c>
      <c r="AW399">
        <f>VLOOKUP($A399,raw[],49,FALSE)*(1+interactive!$C$7)</f>
        <v>0.2037613251426007</v>
      </c>
      <c r="AX399">
        <f>VLOOKUP($A399,raw[],50,FALSE)*(1+interactive!$C$7)</f>
        <v>63.554400000000001</v>
      </c>
    </row>
    <row r="400" spans="1:50" x14ac:dyDescent="0.25">
      <c r="A400" s="53" t="s">
        <v>468</v>
      </c>
      <c r="B400" s="54" t="s">
        <v>469</v>
      </c>
      <c r="C400" s="54">
        <v>776</v>
      </c>
      <c r="D400" s="54" t="s">
        <v>260</v>
      </c>
      <c r="E400" s="54" t="s">
        <v>309</v>
      </c>
      <c r="F400" s="54" t="s">
        <v>262</v>
      </c>
      <c r="G400" s="54" t="s">
        <v>204</v>
      </c>
      <c r="J400">
        <f>MIN(VLOOKUP($A400,raw[],10,FALSE)*(1+interactive!$C$7),0.999)</f>
        <v>0.999</v>
      </c>
      <c r="K400">
        <f>MIN(VLOOKUP($A400,raw[],11,FALSE)*(1+interactive!$C$7),0.999)</f>
        <v>0.999</v>
      </c>
      <c r="L400">
        <f>MIN(VLOOKUP($A400,raw[],12,FALSE)*(1+interactive!$C$7),0.999)</f>
        <v>0.999</v>
      </c>
      <c r="M400">
        <v>0.10460000000000001</v>
      </c>
      <c r="N400">
        <f>IFERROR(VLOOKUP($A400,[2]!hbe_prev[#Data],5,FALSE),0)</f>
        <v>0.47889999999999999</v>
      </c>
      <c r="O400">
        <f>VLOOKUP($F400,[2]!hbe_risk[#All],4,FALSE)</f>
        <v>0.9</v>
      </c>
      <c r="P400">
        <f>VLOOKUP($F400,[2]!hbe_risk[#All],7,FALSE)</f>
        <v>0.3</v>
      </c>
      <c r="Q400">
        <v>19.722999999999999</v>
      </c>
      <c r="R400">
        <v>128.7088</v>
      </c>
      <c r="S400">
        <v>186.34985327752722</v>
      </c>
      <c r="T400">
        <v>201.14201816005576</v>
      </c>
      <c r="U400">
        <v>194.34976871253204</v>
      </c>
      <c r="V400">
        <v>18.897773365774004</v>
      </c>
      <c r="W400">
        <v>19.559273365774004</v>
      </c>
      <c r="X400">
        <v>18.871591650082209</v>
      </c>
      <c r="Y400">
        <v>19.533091650082209</v>
      </c>
      <c r="Z400">
        <v>19.519424390381101</v>
      </c>
      <c r="AA400">
        <v>18.903815300164418</v>
      </c>
      <c r="AB400">
        <v>19.565315300164418</v>
      </c>
      <c r="AC400">
        <f>VLOOKUP($A400,raw[],29,FALSE)*(1+interactive!$C$7)</f>
        <v>1.3142461500000004E-2</v>
      </c>
      <c r="AD400">
        <f>VLOOKUP($A400,raw[],30,FALSE)*(1+interactive!$C$7)</f>
        <v>8.2515440234705837E-4</v>
      </c>
      <c r="AE400">
        <f>VLOOKUP($A400,raw[],31,FALSE)*(1+interactive!$C$7)</f>
        <v>4.1801632007142146E-4</v>
      </c>
      <c r="AF400">
        <f>VLOOKUP($A400,raw[],32,FALSE)*(1+interactive!$C$7)</f>
        <v>3.9704461985552817E-4</v>
      </c>
      <c r="AG400">
        <f>VLOOKUP($A400,raw[],33,FALSE)*(1+interactive!$C$7)</f>
        <v>9.920878464068424E-4</v>
      </c>
      <c r="AH400">
        <f>VLOOKUP($A400,raw[],34,FALSE)*(1+interactive!$C$7)</f>
        <v>1.4418868747507157E-3</v>
      </c>
      <c r="AI400">
        <f>VLOOKUP($A400,raw[],35,FALSE)*(1+interactive!$C$7)</f>
        <v>1.5780662177807072E-3</v>
      </c>
      <c r="AJ400">
        <f>VLOOKUP($A400,raw[],36,FALSE)*(1+interactive!$C$7)</f>
        <v>1.8866966642702339E-3</v>
      </c>
      <c r="AK400">
        <f>VLOOKUP($A400,raw[],37,FALSE)*(1+interactive!$C$7)</f>
        <v>2.5429317960542386E-3</v>
      </c>
      <c r="AL400">
        <f>VLOOKUP($A400,raw[],38,FALSE)*(1+interactive!$C$7)</f>
        <v>3.6548412816302229E-3</v>
      </c>
      <c r="AM400">
        <f>VLOOKUP($A400,raw[],39,FALSE)*(1+interactive!$C$7)</f>
        <v>5.4933801450625505E-3</v>
      </c>
      <c r="AN400">
        <f>VLOOKUP($A400,raw[],40,FALSE)*(1+interactive!$C$7)</f>
        <v>8.3032493594690365E-3</v>
      </c>
      <c r="AO400">
        <f>VLOOKUP($A400,raw[],41,FALSE)*(1+interactive!$C$7)</f>
        <v>1.2261459063966047E-2</v>
      </c>
      <c r="AP400">
        <f>VLOOKUP($A400,raw[],42,FALSE)*(1+interactive!$C$7)</f>
        <v>1.9454465628032457E-2</v>
      </c>
      <c r="AQ400">
        <f>VLOOKUP($A400,raw[],43,FALSE)*(1+interactive!$C$7)</f>
        <v>3.0980011718835059E-2</v>
      </c>
      <c r="AR400">
        <f>VLOOKUP($A400,raw[],44,FALSE)*(1+interactive!$C$7)</f>
        <v>4.8035691411929475E-2</v>
      </c>
      <c r="AS400">
        <f>VLOOKUP($A400,raw[],45,FALSE)*(1+interactive!$C$7)</f>
        <v>7.2241034395332165E-2</v>
      </c>
      <c r="AT400">
        <f>VLOOKUP($A400,raw[],46,FALSE)*(1+interactive!$C$7)</f>
        <v>0.10456161160101302</v>
      </c>
      <c r="AU400">
        <f>VLOOKUP($A400,raw[],47,FALSE)*(1+interactive!$C$7)</f>
        <v>0.14108433240940566</v>
      </c>
      <c r="AV400">
        <f>VLOOKUP($A400,raw[],48,FALSE)*(1+interactive!$C$7)</f>
        <v>0.17208397875185233</v>
      </c>
      <c r="AW400">
        <f>VLOOKUP($A400,raw[],49,FALSE)*(1+interactive!$C$7)</f>
        <v>0.19108905187618003</v>
      </c>
      <c r="AX400">
        <f>VLOOKUP($A400,raw[],50,FALSE)*(1+interactive!$C$7)</f>
        <v>74.278050000000007</v>
      </c>
    </row>
    <row r="401" spans="1:50" x14ac:dyDescent="0.25">
      <c r="A401" s="55" t="s">
        <v>470</v>
      </c>
      <c r="B401" s="56" t="s">
        <v>471</v>
      </c>
      <c r="C401" s="56">
        <v>788</v>
      </c>
      <c r="D401" s="56" t="s">
        <v>196</v>
      </c>
      <c r="E401" s="56" t="s">
        <v>197</v>
      </c>
      <c r="F401" s="56" t="s">
        <v>197</v>
      </c>
      <c r="G401" s="56" t="s">
        <v>212</v>
      </c>
      <c r="J401">
        <f>MIN(VLOOKUP($A401,raw[],10,FALSE)*(1+interactive!$C$7),0.999)</f>
        <v>0.999</v>
      </c>
      <c r="K401">
        <f>MIN(VLOOKUP($A401,raw[],11,FALSE)*(1+interactive!$C$7),0.999)</f>
        <v>0.77700000000000002</v>
      </c>
      <c r="L401">
        <f>MIN(VLOOKUP($A401,raw[],12,FALSE)*(1+interactive!$C$7),0.999)</f>
        <v>0.96600000000000008</v>
      </c>
      <c r="M401">
        <v>3.1E-2</v>
      </c>
      <c r="N401">
        <f>IFERROR(VLOOKUP($A401,[2]!hbe_prev[#Data],5,FALSE),0)</f>
        <v>0.37619999999999998</v>
      </c>
      <c r="O401">
        <f>VLOOKUP($F401,[2]!hbe_risk[#All],4,FALSE)</f>
        <v>0.9</v>
      </c>
      <c r="P401">
        <f>VLOOKUP($F401,[2]!hbe_risk[#All],7,FALSE)</f>
        <v>0.3</v>
      </c>
      <c r="Q401">
        <v>21.147511432325899</v>
      </c>
      <c r="R401">
        <v>130.13331143232591</v>
      </c>
      <c r="S401">
        <v>198.19323929305193</v>
      </c>
      <c r="T401">
        <v>218.40806424451344</v>
      </c>
      <c r="U401">
        <v>209.12584391376748</v>
      </c>
      <c r="V401">
        <v>8.7355276350470419</v>
      </c>
      <c r="W401">
        <v>9.2395276350470414</v>
      </c>
      <c r="X401">
        <v>8.6957235917500935</v>
      </c>
      <c r="Y401">
        <v>9.199723591750093</v>
      </c>
      <c r="Z401">
        <v>9.1768198662821217</v>
      </c>
      <c r="AA401">
        <v>8.7447131835001848</v>
      </c>
      <c r="AB401">
        <v>9.2487131835001843</v>
      </c>
      <c r="AC401">
        <f>VLOOKUP($A401,raw[],29,FALSE)*(1+interactive!$C$7)</f>
        <v>1.3311543000000035E-2</v>
      </c>
      <c r="AD401">
        <f>VLOOKUP($A401,raw[],30,FALSE)*(1+interactive!$C$7)</f>
        <v>2.0608960899233625E-4</v>
      </c>
      <c r="AE401">
        <f>VLOOKUP($A401,raw[],31,FALSE)*(1+interactive!$C$7)</f>
        <v>1.5255083743129881E-4</v>
      </c>
      <c r="AF401">
        <f>VLOOKUP($A401,raw[],32,FALSE)*(1+interactive!$C$7)</f>
        <v>2.5796097022882431E-4</v>
      </c>
      <c r="AG401">
        <f>VLOOKUP($A401,raw[],33,FALSE)*(1+interactive!$C$7)</f>
        <v>3.8793349167197698E-4</v>
      </c>
      <c r="AH401">
        <f>VLOOKUP($A401,raw[],34,FALSE)*(1+interactive!$C$7)</f>
        <v>5.2729238093918477E-4</v>
      </c>
      <c r="AI401">
        <f>VLOOKUP($A401,raw[],35,FALSE)*(1+interactive!$C$7)</f>
        <v>5.9878300731977237E-4</v>
      </c>
      <c r="AJ401">
        <f>VLOOKUP($A401,raw[],36,FALSE)*(1+interactive!$C$7)</f>
        <v>7.0216138782826817E-4</v>
      </c>
      <c r="AK401">
        <f>VLOOKUP($A401,raw[],37,FALSE)*(1+interactive!$C$7)</f>
        <v>9.8605699447690026E-4</v>
      </c>
      <c r="AL401">
        <f>VLOOKUP($A401,raw[],38,FALSE)*(1+interactive!$C$7)</f>
        <v>1.5704915089490585E-3</v>
      </c>
      <c r="AM401">
        <f>VLOOKUP($A401,raw[],39,FALSE)*(1+interactive!$C$7)</f>
        <v>2.580904568476268E-3</v>
      </c>
      <c r="AN401">
        <f>VLOOKUP($A401,raw[],40,FALSE)*(1+interactive!$C$7)</f>
        <v>4.4250712371072158E-3</v>
      </c>
      <c r="AO401">
        <f>VLOOKUP($A401,raw[],41,FALSE)*(1+interactive!$C$7)</f>
        <v>7.4090599119046871E-3</v>
      </c>
      <c r="AP401">
        <f>VLOOKUP($A401,raw[],42,FALSE)*(1+interactive!$C$7)</f>
        <v>1.196662218810636E-2</v>
      </c>
      <c r="AQ401">
        <f>VLOOKUP($A401,raw[],43,FALSE)*(1+interactive!$C$7)</f>
        <v>1.8937553526277878E-2</v>
      </c>
      <c r="AR401">
        <f>VLOOKUP($A401,raw[],44,FALSE)*(1+interactive!$C$7)</f>
        <v>3.2473658281102477E-2</v>
      </c>
      <c r="AS401">
        <f>VLOOKUP($A401,raw[],45,FALSE)*(1+interactive!$C$7)</f>
        <v>5.4191825240946193E-2</v>
      </c>
      <c r="AT401">
        <f>VLOOKUP($A401,raw[],46,FALSE)*(1+interactive!$C$7)</f>
        <v>8.4356729679455178E-2</v>
      </c>
      <c r="AU401">
        <f>VLOOKUP($A401,raw[],47,FALSE)*(1+interactive!$C$7)</f>
        <v>0.11952868713079701</v>
      </c>
      <c r="AV401">
        <f>VLOOKUP($A401,raw[],48,FALSE)*(1+interactive!$C$7)</f>
        <v>0.15178338475000064</v>
      </c>
      <c r="AW401">
        <f>VLOOKUP($A401,raw[],49,FALSE)*(1+interactive!$C$7)</f>
        <v>0.17603360851768921</v>
      </c>
      <c r="AX401">
        <f>VLOOKUP($A401,raw[],50,FALSE)*(1+interactive!$C$7)</f>
        <v>80.232600000000005</v>
      </c>
    </row>
    <row r="402" spans="1:50" x14ac:dyDescent="0.25">
      <c r="A402" s="53" t="s">
        <v>472</v>
      </c>
      <c r="B402" s="54" t="s">
        <v>473</v>
      </c>
      <c r="C402" s="54">
        <v>792</v>
      </c>
      <c r="D402" s="54" t="s">
        <v>201</v>
      </c>
      <c r="E402" s="54" t="s">
        <v>197</v>
      </c>
      <c r="F402" s="54" t="s">
        <v>197</v>
      </c>
      <c r="G402" s="54" t="s">
        <v>204</v>
      </c>
      <c r="J402">
        <f>MIN(VLOOKUP($A402,raw[],10,FALSE)*(1+interactive!$C$7),0.999)</f>
        <v>0.999</v>
      </c>
      <c r="K402">
        <f>MIN(VLOOKUP($A402,raw[],11,FALSE)*(1+interactive!$C$7),0.999)</f>
        <v>0.999</v>
      </c>
      <c r="L402">
        <f>MIN(VLOOKUP($A402,raw[],12,FALSE)*(1+interactive!$C$7),0.999)</f>
        <v>0.999</v>
      </c>
      <c r="M402">
        <v>3.6900000000000002E-2</v>
      </c>
      <c r="N402">
        <f>IFERROR(VLOOKUP($A402,[2]!hbe_prev[#Data],5,FALSE),0)</f>
        <v>0.37619999999999998</v>
      </c>
      <c r="O402">
        <f>VLOOKUP($F402,[2]!hbe_risk[#All],4,FALSE)</f>
        <v>0.9</v>
      </c>
      <c r="P402">
        <f>VLOOKUP($F402,[2]!hbe_risk[#All],7,FALSE)</f>
        <v>0.3</v>
      </c>
      <c r="Q402">
        <v>42.591111485974203</v>
      </c>
      <c r="R402">
        <v>151.57691148597422</v>
      </c>
      <c r="S402">
        <v>295.1658677485126</v>
      </c>
      <c r="T402">
        <v>354.69091215690753</v>
      </c>
      <c r="U402">
        <v>327.35826996372282</v>
      </c>
      <c r="V402">
        <v>10.925734425936151</v>
      </c>
      <c r="W402">
        <v>11.42973442593615</v>
      </c>
      <c r="X402">
        <v>10.874299062585463</v>
      </c>
      <c r="Y402">
        <v>11.378299062585462</v>
      </c>
      <c r="Z402">
        <v>11.349245121344097</v>
      </c>
      <c r="AA402">
        <v>10.937604125170925</v>
      </c>
      <c r="AB402">
        <v>11.441604125170924</v>
      </c>
      <c r="AC402">
        <f>VLOOKUP($A402,raw[],29,FALSE)*(1+interactive!$C$7)</f>
        <v>9.3465749999999403E-3</v>
      </c>
      <c r="AD402">
        <f>VLOOKUP($A402,raw[],30,FALSE)*(1+interactive!$C$7)</f>
        <v>1.1518711308714572E-3</v>
      </c>
      <c r="AE402">
        <f>VLOOKUP($A402,raw[],31,FALSE)*(1+interactive!$C$7)</f>
        <v>7.164541905813846E-4</v>
      </c>
      <c r="AF402">
        <f>VLOOKUP($A402,raw[],32,FALSE)*(1+interactive!$C$7)</f>
        <v>6.1208562686156673E-4</v>
      </c>
      <c r="AG402">
        <f>VLOOKUP($A402,raw[],33,FALSE)*(1+interactive!$C$7)</f>
        <v>7.2619137537621086E-4</v>
      </c>
      <c r="AH402">
        <f>VLOOKUP($A402,raw[],34,FALSE)*(1+interactive!$C$7)</f>
        <v>1.0090713372233676E-3</v>
      </c>
      <c r="AI402">
        <f>VLOOKUP($A402,raw[],35,FALSE)*(1+interactive!$C$7)</f>
        <v>1.233071611558365E-3</v>
      </c>
      <c r="AJ402">
        <f>VLOOKUP($A402,raw[],36,FALSE)*(1+interactive!$C$7)</f>
        <v>1.4462358104610482E-3</v>
      </c>
      <c r="AK402">
        <f>VLOOKUP($A402,raw[],37,FALSE)*(1+interactive!$C$7)</f>
        <v>1.7139813057957241E-3</v>
      </c>
      <c r="AL402">
        <f>VLOOKUP($A402,raw[],38,FALSE)*(1+interactive!$C$7)</f>
        <v>2.1038362818917721E-3</v>
      </c>
      <c r="AM402">
        <f>VLOOKUP($A402,raw[],39,FALSE)*(1+interactive!$C$7)</f>
        <v>2.7200263968622318E-3</v>
      </c>
      <c r="AN402">
        <f>VLOOKUP($A402,raw[],40,FALSE)*(1+interactive!$C$7)</f>
        <v>3.7103592700020354E-3</v>
      </c>
      <c r="AO402">
        <f>VLOOKUP($A402,raw[],41,FALSE)*(1+interactive!$C$7)</f>
        <v>5.4959173451945382E-3</v>
      </c>
      <c r="AP402">
        <f>VLOOKUP($A402,raw[],42,FALSE)*(1+interactive!$C$7)</f>
        <v>8.5482827193287189E-3</v>
      </c>
      <c r="AQ402">
        <f>VLOOKUP($A402,raw[],43,FALSE)*(1+interactive!$C$7)</f>
        <v>1.3916391508008741E-2</v>
      </c>
      <c r="AR402">
        <f>VLOOKUP($A402,raw[],44,FALSE)*(1+interactive!$C$7)</f>
        <v>2.4870542934322847E-2</v>
      </c>
      <c r="AS402">
        <f>VLOOKUP($A402,raw[],45,FALSE)*(1+interactive!$C$7)</f>
        <v>4.4011237056635039E-2</v>
      </c>
      <c r="AT402">
        <f>VLOOKUP($A402,raw[],46,FALSE)*(1+interactive!$C$7)</f>
        <v>7.2766737915263072E-2</v>
      </c>
      <c r="AU402">
        <f>VLOOKUP($A402,raw[],47,FALSE)*(1+interactive!$C$7)</f>
        <v>0.10914139612526493</v>
      </c>
      <c r="AV402">
        <f>VLOOKUP($A402,raw[],48,FALSE)*(1+interactive!$C$7)</f>
        <v>0.14685173116285838</v>
      </c>
      <c r="AW402">
        <f>VLOOKUP($A402,raw[],49,FALSE)*(1+interactive!$C$7)</f>
        <v>0.17669010499414736</v>
      </c>
      <c r="AX402">
        <f>VLOOKUP($A402,raw[],50,FALSE)*(1+interactive!$C$7)</f>
        <v>81.172350000000009</v>
      </c>
    </row>
    <row r="403" spans="1:50" x14ac:dyDescent="0.25">
      <c r="A403" s="55" t="s">
        <v>474</v>
      </c>
      <c r="B403" s="56" t="s">
        <v>475</v>
      </c>
      <c r="C403" s="56">
        <v>795</v>
      </c>
      <c r="D403" s="56" t="s">
        <v>201</v>
      </c>
      <c r="E403" s="56" t="s">
        <v>220</v>
      </c>
      <c r="F403" s="56" t="s">
        <v>203</v>
      </c>
      <c r="G403" s="56" t="s">
        <v>204</v>
      </c>
      <c r="J403">
        <f>MIN(VLOOKUP($A403,raw[],10,FALSE)*(1+interactive!$C$7),0.999)</f>
        <v>0.999</v>
      </c>
      <c r="K403">
        <f>MIN(VLOOKUP($A403,raw[],11,FALSE)*(1+interactive!$C$7),0.999)</f>
        <v>0.999</v>
      </c>
      <c r="L403">
        <f>MIN(VLOOKUP($A403,raw[],12,FALSE)*(1+interactive!$C$7),0.999)</f>
        <v>0.999</v>
      </c>
      <c r="M403">
        <v>0.10769999999999999</v>
      </c>
      <c r="N403">
        <f>IFERROR(VLOOKUP($A403,[2]!hbe_prev[#Data],5,FALSE),0)</f>
        <v>0.43079999999999996</v>
      </c>
      <c r="O403">
        <f>VLOOKUP($F403,[2]!hbe_risk[#All],4,FALSE)</f>
        <v>0.9</v>
      </c>
      <c r="P403">
        <f>VLOOKUP($F403,[2]!hbe_risk[#All],7,FALSE)</f>
        <v>0.3</v>
      </c>
      <c r="Q403">
        <v>20.058407822166302</v>
      </c>
      <c r="R403">
        <v>129.0442078221663</v>
      </c>
      <c r="S403">
        <v>192.63620075025378</v>
      </c>
      <c r="T403">
        <v>210.52562172872965</v>
      </c>
      <c r="U403">
        <v>202.31117774960052</v>
      </c>
      <c r="V403">
        <v>13.601663734261251</v>
      </c>
      <c r="W403">
        <v>17.87516373426125</v>
      </c>
      <c r="X403">
        <v>13.556475853385518</v>
      </c>
      <c r="Y403">
        <v>17.82997585338552</v>
      </c>
      <c r="Z403">
        <v>17.804902116463342</v>
      </c>
      <c r="AA403">
        <v>13.612091706771034</v>
      </c>
      <c r="AB403">
        <v>17.885591706771034</v>
      </c>
      <c r="AC403">
        <f>VLOOKUP($A403,raw[],29,FALSE)*(1+interactive!$C$7)</f>
        <v>4.5477862500000063E-2</v>
      </c>
      <c r="AD403">
        <f>VLOOKUP($A403,raw[],30,FALSE)*(1+interactive!$C$7)</f>
        <v>2.2362174857992988E-3</v>
      </c>
      <c r="AE403">
        <f>VLOOKUP($A403,raw[],31,FALSE)*(1+interactive!$C$7)</f>
        <v>4.054532144106488E-4</v>
      </c>
      <c r="AF403">
        <f>VLOOKUP($A403,raw[],32,FALSE)*(1+interactive!$C$7)</f>
        <v>3.9747781157458578E-4</v>
      </c>
      <c r="AG403">
        <f>VLOOKUP($A403,raw[],33,FALSE)*(1+interactive!$C$7)</f>
        <v>9.162161806059489E-4</v>
      </c>
      <c r="AH403">
        <f>VLOOKUP($A403,raw[],34,FALSE)*(1+interactive!$C$7)</f>
        <v>1.2276712189129881E-3</v>
      </c>
      <c r="AI403">
        <f>VLOOKUP($A403,raw[],35,FALSE)*(1+interactive!$C$7)</f>
        <v>1.5835657233174536E-3</v>
      </c>
      <c r="AJ403">
        <f>VLOOKUP($A403,raw[],36,FALSE)*(1+interactive!$C$7)</f>
        <v>2.1618159646976218E-3</v>
      </c>
      <c r="AK403">
        <f>VLOOKUP($A403,raw[],37,FALSE)*(1+interactive!$C$7)</f>
        <v>3.0547603355392679E-3</v>
      </c>
      <c r="AL403">
        <f>VLOOKUP($A403,raw[],38,FALSE)*(1+interactive!$C$7)</f>
        <v>4.3104606277592676E-3</v>
      </c>
      <c r="AM403">
        <f>VLOOKUP($A403,raw[],39,FALSE)*(1+interactive!$C$7)</f>
        <v>5.9821025921599066E-3</v>
      </c>
      <c r="AN403">
        <f>VLOOKUP($A403,raw[],40,FALSE)*(1+interactive!$C$7)</f>
        <v>9.3930582545521044E-3</v>
      </c>
      <c r="AO403">
        <f>VLOOKUP($A403,raw[],41,FALSE)*(1+interactive!$C$7)</f>
        <v>1.380067593122635E-2</v>
      </c>
      <c r="AP403">
        <f>VLOOKUP($A403,raw[],42,FALSE)*(1+interactive!$C$7)</f>
        <v>2.271494094915243E-2</v>
      </c>
      <c r="AQ403">
        <f>VLOOKUP($A403,raw[],43,FALSE)*(1+interactive!$C$7)</f>
        <v>2.9272147759459424E-2</v>
      </c>
      <c r="AR403">
        <f>VLOOKUP($A403,raw[],44,FALSE)*(1+interactive!$C$7)</f>
        <v>5.2736459187753597E-2</v>
      </c>
      <c r="AS403">
        <f>VLOOKUP($A403,raw[],45,FALSE)*(1+interactive!$C$7)</f>
        <v>5.7491260481109363E-2</v>
      </c>
      <c r="AT403">
        <f>VLOOKUP($A403,raw[],46,FALSE)*(1+interactive!$C$7)</f>
        <v>9.431393579212359E-2</v>
      </c>
      <c r="AU403">
        <f>VLOOKUP($A403,raw[],47,FALSE)*(1+interactive!$C$7)</f>
        <v>0.12500522378621645</v>
      </c>
      <c r="AV403">
        <f>VLOOKUP($A403,raw[],48,FALSE)*(1+interactive!$C$7)</f>
        <v>0.15457846162901764</v>
      </c>
      <c r="AW403">
        <f>VLOOKUP($A403,raw[],49,FALSE)*(1+interactive!$C$7)</f>
        <v>0.17729220102637094</v>
      </c>
      <c r="AX403">
        <f>VLOOKUP($A403,raw[],50,FALSE)*(1+interactive!$C$7)</f>
        <v>71.38215000000001</v>
      </c>
    </row>
    <row r="404" spans="1:50" x14ac:dyDescent="0.25">
      <c r="A404" s="53" t="s">
        <v>476</v>
      </c>
      <c r="B404" s="54" t="s">
        <v>477</v>
      </c>
      <c r="C404" s="54">
        <v>798</v>
      </c>
      <c r="D404" s="54" t="s">
        <v>260</v>
      </c>
      <c r="E404" s="54" t="s">
        <v>309</v>
      </c>
      <c r="F404" s="54" t="s">
        <v>262</v>
      </c>
      <c r="G404" s="54" t="s">
        <v>204</v>
      </c>
      <c r="J404">
        <f>MIN(VLOOKUP($A404,raw[],10,FALSE)*(1+interactive!$C$7),0.999)</f>
        <v>0.97650000000000015</v>
      </c>
      <c r="K404">
        <f>MIN(VLOOKUP($A404,raw[],11,FALSE)*(1+interactive!$C$7),0.999)</f>
        <v>0.999</v>
      </c>
      <c r="L404">
        <f>MIN(VLOOKUP($A404,raw[],12,FALSE)*(1+interactive!$C$7),0.999)</f>
        <v>0.97650000000000015</v>
      </c>
      <c r="M404">
        <v>6.7500000000000004E-2</v>
      </c>
      <c r="N404">
        <f>IFERROR(VLOOKUP($A404,[2]!hbe_prev[#Data],5,FALSE),0)</f>
        <v>0</v>
      </c>
      <c r="O404">
        <f>VLOOKUP($F404,[2]!hbe_risk[#All],4,FALSE)</f>
        <v>0.9</v>
      </c>
      <c r="P404">
        <f>VLOOKUP($F404,[2]!hbe_risk[#All],7,FALSE)</f>
        <v>0.3</v>
      </c>
      <c r="Q404">
        <v>18.591206669282101</v>
      </c>
      <c r="R404">
        <v>127.57700666928211</v>
      </c>
      <c r="S404">
        <v>177.02484944770225</v>
      </c>
      <c r="T404">
        <v>187.552734627554</v>
      </c>
      <c r="U404">
        <v>182.71855228410939</v>
      </c>
      <c r="V404">
        <v>44.564645668179402</v>
      </c>
      <c r="W404">
        <v>45.226145668179399</v>
      </c>
      <c r="X404">
        <v>44.540872851409326</v>
      </c>
      <c r="Y404">
        <v>45.202372851409322</v>
      </c>
      <c r="Z404">
        <v>45.18973758851363</v>
      </c>
      <c r="AA404">
        <v>44.570131702818649</v>
      </c>
      <c r="AB404">
        <v>45.231631702818646</v>
      </c>
      <c r="AC404">
        <f>VLOOKUP($A404,raw[],29,FALSE)*(1+interactive!$C$7)</f>
        <v>0</v>
      </c>
      <c r="AD404">
        <f>VLOOKUP($A404,raw[],30,FALSE)*(1+interactive!$C$7)</f>
        <v>0</v>
      </c>
      <c r="AE404">
        <f>VLOOKUP($A404,raw[],31,FALSE)*(1+interactive!$C$7)</f>
        <v>0</v>
      </c>
      <c r="AF404">
        <f>VLOOKUP($A404,raw[],32,FALSE)*(1+interactive!$C$7)</f>
        <v>0</v>
      </c>
      <c r="AG404">
        <f>VLOOKUP($A404,raw[],33,FALSE)*(1+interactive!$C$7)</f>
        <v>0</v>
      </c>
      <c r="AH404">
        <f>VLOOKUP($A404,raw[],34,FALSE)*(1+interactive!$C$7)</f>
        <v>0</v>
      </c>
      <c r="AI404">
        <f>VLOOKUP($A404,raw[],35,FALSE)*(1+interactive!$C$7)</f>
        <v>0</v>
      </c>
      <c r="AJ404">
        <f>VLOOKUP($A404,raw[],36,FALSE)*(1+interactive!$C$7)</f>
        <v>0</v>
      </c>
      <c r="AK404">
        <f>VLOOKUP($A404,raw[],37,FALSE)*(1+interactive!$C$7)</f>
        <v>0</v>
      </c>
      <c r="AL404">
        <f>VLOOKUP($A404,raw[],38,FALSE)*(1+interactive!$C$7)</f>
        <v>0</v>
      </c>
      <c r="AM404">
        <f>VLOOKUP($A404,raw[],39,FALSE)*(1+interactive!$C$7)</f>
        <v>0</v>
      </c>
      <c r="AN404">
        <f>VLOOKUP($A404,raw[],40,FALSE)*(1+interactive!$C$7)</f>
        <v>0</v>
      </c>
      <c r="AO404">
        <f>VLOOKUP($A404,raw[],41,FALSE)*(1+interactive!$C$7)</f>
        <v>0</v>
      </c>
      <c r="AP404">
        <f>VLOOKUP($A404,raw[],42,FALSE)*(1+interactive!$C$7)</f>
        <v>0</v>
      </c>
      <c r="AQ404">
        <f>VLOOKUP($A404,raw[],43,FALSE)*(1+interactive!$C$7)</f>
        <v>0</v>
      </c>
      <c r="AR404">
        <f>VLOOKUP($A404,raw[],44,FALSE)*(1+interactive!$C$7)</f>
        <v>0</v>
      </c>
      <c r="AS404">
        <f>VLOOKUP($A404,raw[],45,FALSE)*(1+interactive!$C$7)</f>
        <v>0</v>
      </c>
      <c r="AT404">
        <f>VLOOKUP($A404,raw[],46,FALSE)*(1+interactive!$C$7)</f>
        <v>0</v>
      </c>
      <c r="AU404">
        <f>VLOOKUP($A404,raw[],47,FALSE)*(1+interactive!$C$7)</f>
        <v>0</v>
      </c>
      <c r="AV404">
        <f>VLOOKUP($A404,raw[],48,FALSE)*(1+interactive!$C$7)</f>
        <v>0</v>
      </c>
      <c r="AW404">
        <f>VLOOKUP($A404,raw[],49,FALSE)*(1+interactive!$C$7)</f>
        <v>0</v>
      </c>
      <c r="AX404">
        <f>VLOOKUP($A404,raw[],50,FALSE)*(1+interactive!$C$7)</f>
        <v>0</v>
      </c>
    </row>
    <row r="405" spans="1:50" x14ac:dyDescent="0.25">
      <c r="A405" s="55" t="s">
        <v>478</v>
      </c>
      <c r="B405" s="56" t="s">
        <v>479</v>
      </c>
      <c r="C405" s="56">
        <v>800</v>
      </c>
      <c r="D405" s="56" t="s">
        <v>207</v>
      </c>
      <c r="E405" s="56" t="s">
        <v>255</v>
      </c>
      <c r="F405" s="56" t="s">
        <v>211</v>
      </c>
      <c r="G405" s="56" t="s">
        <v>198</v>
      </c>
      <c r="J405">
        <f>MIN(VLOOKUP($A405,raw[],10,FALSE)*(1+interactive!$C$7),0.999)</f>
        <v>0.77070000000000016</v>
      </c>
      <c r="K405">
        <f>MIN(VLOOKUP($A405,raw[],11,FALSE)*(1+interactive!$C$7),0.999)</f>
        <v>0</v>
      </c>
      <c r="L405">
        <f>MIN(VLOOKUP($A405,raw[],12,FALSE)*(1+interactive!$C$7),0.999)</f>
        <v>0.93450000000000011</v>
      </c>
      <c r="M405">
        <v>3.7900000000000003E-2</v>
      </c>
      <c r="N405">
        <f>IFERROR(VLOOKUP($A405,[2]!hbe_prev[#Data],5,FALSE),0)</f>
        <v>0.39960000000000001</v>
      </c>
      <c r="O405">
        <f>VLOOKUP($F405,[2]!hbe_risk[#All],4,FALSE)</f>
        <v>0.74399999999999999</v>
      </c>
      <c r="P405">
        <f>VLOOKUP($F405,[2]!hbe_risk[#All],7,FALSE)</f>
        <v>0.13300000000000001</v>
      </c>
      <c r="Q405">
        <v>6.7541121951219498</v>
      </c>
      <c r="R405">
        <v>115.73991219512196</v>
      </c>
      <c r="S405">
        <v>147.69055153162608</v>
      </c>
      <c r="T405">
        <v>149.11175386729835</v>
      </c>
      <c r="U405">
        <v>148.45916779514801</v>
      </c>
      <c r="V405">
        <v>4.3278018776744851</v>
      </c>
      <c r="W405">
        <v>9.3993018776744854</v>
      </c>
      <c r="X405">
        <v>4.3142640014755775</v>
      </c>
      <c r="Y405">
        <v>9.3857640014755788</v>
      </c>
      <c r="Z405">
        <v>9.3784893531532934</v>
      </c>
      <c r="AA405">
        <v>4.3309260029511556</v>
      </c>
      <c r="AB405">
        <v>9.4024260029511559</v>
      </c>
      <c r="AC405">
        <f>VLOOKUP($A405,raw[],29,FALSE)*(1+interactive!$C$7)</f>
        <v>4.8457269000000032E-2</v>
      </c>
      <c r="AD405">
        <f>VLOOKUP($A405,raw[],30,FALSE)*(1+interactive!$C$7)</f>
        <v>4.5850016945008249E-3</v>
      </c>
      <c r="AE405">
        <f>VLOOKUP($A405,raw[],31,FALSE)*(1+interactive!$C$7)</f>
        <v>1.5569906594037133E-3</v>
      </c>
      <c r="AF405">
        <f>VLOOKUP($A405,raw[],32,FALSE)*(1+interactive!$C$7)</f>
        <v>1.1681936256781929E-3</v>
      </c>
      <c r="AG405">
        <f>VLOOKUP($A405,raw[],33,FALSE)*(1+interactive!$C$7)</f>
        <v>1.9127903382406973E-3</v>
      </c>
      <c r="AH405">
        <f>VLOOKUP($A405,raw[],34,FALSE)*(1+interactive!$C$7)</f>
        <v>2.9451147206791205E-3</v>
      </c>
      <c r="AI405">
        <f>VLOOKUP($A405,raw[],35,FALSE)*(1+interactive!$C$7)</f>
        <v>3.8232157928085988E-3</v>
      </c>
      <c r="AJ405">
        <f>VLOOKUP($A405,raw[],36,FALSE)*(1+interactive!$C$7)</f>
        <v>4.7679959666907055E-3</v>
      </c>
      <c r="AK405">
        <f>VLOOKUP($A405,raw[],37,FALSE)*(1+interactive!$C$7)</f>
        <v>6.0948373499709269E-3</v>
      </c>
      <c r="AL405">
        <f>VLOOKUP($A405,raw[],38,FALSE)*(1+interactive!$C$7)</f>
        <v>7.5221396335273544E-3</v>
      </c>
      <c r="AM405">
        <f>VLOOKUP($A405,raw[],39,FALSE)*(1+interactive!$C$7)</f>
        <v>9.2901428727684681E-3</v>
      </c>
      <c r="AN405">
        <f>VLOOKUP($A405,raw[],40,FALSE)*(1+interactive!$C$7)</f>
        <v>1.2449807698979494E-2</v>
      </c>
      <c r="AO405">
        <f>VLOOKUP($A405,raw[],41,FALSE)*(1+interactive!$C$7)</f>
        <v>1.6049447412876512E-2</v>
      </c>
      <c r="AP405">
        <f>VLOOKUP($A405,raw[],42,FALSE)*(1+interactive!$C$7)</f>
        <v>2.2907489107020011E-2</v>
      </c>
      <c r="AQ405">
        <f>VLOOKUP($A405,raw[],43,FALSE)*(1+interactive!$C$7)</f>
        <v>3.3982377514585715E-2</v>
      </c>
      <c r="AR405">
        <f>VLOOKUP($A405,raw[],44,FALSE)*(1+interactive!$C$7)</f>
        <v>5.1220891420250783E-2</v>
      </c>
      <c r="AS405">
        <f>VLOOKUP($A405,raw[],45,FALSE)*(1+interactive!$C$7)</f>
        <v>7.6507650567858715E-2</v>
      </c>
      <c r="AT405">
        <f>VLOOKUP($A405,raw[],46,FALSE)*(1+interactive!$C$7)</f>
        <v>0.11268679073665458</v>
      </c>
      <c r="AU405">
        <f>VLOOKUP($A405,raw[],47,FALSE)*(1+interactive!$C$7)</f>
        <v>0.15416918264908602</v>
      </c>
      <c r="AV405">
        <f>VLOOKUP($A405,raw[],48,FALSE)*(1+interactive!$C$7)</f>
        <v>0.18755158761442361</v>
      </c>
      <c r="AW405">
        <f>VLOOKUP($A405,raw[],49,FALSE)*(1+interactive!$C$7)</f>
        <v>0.19840740152498701</v>
      </c>
      <c r="AX405">
        <f>VLOOKUP($A405,raw[],50,FALSE)*(1+interactive!$C$7)</f>
        <v>65.893799999999999</v>
      </c>
    </row>
    <row r="406" spans="1:50" x14ac:dyDescent="0.25">
      <c r="A406" s="53" t="s">
        <v>480</v>
      </c>
      <c r="B406" s="54" t="s">
        <v>481</v>
      </c>
      <c r="C406" s="54">
        <v>804</v>
      </c>
      <c r="D406" s="54" t="s">
        <v>201</v>
      </c>
      <c r="E406" s="54" t="s">
        <v>229</v>
      </c>
      <c r="F406" s="54" t="s">
        <v>203</v>
      </c>
      <c r="G406" s="54" t="s">
        <v>212</v>
      </c>
      <c r="J406">
        <f>MIN(VLOOKUP($A406,raw[],10,FALSE)*(1+interactive!$C$7),0.999)</f>
        <v>0.999</v>
      </c>
      <c r="K406">
        <f>MIN(VLOOKUP($A406,raw[],11,FALSE)*(1+interactive!$C$7),0.999)</f>
        <v>0.72449999999999992</v>
      </c>
      <c r="L406">
        <f>MIN(VLOOKUP($A406,raw[],12,FALSE)*(1+interactive!$C$7),0.999)</f>
        <v>0.85050000000000014</v>
      </c>
      <c r="M406">
        <v>1.5100000000000001E-2</v>
      </c>
      <c r="N406">
        <f>IFERROR(VLOOKUP($A406,[2]!hbe_prev[#Data],5,FALSE),0)</f>
        <v>0.42969999999999997</v>
      </c>
      <c r="O406">
        <f>VLOOKUP($F406,[2]!hbe_risk[#All],4,FALSE)</f>
        <v>0.9</v>
      </c>
      <c r="P406">
        <f>VLOOKUP($F406,[2]!hbe_risk[#All],7,FALSE)</f>
        <v>0.3</v>
      </c>
      <c r="Q406">
        <v>16.240263957361798</v>
      </c>
      <c r="R406">
        <v>125.22606395736182</v>
      </c>
      <c r="S406">
        <v>177.43038992834298</v>
      </c>
      <c r="T406">
        <v>189.39292826767218</v>
      </c>
      <c r="U406">
        <v>183.89998351810007</v>
      </c>
      <c r="V406">
        <v>2.8553895511709837</v>
      </c>
      <c r="W406">
        <v>7.1288895511709836</v>
      </c>
      <c r="X406">
        <v>2.8135288558184741</v>
      </c>
      <c r="Y406">
        <v>7.087028855818474</v>
      </c>
      <c r="Z406">
        <v>7.0631148677731161</v>
      </c>
      <c r="AA406">
        <v>2.8650497116369475</v>
      </c>
      <c r="AB406">
        <v>7.1385497116369478</v>
      </c>
      <c r="AC406">
        <f>VLOOKUP($A406,raw[],29,FALSE)*(1+interactive!$C$7)</f>
        <v>7.5587609999999772E-3</v>
      </c>
      <c r="AD406">
        <f>VLOOKUP($A406,raw[],30,FALSE)*(1+interactive!$C$7)</f>
        <v>3.6335900608016778E-4</v>
      </c>
      <c r="AE406">
        <f>VLOOKUP($A406,raw[],31,FALSE)*(1+interactive!$C$7)</f>
        <v>2.1406751795683416E-4</v>
      </c>
      <c r="AF406">
        <f>VLOOKUP($A406,raw[],32,FALSE)*(1+interactive!$C$7)</f>
        <v>2.6244691512495612E-4</v>
      </c>
      <c r="AG406">
        <f>VLOOKUP($A406,raw[],33,FALSE)*(1+interactive!$C$7)</f>
        <v>5.1894394148387947E-4</v>
      </c>
      <c r="AH406">
        <f>VLOOKUP($A406,raw[],34,FALSE)*(1+interactive!$C$7)</f>
        <v>9.5950317314462158E-4</v>
      </c>
      <c r="AI406">
        <f>VLOOKUP($A406,raw[],35,FALSE)*(1+interactive!$C$7)</f>
        <v>1.5578740995004551E-3</v>
      </c>
      <c r="AJ406">
        <f>VLOOKUP($A406,raw[],36,FALSE)*(1+interactive!$C$7)</f>
        <v>2.6644268412017525E-3</v>
      </c>
      <c r="AK406">
        <f>VLOOKUP($A406,raw[],37,FALSE)*(1+interactive!$C$7)</f>
        <v>3.6989977490243593E-3</v>
      </c>
      <c r="AL406">
        <f>VLOOKUP($A406,raw[],38,FALSE)*(1+interactive!$C$7)</f>
        <v>4.765431005740276E-3</v>
      </c>
      <c r="AM406">
        <f>VLOOKUP($A406,raw[],39,FALSE)*(1+interactive!$C$7)</f>
        <v>6.4904069111972572E-3</v>
      </c>
      <c r="AN406">
        <f>VLOOKUP($A406,raw[],40,FALSE)*(1+interactive!$C$7)</f>
        <v>9.172542854913859E-3</v>
      </c>
      <c r="AO406">
        <f>VLOOKUP($A406,raw[],41,FALSE)*(1+interactive!$C$7)</f>
        <v>1.325507340314265E-2</v>
      </c>
      <c r="AP406">
        <f>VLOOKUP($A406,raw[],42,FALSE)*(1+interactive!$C$7)</f>
        <v>1.9293725577545148E-2</v>
      </c>
      <c r="AQ406">
        <f>VLOOKUP($A406,raw[],43,FALSE)*(1+interactive!$C$7)</f>
        <v>2.6331248262213926E-2</v>
      </c>
      <c r="AR406">
        <f>VLOOKUP($A406,raw[],44,FALSE)*(1+interactive!$C$7)</f>
        <v>4.0520347863023984E-2</v>
      </c>
      <c r="AS406">
        <f>VLOOKUP($A406,raw[],45,FALSE)*(1+interactive!$C$7)</f>
        <v>6.1354030649551729E-2</v>
      </c>
      <c r="AT406">
        <f>VLOOKUP($A406,raw[],46,FALSE)*(1+interactive!$C$7)</f>
        <v>8.9315477966005627E-2</v>
      </c>
      <c r="AU406">
        <f>VLOOKUP($A406,raw[],47,FALSE)*(1+interactive!$C$7)</f>
        <v>0.12288145145009466</v>
      </c>
      <c r="AV406">
        <f>VLOOKUP($A406,raw[],48,FALSE)*(1+interactive!$C$7)</f>
        <v>0.15710091034937113</v>
      </c>
      <c r="AW406">
        <f>VLOOKUP($A406,raw[],49,FALSE)*(1+interactive!$C$7)</f>
        <v>0.18230986599273061</v>
      </c>
      <c r="AX406">
        <f>VLOOKUP($A406,raw[],50,FALSE)*(1+interactive!$C$7)</f>
        <v>75.409950000000009</v>
      </c>
    </row>
    <row r="407" spans="1:50" x14ac:dyDescent="0.25">
      <c r="A407" s="55" t="s">
        <v>482</v>
      </c>
      <c r="B407" s="56" t="s">
        <v>483</v>
      </c>
      <c r="C407" s="56">
        <v>860</v>
      </c>
      <c r="D407" s="56" t="s">
        <v>201</v>
      </c>
      <c r="E407" s="56" t="s">
        <v>220</v>
      </c>
      <c r="F407" s="56" t="s">
        <v>203</v>
      </c>
      <c r="G407" s="56" t="s">
        <v>212</v>
      </c>
      <c r="J407">
        <f>MIN(VLOOKUP($A407,raw[],10,FALSE)*(1+interactive!$C$7),0.999)</f>
        <v>0.999</v>
      </c>
      <c r="K407">
        <f>MIN(VLOOKUP($A407,raw[],11,FALSE)*(1+interactive!$C$7),0.999)</f>
        <v>0.999</v>
      </c>
      <c r="L407">
        <f>MIN(VLOOKUP($A407,raw[],12,FALSE)*(1+interactive!$C$7),0.999)</f>
        <v>0.99749999999999994</v>
      </c>
      <c r="M407">
        <v>5.45E-2</v>
      </c>
      <c r="N407">
        <f>IFERROR(VLOOKUP($A407,[2]!hbe_prev[#Data],5,FALSE),0)</f>
        <v>0.43079999999999996</v>
      </c>
      <c r="O407">
        <f>VLOOKUP($F407,[2]!hbe_risk[#All],4,FALSE)</f>
        <v>0.9</v>
      </c>
      <c r="P407">
        <f>VLOOKUP($F407,[2]!hbe_risk[#All],7,FALSE)</f>
        <v>0.3</v>
      </c>
      <c r="Q407">
        <v>9.4113018276762404</v>
      </c>
      <c r="R407">
        <v>118.39710182767625</v>
      </c>
      <c r="S407">
        <v>155.39905212328978</v>
      </c>
      <c r="T407">
        <v>159.44928526406426</v>
      </c>
      <c r="U407">
        <v>157.58950381684278</v>
      </c>
      <c r="V407">
        <v>6.1644298012990495</v>
      </c>
      <c r="W407">
        <v>10.437929801299049</v>
      </c>
      <c r="X407">
        <v>6.1453037524408547</v>
      </c>
      <c r="Y407">
        <v>10.418803752440855</v>
      </c>
      <c r="Z407">
        <v>10.40823212676454</v>
      </c>
      <c r="AA407">
        <v>6.1688435048817096</v>
      </c>
      <c r="AB407">
        <v>10.442343504881709</v>
      </c>
      <c r="AC407">
        <f>VLOOKUP($A407,raw[],29,FALSE)*(1+interactive!$C$7)</f>
        <v>2.1877243500000063E-2</v>
      </c>
      <c r="AD407">
        <f>VLOOKUP($A407,raw[],30,FALSE)*(1+interactive!$C$7)</f>
        <v>1.28330207692468E-3</v>
      </c>
      <c r="AE407">
        <f>VLOOKUP($A407,raw[],31,FALSE)*(1+interactive!$C$7)</f>
        <v>3.0197891860448415E-4</v>
      </c>
      <c r="AF407">
        <f>VLOOKUP($A407,raw[],32,FALSE)*(1+interactive!$C$7)</f>
        <v>3.2178260179301625E-4</v>
      </c>
      <c r="AG407">
        <f>VLOOKUP($A407,raw[],33,FALSE)*(1+interactive!$C$7)</f>
        <v>5.2969854683792249E-4</v>
      </c>
      <c r="AH407">
        <f>VLOOKUP($A407,raw[],34,FALSE)*(1+interactive!$C$7)</f>
        <v>7.6069254579039138E-4</v>
      </c>
      <c r="AI407">
        <f>VLOOKUP($A407,raw[],35,FALSE)*(1+interactive!$C$7)</f>
        <v>1.0221635391192995E-3</v>
      </c>
      <c r="AJ407">
        <f>VLOOKUP($A407,raw[],36,FALSE)*(1+interactive!$C$7)</f>
        <v>1.3858585802657547E-3</v>
      </c>
      <c r="AK407">
        <f>VLOOKUP($A407,raw[],37,FALSE)*(1+interactive!$C$7)</f>
        <v>1.9324163783443747E-3</v>
      </c>
      <c r="AL407">
        <f>VLOOKUP($A407,raw[],38,FALSE)*(1+interactive!$C$7)</f>
        <v>2.6980597765028191E-3</v>
      </c>
      <c r="AM407">
        <f>VLOOKUP($A407,raw[],39,FALSE)*(1+interactive!$C$7)</f>
        <v>4.0914534639068662E-3</v>
      </c>
      <c r="AN407">
        <f>VLOOKUP($A407,raw[],40,FALSE)*(1+interactive!$C$7)</f>
        <v>6.5741174044034586E-3</v>
      </c>
      <c r="AO407">
        <f>VLOOKUP($A407,raw[],41,FALSE)*(1+interactive!$C$7)</f>
        <v>1.1123220787460213E-2</v>
      </c>
      <c r="AP407">
        <f>VLOOKUP($A407,raw[],42,FALSE)*(1+interactive!$C$7)</f>
        <v>1.9069401525738834E-2</v>
      </c>
      <c r="AQ407">
        <f>VLOOKUP($A407,raw[],43,FALSE)*(1+interactive!$C$7)</f>
        <v>3.0046045635621597E-2</v>
      </c>
      <c r="AR407">
        <f>VLOOKUP($A407,raw[],44,FALSE)*(1+interactive!$C$7)</f>
        <v>4.6505185180203502E-2</v>
      </c>
      <c r="AS407">
        <f>VLOOKUP($A407,raw[],45,FALSE)*(1+interactive!$C$7)</f>
        <v>7.0284678775031403E-2</v>
      </c>
      <c r="AT407">
        <f>VLOOKUP($A407,raw[],46,FALSE)*(1+interactive!$C$7)</f>
        <v>0.10010965571174806</v>
      </c>
      <c r="AU407">
        <f>VLOOKUP($A407,raw[],47,FALSE)*(1+interactive!$C$7)</f>
        <v>0.13197893335385955</v>
      </c>
      <c r="AV407">
        <f>VLOOKUP($A407,raw[],48,FALSE)*(1+interactive!$C$7)</f>
        <v>0.16132483842943279</v>
      </c>
      <c r="AW407">
        <f>VLOOKUP($A407,raw[],49,FALSE)*(1+interactive!$C$7)</f>
        <v>0.18231767526799114</v>
      </c>
      <c r="AX407">
        <f>VLOOKUP($A407,raw[],50,FALSE)*(1+interactive!$C$7)</f>
        <v>75.108599999999996</v>
      </c>
    </row>
    <row r="408" spans="1:50" x14ac:dyDescent="0.25">
      <c r="A408" s="53" t="s">
        <v>484</v>
      </c>
      <c r="B408" s="54" t="s">
        <v>485</v>
      </c>
      <c r="C408" s="54">
        <v>548</v>
      </c>
      <c r="D408" s="54" t="s">
        <v>260</v>
      </c>
      <c r="E408" s="54" t="s">
        <v>309</v>
      </c>
      <c r="F408" s="54" t="s">
        <v>262</v>
      </c>
      <c r="G408" s="54" t="s">
        <v>212</v>
      </c>
      <c r="J408">
        <f>MIN(VLOOKUP($A408,raw[],10,FALSE)*(1+interactive!$C$7),0.999)</f>
        <v>0.92925000000000002</v>
      </c>
      <c r="K408">
        <f>MIN(VLOOKUP($A408,raw[],11,FALSE)*(1+interactive!$C$7),0.999)</f>
        <v>0.61949999999999994</v>
      </c>
      <c r="L408">
        <f>MIN(VLOOKUP($A408,raw[],12,FALSE)*(1+interactive!$C$7),0.999)</f>
        <v>0.81900000000000006</v>
      </c>
      <c r="M408">
        <v>0.12619999999999998</v>
      </c>
      <c r="N408">
        <f>IFERROR(VLOOKUP($A408,[2]!hbe_prev[#Data],5,FALSE),0)</f>
        <v>0.47889999999999999</v>
      </c>
      <c r="O408">
        <f>VLOOKUP($F408,[2]!hbe_risk[#All],4,FALSE)</f>
        <v>0.9</v>
      </c>
      <c r="P408">
        <f>VLOOKUP($F408,[2]!hbe_risk[#All],7,FALSE)</f>
        <v>0.3</v>
      </c>
      <c r="Q408">
        <v>26.5366406047516</v>
      </c>
      <c r="R408">
        <v>135.52244060475164</v>
      </c>
      <c r="S408">
        <v>202.23562618681825</v>
      </c>
      <c r="T408">
        <v>221.74951885242555</v>
      </c>
      <c r="U408">
        <v>212.78915181152277</v>
      </c>
      <c r="V408">
        <v>13.72438335003255</v>
      </c>
      <c r="W408">
        <v>14.38588335003255</v>
      </c>
      <c r="X408">
        <v>13.693482193121406</v>
      </c>
      <c r="Y408">
        <v>14.354982193121407</v>
      </c>
      <c r="Z408">
        <v>14.338209920742882</v>
      </c>
      <c r="AA408">
        <v>13.731514386242813</v>
      </c>
      <c r="AB408">
        <v>14.393014386242813</v>
      </c>
      <c r="AC408">
        <f>VLOOKUP($A408,raw[],29,FALSE)*(1+interactive!$C$7)</f>
        <v>2.3483879999999974E-2</v>
      </c>
      <c r="AD408">
        <f>VLOOKUP($A408,raw[],30,FALSE)*(1+interactive!$C$7)</f>
        <v>1.1475888890571087E-3</v>
      </c>
      <c r="AE408">
        <f>VLOOKUP($A408,raw[],31,FALSE)*(1+interactive!$C$7)</f>
        <v>4.4849142775387147E-4</v>
      </c>
      <c r="AF408">
        <f>VLOOKUP($A408,raw[],32,FALSE)*(1+interactive!$C$7)</f>
        <v>3.8132596001019055E-4</v>
      </c>
      <c r="AG408">
        <f>VLOOKUP($A408,raw[],33,FALSE)*(1+interactive!$C$7)</f>
        <v>7.6671433227939664E-4</v>
      </c>
      <c r="AH408">
        <f>VLOOKUP($A408,raw[],34,FALSE)*(1+interactive!$C$7)</f>
        <v>9.4943228584833551E-4</v>
      </c>
      <c r="AI408">
        <f>VLOOKUP($A408,raw[],35,FALSE)*(1+interactive!$C$7)</f>
        <v>9.7632293942751663E-4</v>
      </c>
      <c r="AJ408">
        <f>VLOOKUP($A408,raw[],36,FALSE)*(1+interactive!$C$7)</f>
        <v>1.1836406543726545E-3</v>
      </c>
      <c r="AK408">
        <f>VLOOKUP($A408,raw[],37,FALSE)*(1+interactive!$C$7)</f>
        <v>1.6503023292688793E-3</v>
      </c>
      <c r="AL408">
        <f>VLOOKUP($A408,raw[],38,FALSE)*(1+interactive!$C$7)</f>
        <v>2.4687040006499948E-3</v>
      </c>
      <c r="AM408">
        <f>VLOOKUP($A408,raw[],39,FALSE)*(1+interactive!$C$7)</f>
        <v>3.9574648021714317E-3</v>
      </c>
      <c r="AN408">
        <f>VLOOKUP($A408,raw[],40,FALSE)*(1+interactive!$C$7)</f>
        <v>6.3713459430822838E-3</v>
      </c>
      <c r="AO408">
        <f>VLOOKUP($A408,raw[],41,FALSE)*(1+interactive!$C$7)</f>
        <v>1.0276826410823012E-2</v>
      </c>
      <c r="AP408">
        <f>VLOOKUP($A408,raw[],42,FALSE)*(1+interactive!$C$7)</f>
        <v>1.9164326645533449E-2</v>
      </c>
      <c r="AQ408">
        <f>VLOOKUP($A408,raw[],43,FALSE)*(1+interactive!$C$7)</f>
        <v>3.4979579308843642E-2</v>
      </c>
      <c r="AR408">
        <f>VLOOKUP($A408,raw[],44,FALSE)*(1+interactive!$C$7)</f>
        <v>5.773178336416486E-2</v>
      </c>
      <c r="AS408">
        <f>VLOOKUP($A408,raw[],45,FALSE)*(1+interactive!$C$7)</f>
        <v>8.7350338836502478E-2</v>
      </c>
      <c r="AT408">
        <f>VLOOKUP($A408,raw[],46,FALSE)*(1+interactive!$C$7)</f>
        <v>0.12286219455095447</v>
      </c>
      <c r="AU408">
        <f>VLOOKUP($A408,raw[],47,FALSE)*(1+interactive!$C$7)</f>
        <v>0.1590518823819938</v>
      </c>
      <c r="AV408">
        <f>VLOOKUP($A408,raw[],48,FALSE)*(1+interactive!$C$7)</f>
        <v>0.18473558970313991</v>
      </c>
      <c r="AW408">
        <f>VLOOKUP($A408,raw[],49,FALSE)*(1+interactive!$C$7)</f>
        <v>0.19741181600978669</v>
      </c>
      <c r="AX408">
        <f>VLOOKUP($A408,raw[],50,FALSE)*(1+interactive!$C$7)</f>
        <v>73.759349999999998</v>
      </c>
    </row>
    <row r="409" spans="1:50" x14ac:dyDescent="0.25">
      <c r="A409" s="55" t="s">
        <v>486</v>
      </c>
      <c r="B409" s="56" t="s">
        <v>487</v>
      </c>
      <c r="C409" s="56">
        <v>862</v>
      </c>
      <c r="D409" s="56" t="s">
        <v>215</v>
      </c>
      <c r="E409" s="56" t="s">
        <v>274</v>
      </c>
      <c r="F409" s="56" t="s">
        <v>217</v>
      </c>
      <c r="G409" s="56" t="s">
        <v>204</v>
      </c>
      <c r="J409">
        <f>MIN(VLOOKUP($A409,raw[],10,FALSE)*(1+interactive!$C$7),0.999)</f>
        <v>0.999</v>
      </c>
      <c r="K409">
        <f>MIN(VLOOKUP($A409,raw[],11,FALSE)*(1+interactive!$C$7),0.999)</f>
        <v>0.52500000000000002</v>
      </c>
      <c r="L409">
        <f>MIN(VLOOKUP($A409,raw[],12,FALSE)*(1+interactive!$C$7),0.999)</f>
        <v>0.56700000000000006</v>
      </c>
      <c r="M409">
        <v>2.1000000000000001E-2</v>
      </c>
      <c r="N409">
        <f>IFERROR(VLOOKUP($A409,[2]!hbe_prev[#Data],5,FALSE),0)</f>
        <v>0.42950000000000005</v>
      </c>
      <c r="O409">
        <f>VLOOKUP($F409,[2]!hbe_risk[#All],4,FALSE)</f>
        <v>0.9</v>
      </c>
      <c r="P409">
        <f>VLOOKUP($F409,[2]!hbe_risk[#All],7,FALSE)</f>
        <v>0.3</v>
      </c>
      <c r="Q409">
        <v>47.304986421128497</v>
      </c>
      <c r="R409">
        <v>156.29078642112853</v>
      </c>
      <c r="S409">
        <v>286.20280332709092</v>
      </c>
      <c r="T409">
        <v>338.60947882511243</v>
      </c>
      <c r="U409">
        <v>314.54544117242062</v>
      </c>
      <c r="V409">
        <v>7.2771730722948718</v>
      </c>
      <c r="W409">
        <v>7.2981730722948717</v>
      </c>
      <c r="X409">
        <v>7.1750248674730326</v>
      </c>
      <c r="Y409">
        <v>7.1960248674730325</v>
      </c>
      <c r="Z409">
        <v>7.1347247991129539</v>
      </c>
      <c r="AA409">
        <v>7.3007457349460658</v>
      </c>
      <c r="AB409">
        <v>7.3217457349460657</v>
      </c>
      <c r="AC409">
        <f>VLOOKUP($A409,raw[],29,FALSE)*(1+interactive!$C$7)</f>
        <v>2.6984989499999959E-2</v>
      </c>
      <c r="AD409">
        <f>VLOOKUP($A409,raw[],30,FALSE)*(1+interactive!$C$7)</f>
        <v>1.3883213446749358E-3</v>
      </c>
      <c r="AE409">
        <f>VLOOKUP($A409,raw[],31,FALSE)*(1+interactive!$C$7)</f>
        <v>2.5277215659804547E-4</v>
      </c>
      <c r="AF409">
        <f>VLOOKUP($A409,raw[],32,FALSE)*(1+interactive!$C$7)</f>
        <v>3.6449616678762257E-4</v>
      </c>
      <c r="AG409">
        <f>VLOOKUP($A409,raw[],33,FALSE)*(1+interactive!$C$7)</f>
        <v>1.4893889677768432E-3</v>
      </c>
      <c r="AH409">
        <f>VLOOKUP($A409,raw[],34,FALSE)*(1+interactive!$C$7)</f>
        <v>2.3134936536522532E-3</v>
      </c>
      <c r="AI409">
        <f>VLOOKUP($A409,raw[],35,FALSE)*(1+interactive!$C$7)</f>
        <v>2.2736846578139511E-3</v>
      </c>
      <c r="AJ409">
        <f>VLOOKUP($A409,raw[],36,FALSE)*(1+interactive!$C$7)</f>
        <v>2.2349944572452023E-3</v>
      </c>
      <c r="AK409">
        <f>VLOOKUP($A409,raw[],37,FALSE)*(1+interactive!$C$7)</f>
        <v>2.2015242130621181E-3</v>
      </c>
      <c r="AL409">
        <f>VLOOKUP($A409,raw[],38,FALSE)*(1+interactive!$C$7)</f>
        <v>2.7814923091249743E-3</v>
      </c>
      <c r="AM409">
        <f>VLOOKUP($A409,raw[],39,FALSE)*(1+interactive!$C$7)</f>
        <v>4.139106126120254E-3</v>
      </c>
      <c r="AN409">
        <f>VLOOKUP($A409,raw[],40,FALSE)*(1+interactive!$C$7)</f>
        <v>6.6394174321236926E-3</v>
      </c>
      <c r="AO409">
        <f>VLOOKUP($A409,raw[],41,FALSE)*(1+interactive!$C$7)</f>
        <v>1.0052942165228285E-2</v>
      </c>
      <c r="AP409">
        <f>VLOOKUP($A409,raw[],42,FALSE)*(1+interactive!$C$7)</f>
        <v>1.5652901168800082E-2</v>
      </c>
      <c r="AQ409">
        <f>VLOOKUP($A409,raw[],43,FALSE)*(1+interactive!$C$7)</f>
        <v>2.5841211753761834E-2</v>
      </c>
      <c r="AR409">
        <f>VLOOKUP($A409,raw[],44,FALSE)*(1+interactive!$C$7)</f>
        <v>3.8230438413946848E-2</v>
      </c>
      <c r="AS409">
        <f>VLOOKUP($A409,raw[],45,FALSE)*(1+interactive!$C$7)</f>
        <v>5.482934204375603E-2</v>
      </c>
      <c r="AT409">
        <f>VLOOKUP($A409,raw[],46,FALSE)*(1+interactive!$C$7)</f>
        <v>6.9253792457248289E-2</v>
      </c>
      <c r="AU409">
        <f>VLOOKUP($A409,raw[],47,FALSE)*(1+interactive!$C$7)</f>
        <v>9.7030815266185511E-2</v>
      </c>
      <c r="AV409">
        <f>VLOOKUP($A409,raw[],48,FALSE)*(1+interactive!$C$7)</f>
        <v>0.11907144081338644</v>
      </c>
      <c r="AW409">
        <f>VLOOKUP($A409,raw[],49,FALSE)*(1+interactive!$C$7)</f>
        <v>0.15244534008934382</v>
      </c>
      <c r="AX409">
        <f>VLOOKUP($A409,raw[],50,FALSE)*(1+interactive!$C$7)</f>
        <v>75.732300000000009</v>
      </c>
    </row>
    <row r="410" spans="1:50" x14ac:dyDescent="0.25">
      <c r="A410" s="53" t="s">
        <v>488</v>
      </c>
      <c r="B410" s="54" t="s">
        <v>489</v>
      </c>
      <c r="C410" s="54">
        <v>704</v>
      </c>
      <c r="D410" s="54" t="s">
        <v>260</v>
      </c>
      <c r="E410" s="54" t="s">
        <v>261</v>
      </c>
      <c r="F410" s="54" t="s">
        <v>262</v>
      </c>
      <c r="G410" s="54" t="s">
        <v>212</v>
      </c>
      <c r="J410">
        <f>MIN(VLOOKUP($A410,raw[],10,FALSE)*(1+interactive!$C$7),0.999)</f>
        <v>0.98280000000000001</v>
      </c>
      <c r="K410">
        <f>MIN(VLOOKUP($A410,raw[],11,FALSE)*(1+interactive!$C$7),0.999)</f>
        <v>0.86099999999999999</v>
      </c>
      <c r="L410">
        <f>MIN(VLOOKUP($A410,raw[],12,FALSE)*(1+interactive!$C$7),0.999)</f>
        <v>0.98699999999999999</v>
      </c>
      <c r="M410">
        <v>0.10880000000000001</v>
      </c>
      <c r="N410">
        <f>IFERROR(VLOOKUP($A410,[2]!hbe_prev[#Data],5,FALSE),0)</f>
        <v>0.47729999999999995</v>
      </c>
      <c r="O410">
        <f>VLOOKUP($F410,[2]!hbe_risk[#All],4,FALSE)</f>
        <v>0.9</v>
      </c>
      <c r="P410">
        <f>VLOOKUP($F410,[2]!hbe_risk[#All],7,FALSE)</f>
        <v>0.3</v>
      </c>
      <c r="Q410">
        <v>8.8856120752226992</v>
      </c>
      <c r="R410">
        <v>117.87141207522271</v>
      </c>
      <c r="S410">
        <v>153.8155299874922</v>
      </c>
      <c r="T410">
        <v>157.3151983451917</v>
      </c>
      <c r="U410">
        <v>155.70822460890128</v>
      </c>
      <c r="V410">
        <v>3.2860304756129244</v>
      </c>
      <c r="W410">
        <v>3.9475304756129246</v>
      </c>
      <c r="X410">
        <v>3.2544008141312686</v>
      </c>
      <c r="Y410">
        <v>3.9159008141312688</v>
      </c>
      <c r="Z410">
        <v>3.897606993784267</v>
      </c>
      <c r="AA410">
        <v>3.2933296282625375</v>
      </c>
      <c r="AB410">
        <v>3.9548296282625377</v>
      </c>
      <c r="AC410">
        <f>VLOOKUP($A410,raw[],29,FALSE)*(1+interactive!$C$7)</f>
        <v>1.7555989499999963E-2</v>
      </c>
      <c r="AD410">
        <f>VLOOKUP($A410,raw[],30,FALSE)*(1+interactive!$C$7)</f>
        <v>1.1277077625121204E-3</v>
      </c>
      <c r="AE410">
        <f>VLOOKUP($A410,raw[],31,FALSE)*(1+interactive!$C$7)</f>
        <v>5.4585304999110241E-4</v>
      </c>
      <c r="AF410">
        <f>VLOOKUP($A410,raw[],32,FALSE)*(1+interactive!$C$7)</f>
        <v>4.874698025659766E-4</v>
      </c>
      <c r="AG410">
        <f>VLOOKUP($A410,raw[],33,FALSE)*(1+interactive!$C$7)</f>
        <v>7.8444655646340124E-4</v>
      </c>
      <c r="AH410">
        <f>VLOOKUP($A410,raw[],34,FALSE)*(1+interactive!$C$7)</f>
        <v>1.1497257576290603E-3</v>
      </c>
      <c r="AI410">
        <f>VLOOKUP($A410,raw[],35,FALSE)*(1+interactive!$C$7)</f>
        <v>1.4152865966354953E-3</v>
      </c>
      <c r="AJ410">
        <f>VLOOKUP($A410,raw[],36,FALSE)*(1+interactive!$C$7)</f>
        <v>1.6527697619942089E-3</v>
      </c>
      <c r="AK410">
        <f>VLOOKUP($A410,raw[],37,FALSE)*(1+interactive!$C$7)</f>
        <v>2.0442492352793079E-3</v>
      </c>
      <c r="AL410">
        <f>VLOOKUP($A410,raw[],38,FALSE)*(1+interactive!$C$7)</f>
        <v>2.8838862470943459E-3</v>
      </c>
      <c r="AM410">
        <f>VLOOKUP($A410,raw[],39,FALSE)*(1+interactive!$C$7)</f>
        <v>4.039019072107704E-3</v>
      </c>
      <c r="AN410">
        <f>VLOOKUP($A410,raw[],40,FALSE)*(1+interactive!$C$7)</f>
        <v>6.401463328232701E-3</v>
      </c>
      <c r="AO410">
        <f>VLOOKUP($A410,raw[],41,FALSE)*(1+interactive!$C$7)</f>
        <v>9.5479030414599396E-3</v>
      </c>
      <c r="AP410">
        <f>VLOOKUP($A410,raw[],42,FALSE)*(1+interactive!$C$7)</f>
        <v>1.2988579382568506E-2</v>
      </c>
      <c r="AQ410">
        <f>VLOOKUP($A410,raw[],43,FALSE)*(1+interactive!$C$7)</f>
        <v>2.0649897284755848E-2</v>
      </c>
      <c r="AR410">
        <f>VLOOKUP($A410,raw[],44,FALSE)*(1+interactive!$C$7)</f>
        <v>3.0001753421643147E-2</v>
      </c>
      <c r="AS410">
        <f>VLOOKUP($A410,raw[],45,FALSE)*(1+interactive!$C$7)</f>
        <v>4.3426064325704075E-2</v>
      </c>
      <c r="AT410">
        <f>VLOOKUP($A410,raw[],46,FALSE)*(1+interactive!$C$7)</f>
        <v>6.1747027140450224E-2</v>
      </c>
      <c r="AU410">
        <f>VLOOKUP($A410,raw[],47,FALSE)*(1+interactive!$C$7)</f>
        <v>8.5324750023104093E-2</v>
      </c>
      <c r="AV410">
        <f>VLOOKUP($A410,raw[],48,FALSE)*(1+interactive!$C$7)</f>
        <v>0.11290104873381888</v>
      </c>
      <c r="AW410">
        <f>VLOOKUP($A410,raw[],49,FALSE)*(1+interactive!$C$7)</f>
        <v>0.14169286492612571</v>
      </c>
      <c r="AX410">
        <f>VLOOKUP($A410,raw[],50,FALSE)*(1+interactive!$C$7)</f>
        <v>79.037700000000001</v>
      </c>
    </row>
    <row r="411" spans="1:50" x14ac:dyDescent="0.25">
      <c r="A411" s="55" t="s">
        <v>490</v>
      </c>
      <c r="B411" s="56" t="s">
        <v>491</v>
      </c>
      <c r="C411" s="56">
        <v>887</v>
      </c>
      <c r="D411" s="56" t="s">
        <v>196</v>
      </c>
      <c r="E411" s="56" t="s">
        <v>197</v>
      </c>
      <c r="F411" s="56" t="s">
        <v>197</v>
      </c>
      <c r="G411" s="56" t="s">
        <v>198</v>
      </c>
      <c r="J411">
        <f>MIN(VLOOKUP($A411,raw[],10,FALSE)*(1+interactive!$C$7),0.999)</f>
        <v>0.31290000000000001</v>
      </c>
      <c r="K411">
        <f>MIN(VLOOKUP($A411,raw[],11,FALSE)*(1+interactive!$C$7),0.999)</f>
        <v>0</v>
      </c>
      <c r="L411">
        <f>MIN(VLOOKUP($A411,raw[],12,FALSE)*(1+interactive!$C$7),0.999)</f>
        <v>0.75600000000000001</v>
      </c>
      <c r="M411">
        <v>5.96E-2</v>
      </c>
      <c r="N411">
        <f>IFERROR(VLOOKUP($A411,[2]!hbe_prev[#Data],5,FALSE),0)</f>
        <v>0.37619999999999998</v>
      </c>
      <c r="O411">
        <f>VLOOKUP($F411,[2]!hbe_risk[#All],4,FALSE)</f>
        <v>0.9</v>
      </c>
      <c r="P411">
        <f>VLOOKUP($F411,[2]!hbe_risk[#All],7,FALSE)</f>
        <v>0.3</v>
      </c>
      <c r="Q411">
        <v>10.647373652694611</v>
      </c>
      <c r="R411">
        <v>119.63317365269462</v>
      </c>
      <c r="S411">
        <v>157.53419828213109</v>
      </c>
      <c r="T411">
        <v>162.05236818998077</v>
      </c>
      <c r="U411">
        <v>159.97772007024156</v>
      </c>
      <c r="V411">
        <v>2.502963057923127</v>
      </c>
      <c r="W411">
        <v>3.006963057923127</v>
      </c>
      <c r="X411">
        <v>2.4897285836817251</v>
      </c>
      <c r="Y411">
        <v>2.9937285836817251</v>
      </c>
      <c r="Z411">
        <v>2.9860978314623665</v>
      </c>
      <c r="AA411">
        <v>2.5060171673634506</v>
      </c>
      <c r="AB411">
        <v>3.0100171673634506</v>
      </c>
      <c r="AC411">
        <f>VLOOKUP($A411,raw[],29,FALSE)*(1+interactive!$C$7)</f>
        <v>4.5406010999999975E-2</v>
      </c>
      <c r="AD411">
        <f>VLOOKUP($A411,raw[],30,FALSE)*(1+interactive!$C$7)</f>
        <v>3.347256011453192E-3</v>
      </c>
      <c r="AE411">
        <f>VLOOKUP($A411,raw[],31,FALSE)*(1+interactive!$C$7)</f>
        <v>1.1292859614539642E-3</v>
      </c>
      <c r="AF411">
        <f>VLOOKUP($A411,raw[],32,FALSE)*(1+interactive!$C$7)</f>
        <v>8.7131256840576208E-4</v>
      </c>
      <c r="AG411">
        <f>VLOOKUP($A411,raw[],33,FALSE)*(1+interactive!$C$7)</f>
        <v>1.5187187447479047E-3</v>
      </c>
      <c r="AH411">
        <f>VLOOKUP($A411,raw[],34,FALSE)*(1+interactive!$C$7)</f>
        <v>1.9811154382844E-3</v>
      </c>
      <c r="AI411">
        <f>VLOOKUP($A411,raw[],35,FALSE)*(1+interactive!$C$7)</f>
        <v>2.119861374978028E-3</v>
      </c>
      <c r="AJ411">
        <f>VLOOKUP($A411,raw[],36,FALSE)*(1+interactive!$C$7)</f>
        <v>2.4765908595544956E-3</v>
      </c>
      <c r="AK411">
        <f>VLOOKUP($A411,raw[],37,FALSE)*(1+interactive!$C$7)</f>
        <v>3.2068201581841658E-3</v>
      </c>
      <c r="AL411">
        <f>VLOOKUP($A411,raw[],38,FALSE)*(1+interactive!$C$7)</f>
        <v>4.3638524337208853E-3</v>
      </c>
      <c r="AM411">
        <f>VLOOKUP($A411,raw[],39,FALSE)*(1+interactive!$C$7)</f>
        <v>6.2920317160002235E-3</v>
      </c>
      <c r="AN411">
        <f>VLOOKUP($A411,raw[],40,FALSE)*(1+interactive!$C$7)</f>
        <v>9.3096492234302861E-3</v>
      </c>
      <c r="AO411">
        <f>VLOOKUP($A411,raw[],41,FALSE)*(1+interactive!$C$7)</f>
        <v>1.4017605949179675E-2</v>
      </c>
      <c r="AP411">
        <f>VLOOKUP($A411,raw[],42,FALSE)*(1+interactive!$C$7)</f>
        <v>2.1755200098322686E-2</v>
      </c>
      <c r="AQ411">
        <f>VLOOKUP($A411,raw[],43,FALSE)*(1+interactive!$C$7)</f>
        <v>3.3528400661258104E-2</v>
      </c>
      <c r="AR411">
        <f>VLOOKUP($A411,raw[],44,FALSE)*(1+interactive!$C$7)</f>
        <v>5.1744389067047425E-2</v>
      </c>
      <c r="AS411">
        <f>VLOOKUP($A411,raw[],45,FALSE)*(1+interactive!$C$7)</f>
        <v>7.7597925490319297E-2</v>
      </c>
      <c r="AT411">
        <f>VLOOKUP($A411,raw[],46,FALSE)*(1+interactive!$C$7)</f>
        <v>0.10891047860095539</v>
      </c>
      <c r="AU411">
        <f>VLOOKUP($A411,raw[],47,FALSE)*(1+interactive!$C$7)</f>
        <v>0.13941799403161187</v>
      </c>
      <c r="AV411">
        <f>VLOOKUP($A411,raw[],48,FALSE)*(1+interactive!$C$7)</f>
        <v>0.16625819893907501</v>
      </c>
      <c r="AW411">
        <f>VLOOKUP($A411,raw[],49,FALSE)*(1+interactive!$C$7)</f>
        <v>0.18606622088570426</v>
      </c>
      <c r="AX411">
        <f>VLOOKUP($A411,raw[],50,FALSE)*(1+interactive!$C$7)</f>
        <v>69.334650000000011</v>
      </c>
    </row>
    <row r="412" spans="1:50" x14ac:dyDescent="0.25">
      <c r="A412" s="53" t="s">
        <v>492</v>
      </c>
      <c r="B412" s="54" t="s">
        <v>493</v>
      </c>
      <c r="C412" s="54">
        <v>894</v>
      </c>
      <c r="D412" s="54" t="s">
        <v>207</v>
      </c>
      <c r="E412" s="54" t="s">
        <v>255</v>
      </c>
      <c r="F412" s="54" t="s">
        <v>211</v>
      </c>
      <c r="G412" s="54" t="s">
        <v>212</v>
      </c>
      <c r="J412">
        <f>MIN(VLOOKUP($A412,raw[],10,FALSE)*(1+interactive!$C$7),0.999)</f>
        <v>0.87990000000000002</v>
      </c>
      <c r="K412">
        <f>MIN(VLOOKUP($A412,raw[],11,FALSE)*(1+interactive!$C$7),0.999)</f>
        <v>0.98699999999999999</v>
      </c>
      <c r="L412">
        <f>MIN(VLOOKUP($A412,raw[],12,FALSE)*(1+interactive!$C$7),0.999)</f>
        <v>0.88200000000000001</v>
      </c>
      <c r="M412">
        <v>5.9800000000000006E-2</v>
      </c>
      <c r="N412">
        <f>IFERROR(VLOOKUP($A412,[2]!hbe_prev[#Data],5,FALSE),0)</f>
        <v>0.39960000000000001</v>
      </c>
      <c r="O412">
        <f>VLOOKUP($F412,[2]!hbe_risk[#All],4,FALSE)</f>
        <v>0.74399999999999999</v>
      </c>
      <c r="P412">
        <f>VLOOKUP($F412,[2]!hbe_risk[#All],7,FALSE)</f>
        <v>0.13300000000000001</v>
      </c>
      <c r="Q412">
        <v>8.1787736434108496</v>
      </c>
      <c r="R412">
        <v>117.16457364341086</v>
      </c>
      <c r="S412">
        <v>150.43880886980941</v>
      </c>
      <c r="T412">
        <v>152.54889660497656</v>
      </c>
      <c r="U412">
        <v>151.5799889185605</v>
      </c>
      <c r="V412">
        <v>5.1784776805634056</v>
      </c>
      <c r="W412">
        <v>10.249977680563406</v>
      </c>
      <c r="X412">
        <v>5.1670566513453275</v>
      </c>
      <c r="Y412">
        <v>10.238556651345327</v>
      </c>
      <c r="Z412">
        <v>10.231797277303992</v>
      </c>
      <c r="AA412">
        <v>5.1811133026906546</v>
      </c>
      <c r="AB412">
        <v>10.252613302690655</v>
      </c>
      <c r="AC412">
        <f>VLOOKUP($A412,raw[],29,FALSE)*(1+interactive!$C$7)</f>
        <v>4.7902963500000055E-2</v>
      </c>
      <c r="AD412">
        <f>VLOOKUP($A412,raw[],30,FALSE)*(1+interactive!$C$7)</f>
        <v>4.1563883332070639E-3</v>
      </c>
      <c r="AE412">
        <f>VLOOKUP($A412,raw[],31,FALSE)*(1+interactive!$C$7)</f>
        <v>1.2162725166093582E-3</v>
      </c>
      <c r="AF412">
        <f>VLOOKUP($A412,raw[],32,FALSE)*(1+interactive!$C$7)</f>
        <v>9.6044038667478465E-4</v>
      </c>
      <c r="AG412">
        <f>VLOOKUP($A412,raw[],33,FALSE)*(1+interactive!$C$7)</f>
        <v>1.6080246032367858E-3</v>
      </c>
      <c r="AH412">
        <f>VLOOKUP($A412,raw[],34,FALSE)*(1+interactive!$C$7)</f>
        <v>2.5978783243606912E-3</v>
      </c>
      <c r="AI412">
        <f>VLOOKUP($A412,raw[],35,FALSE)*(1+interactive!$C$7)</f>
        <v>3.665656396073204E-3</v>
      </c>
      <c r="AJ412">
        <f>VLOOKUP($A412,raw[],36,FALSE)*(1+interactive!$C$7)</f>
        <v>4.831000643798984E-3</v>
      </c>
      <c r="AK412">
        <f>VLOOKUP($A412,raw[],37,FALSE)*(1+interactive!$C$7)</f>
        <v>6.4803604670840877E-3</v>
      </c>
      <c r="AL412">
        <f>VLOOKUP($A412,raw[],38,FALSE)*(1+interactive!$C$7)</f>
        <v>7.9812097043491272E-3</v>
      </c>
      <c r="AM412">
        <f>VLOOKUP($A412,raw[],39,FALSE)*(1+interactive!$C$7)</f>
        <v>9.8134732253991816E-3</v>
      </c>
      <c r="AN412">
        <f>VLOOKUP($A412,raw[],40,FALSE)*(1+interactive!$C$7)</f>
        <v>1.2767336760323159E-2</v>
      </c>
      <c r="AO412">
        <f>VLOOKUP($A412,raw[],41,FALSE)*(1+interactive!$C$7)</f>
        <v>1.6161431599754885E-2</v>
      </c>
      <c r="AP412">
        <f>VLOOKUP($A412,raw[],42,FALSE)*(1+interactive!$C$7)</f>
        <v>2.2462416534988174E-2</v>
      </c>
      <c r="AQ412">
        <f>VLOOKUP($A412,raw[],43,FALSE)*(1+interactive!$C$7)</f>
        <v>3.2701010090938114E-2</v>
      </c>
      <c r="AR412">
        <f>VLOOKUP($A412,raw[],44,FALSE)*(1+interactive!$C$7)</f>
        <v>4.8633387651919449E-2</v>
      </c>
      <c r="AS412">
        <f>VLOOKUP($A412,raw[],45,FALSE)*(1+interactive!$C$7)</f>
        <v>7.212319643116144E-2</v>
      </c>
      <c r="AT412">
        <f>VLOOKUP($A412,raw[],46,FALSE)*(1+interactive!$C$7)</f>
        <v>0.10697583772761352</v>
      </c>
      <c r="AU412">
        <f>VLOOKUP($A412,raw[],47,FALSE)*(1+interactive!$C$7)</f>
        <v>0.14857624820114851</v>
      </c>
      <c r="AV412">
        <f>VLOOKUP($A412,raw[],48,FALSE)*(1+interactive!$C$7)</f>
        <v>0.18356804813222444</v>
      </c>
      <c r="AW412">
        <f>VLOOKUP($A412,raw[],49,FALSE)*(1+interactive!$C$7)</f>
        <v>0.19681796912795563</v>
      </c>
      <c r="AX412">
        <f>VLOOKUP($A412,raw[],50,FALSE)*(1+interactive!$C$7)</f>
        <v>66.420900000000003</v>
      </c>
    </row>
    <row r="413" spans="1:50" x14ac:dyDescent="0.25">
      <c r="A413" s="55" t="s">
        <v>494</v>
      </c>
      <c r="B413" s="56" t="s">
        <v>495</v>
      </c>
      <c r="C413" s="56">
        <v>716</v>
      </c>
      <c r="D413" s="56" t="s">
        <v>207</v>
      </c>
      <c r="E413" s="56" t="s">
        <v>245</v>
      </c>
      <c r="F413" s="56" t="s">
        <v>211</v>
      </c>
      <c r="G413" s="56" t="s">
        <v>212</v>
      </c>
      <c r="J413">
        <f>MIN(VLOOKUP($A413,raw[],10,FALSE)*(1+interactive!$C$7),0.999)</f>
        <v>0.89775000000000005</v>
      </c>
      <c r="K413">
        <f>MIN(VLOOKUP($A413,raw[],11,FALSE)*(1+interactive!$C$7),0.999)</f>
        <v>0</v>
      </c>
      <c r="L413">
        <f>MIN(VLOOKUP($A413,raw[],12,FALSE)*(1+interactive!$C$7),0.999)</f>
        <v>0.90300000000000002</v>
      </c>
      <c r="M413">
        <v>0.10890000000000001</v>
      </c>
      <c r="N413">
        <f>IFERROR(VLOOKUP($A413,[2]!hbe_prev[#Data],5,FALSE),0)</f>
        <v>0.3679</v>
      </c>
      <c r="O413">
        <f>VLOOKUP($F413,[2]!hbe_risk[#All],4,FALSE)</f>
        <v>0.74399999999999999</v>
      </c>
      <c r="P413">
        <f>VLOOKUP($F413,[2]!hbe_risk[#All],7,FALSE)</f>
        <v>0.13300000000000001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5.7798820019199484</v>
      </c>
      <c r="W413">
        <v>10.851382001919948</v>
      </c>
      <c r="X413">
        <v>5.7668219320937641</v>
      </c>
      <c r="Y413">
        <v>10.838321932093764</v>
      </c>
      <c r="Z413">
        <v>10.831244369038782</v>
      </c>
      <c r="AA413">
        <v>5.7828958641875294</v>
      </c>
      <c r="AB413">
        <v>10.854395864187531</v>
      </c>
      <c r="AC413">
        <f>VLOOKUP($A413,raw[],29,FALSE)*(1+interactive!$C$7)</f>
        <v>4.0694335499999984E-2</v>
      </c>
      <c r="AD413">
        <f>VLOOKUP($A413,raw[],30,FALSE)*(1+interactive!$C$7)</f>
        <v>3.4153140272502576E-3</v>
      </c>
      <c r="AE413">
        <f>VLOOKUP($A413,raw[],31,FALSE)*(1+interactive!$C$7)</f>
        <v>1.117044847686055E-3</v>
      </c>
      <c r="AF413">
        <f>VLOOKUP($A413,raw[],32,FALSE)*(1+interactive!$C$7)</f>
        <v>9.5613165266355887E-4</v>
      </c>
      <c r="AG413">
        <f>VLOOKUP($A413,raw[],33,FALSE)*(1+interactive!$C$7)</f>
        <v>1.6491993916800314E-3</v>
      </c>
      <c r="AH413">
        <f>VLOOKUP($A413,raw[],34,FALSE)*(1+interactive!$C$7)</f>
        <v>2.9770805330429557E-3</v>
      </c>
      <c r="AI413">
        <f>VLOOKUP($A413,raw[],35,FALSE)*(1+interactive!$C$7)</f>
        <v>5.0626004267897923E-3</v>
      </c>
      <c r="AJ413">
        <f>VLOOKUP($A413,raw[],36,FALSE)*(1+interactive!$C$7)</f>
        <v>7.2376284898557318E-3</v>
      </c>
      <c r="AK413">
        <f>VLOOKUP($A413,raw[],37,FALSE)*(1+interactive!$C$7)</f>
        <v>1.0170639135713937E-2</v>
      </c>
      <c r="AL413">
        <f>VLOOKUP($A413,raw[],38,FALSE)*(1+interactive!$C$7)</f>
        <v>1.1889598769615768E-2</v>
      </c>
      <c r="AM413">
        <f>VLOOKUP($A413,raw[],39,FALSE)*(1+interactive!$C$7)</f>
        <v>1.4071127098060921E-2</v>
      </c>
      <c r="AN413">
        <f>VLOOKUP($A413,raw[],40,FALSE)*(1+interactive!$C$7)</f>
        <v>1.6832883461750433E-2</v>
      </c>
      <c r="AO413">
        <f>VLOOKUP($A413,raw[],41,FALSE)*(1+interactive!$C$7)</f>
        <v>2.0115487474898493E-2</v>
      </c>
      <c r="AP413">
        <f>VLOOKUP($A413,raw[],42,FALSE)*(1+interactive!$C$7)</f>
        <v>2.6085660181725343E-2</v>
      </c>
      <c r="AQ413">
        <f>VLOOKUP($A413,raw[],43,FALSE)*(1+interactive!$C$7)</f>
        <v>3.6099539516954861E-2</v>
      </c>
      <c r="AR413">
        <f>VLOOKUP($A413,raw[],44,FALSE)*(1+interactive!$C$7)</f>
        <v>5.1740890280052597E-2</v>
      </c>
      <c r="AS413">
        <f>VLOOKUP($A413,raw[],45,FALSE)*(1+interactive!$C$7)</f>
        <v>7.4551802772280434E-2</v>
      </c>
      <c r="AT413">
        <f>VLOOKUP($A413,raw[],46,FALSE)*(1+interactive!$C$7)</f>
        <v>0.10912206247114017</v>
      </c>
      <c r="AU413">
        <f>VLOOKUP($A413,raw[],47,FALSE)*(1+interactive!$C$7)</f>
        <v>0.15018365279891288</v>
      </c>
      <c r="AV413">
        <f>VLOOKUP($A413,raw[],48,FALSE)*(1+interactive!$C$7)</f>
        <v>0.18241863022463142</v>
      </c>
      <c r="AW413">
        <f>VLOOKUP($A413,raw[],49,FALSE)*(1+interactive!$C$7)</f>
        <v>0.19487425423675447</v>
      </c>
      <c r="AX413">
        <f>VLOOKUP($A413,raw[],50,FALSE)*(1+interactive!$C$7)</f>
        <v>63.874650000000003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interactive</vt:lpstr>
      <vt:lpstr>sources_notes</vt:lpstr>
      <vt:lpstr>global_pars</vt:lpstr>
      <vt:lpstr>LMICs</vt:lpstr>
      <vt:lpstr>Regions</vt:lpstr>
      <vt:lpstr>sens_costs_lmics</vt:lpstr>
      <vt:lpstr>sens_cost_regions</vt:lpstr>
      <vt:lpstr>data_raw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</dc:creator>
  <cp:lastModifiedBy>seama</cp:lastModifiedBy>
  <cp:lastPrinted>2022-02-04T03:28:21Z</cp:lastPrinted>
  <dcterms:created xsi:type="dcterms:W3CDTF">2022-01-23T23:45:09Z</dcterms:created>
  <dcterms:modified xsi:type="dcterms:W3CDTF">2022-02-04T03:28:32Z</dcterms:modified>
</cp:coreProperties>
</file>